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als01826\Desktop\Coding\hanson-bas\data\"/>
    </mc:Choice>
  </mc:AlternateContent>
  <xr:revisionPtr revIDLastSave="0" documentId="13_ncr:1_{ACCB3D2C-539E-4F37-AF50-FCC7DC1CDBF2}" xr6:coauthVersionLast="45" xr6:coauthVersionMax="45" xr10:uidLastSave="{00000000-0000-0000-0000-000000000000}"/>
  <bookViews>
    <workbookView xWindow="29145" yWindow="345" windowWidth="21600" windowHeight="11385" tabRatio="657" xr2:uid="{00000000-000D-0000-FFFF-FFFF00000000}"/>
  </bookViews>
  <sheets>
    <sheet name="Reading History" sheetId="1" r:id="rId1"/>
    <sheet name="Residential" sheetId="3" state="hidden" r:id="rId2"/>
    <sheet name="Electric" sheetId="4" r:id="rId3"/>
    <sheet name="Water" sheetId="5" state="hidden" r:id="rId4"/>
    <sheet name="Charts" sheetId="11" r:id="rId5"/>
    <sheet name="Rates" sheetId="6" r:id="rId6"/>
    <sheet name="FAF &amp; DDs" sheetId="8" r:id="rId7"/>
    <sheet name="PM" sheetId="10" r:id="rId8"/>
  </sheets>
  <definedNames>
    <definedName name="_WaterRateTables">Water!$O$19:$Z$80</definedName>
    <definedName name="AMRReadDates">Rates!$AC$103:$AD$122</definedName>
    <definedName name="BillWeather">Charts!$J$41:$P$76</definedName>
    <definedName name="Commercial">Charts!$B$4:$H$75</definedName>
    <definedName name="Daily_Charts">#REF!</definedName>
    <definedName name="DailyCDD">OFFSET(#REF!,#REF!,0,MIN(#REF!-#REF!,#REF!))</definedName>
    <definedName name="DailyDates">OFFSET(#REF!,#REF!,0,MIN(#REF!-#REF!,#REF!))</definedName>
    <definedName name="DailyHDD">OFFSET(#REF!,#REF!,0,MIN(#REF!-#REF!,#REF!))</definedName>
    <definedName name="DailyWatts">OFFSET(#REF!,#REF!,0,MIN(#REF!-#REF!,#REF!))</definedName>
    <definedName name="MonthWeather">Charts!$Z$3:$AG$39</definedName>
    <definedName name="_xlnm.Print_Area" localSheetId="2">Electric!$A$2:$Q$163</definedName>
    <definedName name="_xlnm.Print_Area" localSheetId="7">PM!$A$1:$I$28</definedName>
    <definedName name="_xlnm.Print_Area" localSheetId="5">Rates!$H$1:$M$46</definedName>
    <definedName name="_xlnm.Print_Area" localSheetId="1">Residential!$A$2:$L$81</definedName>
    <definedName name="_xlnm.Print_Area" localSheetId="3">Water!$A$2:$J$163</definedName>
    <definedName name="_xlnm.Print_Titles" localSheetId="2">Electric!$2:$11</definedName>
    <definedName name="_xlnm.Print_Titles" localSheetId="1">Residential!$2:$11</definedName>
    <definedName name="_xlnm.Print_Titles" localSheetId="3">Water!$1:$11</definedName>
    <definedName name="Residential">Charts!$J$3:$P$38</definedName>
    <definedName name="ServiceType">Rates!$AC$3</definedName>
    <definedName name="Sewer">Charts!$R$41:$X$76</definedName>
    <definedName name="Water">Charts!$R$3:$X$38</definedName>
    <definedName name="WattsvsWeather">Charts!$Z$41:$AG$77</definedName>
  </definedNames>
  <calcPr calcId="181029"/>
</workbook>
</file>

<file path=xl/calcChain.xml><?xml version="1.0" encoding="utf-8"?>
<calcChain xmlns="http://schemas.openxmlformats.org/spreadsheetml/2006/main">
  <c r="K230" i="8" l="1"/>
  <c r="H224" i="8"/>
  <c r="D222" i="8"/>
  <c r="C222" i="8"/>
  <c r="K218" i="8"/>
  <c r="D215" i="8"/>
  <c r="C215" i="8"/>
  <c r="H212" i="8"/>
  <c r="D210" i="8"/>
  <c r="C210" i="8"/>
  <c r="K206" i="8"/>
  <c r="D203" i="8"/>
  <c r="C203" i="8"/>
  <c r="H200" i="8"/>
  <c r="D198" i="8"/>
  <c r="C198" i="8"/>
  <c r="K194" i="8"/>
  <c r="D191" i="8"/>
  <c r="C191" i="8"/>
  <c r="H188" i="8"/>
  <c r="D186" i="8"/>
  <c r="C186" i="8"/>
  <c r="K182" i="8"/>
  <c r="D179" i="8"/>
  <c r="C179" i="8"/>
  <c r="H176" i="8"/>
  <c r="D174" i="8"/>
  <c r="C174" i="8"/>
  <c r="K170" i="8"/>
  <c r="D167" i="8"/>
  <c r="C167" i="8"/>
  <c r="H164" i="8"/>
  <c r="D162" i="8"/>
  <c r="C162" i="8"/>
  <c r="K158" i="8"/>
  <c r="D155" i="8"/>
  <c r="C155" i="8"/>
  <c r="H152" i="8"/>
  <c r="D150" i="8"/>
  <c r="C150" i="8"/>
  <c r="K146" i="8"/>
  <c r="D143" i="8"/>
  <c r="C143" i="8"/>
  <c r="H140" i="8"/>
  <c r="D138" i="8"/>
  <c r="C138" i="8"/>
  <c r="K134" i="8"/>
  <c r="D131" i="8"/>
  <c r="C131" i="8"/>
  <c r="H128" i="8"/>
  <c r="D126" i="8"/>
  <c r="C126" i="8"/>
  <c r="K122" i="8"/>
  <c r="D119" i="8"/>
  <c r="C119" i="8"/>
  <c r="H116" i="8"/>
  <c r="D114" i="8"/>
  <c r="C114" i="8"/>
  <c r="K110" i="8"/>
  <c r="D107" i="8"/>
  <c r="C107" i="8"/>
  <c r="H104" i="8"/>
  <c r="D102" i="8"/>
  <c r="C102" i="8"/>
  <c r="K98" i="8"/>
  <c r="D95" i="8"/>
  <c r="C95" i="8"/>
  <c r="H92" i="8"/>
  <c r="D90" i="8"/>
  <c r="C90" i="8"/>
  <c r="K86" i="8"/>
  <c r="D83" i="8"/>
  <c r="C83" i="8"/>
  <c r="H80" i="8"/>
  <c r="D78" i="8"/>
  <c r="C78" i="8"/>
  <c r="K74" i="8"/>
  <c r="D71" i="8"/>
  <c r="C71" i="8"/>
  <c r="H68" i="8"/>
  <c r="D66" i="8"/>
  <c r="C66" i="8"/>
  <c r="K62" i="8"/>
  <c r="D59" i="8"/>
  <c r="C59" i="8"/>
  <c r="H56" i="8"/>
  <c r="D54" i="8"/>
  <c r="C54" i="8"/>
  <c r="K50" i="8"/>
  <c r="D47" i="8"/>
  <c r="C47" i="8"/>
  <c r="H44" i="8"/>
  <c r="D42" i="8"/>
  <c r="C42" i="8"/>
  <c r="K38" i="8"/>
  <c r="D35" i="8"/>
  <c r="C35" i="8"/>
  <c r="H32" i="8"/>
  <c r="W31" i="8"/>
  <c r="W43" i="8" s="1"/>
  <c r="W55" i="8" s="1"/>
  <c r="D30" i="8"/>
  <c r="C30" i="8"/>
  <c r="W26" i="8"/>
  <c r="W38" i="8" s="1"/>
  <c r="W50" i="8" s="1"/>
  <c r="K26" i="8"/>
  <c r="X25" i="8"/>
  <c r="X37" i="8" s="1"/>
  <c r="X49" i="8" s="1"/>
  <c r="X61" i="8" s="1"/>
  <c r="W25" i="8"/>
  <c r="W37" i="8" s="1"/>
  <c r="W49" i="8" s="1"/>
  <c r="W61" i="8" s="1"/>
  <c r="D23" i="8"/>
  <c r="C23" i="8"/>
  <c r="H20" i="8"/>
  <c r="D18" i="8"/>
  <c r="C18" i="8"/>
  <c r="W16" i="8"/>
  <c r="W28" i="8" s="1"/>
  <c r="W40" i="8" s="1"/>
  <c r="W52" i="8" s="1"/>
  <c r="X14" i="8"/>
  <c r="X26" i="8" s="1"/>
  <c r="X38" i="8" s="1"/>
  <c r="X50" i="8" s="1"/>
  <c r="W14" i="8"/>
  <c r="K14" i="8"/>
  <c r="X13" i="8"/>
  <c r="W13" i="8"/>
  <c r="X12" i="8"/>
  <c r="X24" i="8" s="1"/>
  <c r="X36" i="8" s="1"/>
  <c r="X48" i="8" s="1"/>
  <c r="X60" i="8" s="1"/>
  <c r="W12" i="8"/>
  <c r="W24" i="8" s="1"/>
  <c r="W36" i="8" s="1"/>
  <c r="W48" i="8" s="1"/>
  <c r="W60" i="8" s="1"/>
  <c r="X11" i="8"/>
  <c r="X23" i="8" s="1"/>
  <c r="X35" i="8" s="1"/>
  <c r="X47" i="8" s="1"/>
  <c r="X59" i="8" s="1"/>
  <c r="W11" i="8"/>
  <c r="W23" i="8" s="1"/>
  <c r="W35" i="8" s="1"/>
  <c r="W47" i="8" s="1"/>
  <c r="W59" i="8" s="1"/>
  <c r="D11" i="8"/>
  <c r="C11" i="8"/>
  <c r="X10" i="8"/>
  <c r="X22" i="8" s="1"/>
  <c r="X34" i="8" s="1"/>
  <c r="X46" i="8" s="1"/>
  <c r="X58" i="8" s="1"/>
  <c r="W10" i="8"/>
  <c r="W22" i="8" s="1"/>
  <c r="W34" i="8" s="1"/>
  <c r="W46" i="8" s="1"/>
  <c r="W58" i="8" s="1"/>
  <c r="X9" i="8"/>
  <c r="X21" i="8" s="1"/>
  <c r="X33" i="8" s="1"/>
  <c r="X45" i="8" s="1"/>
  <c r="X57" i="8" s="1"/>
  <c r="W9" i="8"/>
  <c r="W21" i="8" s="1"/>
  <c r="W33" i="8" s="1"/>
  <c r="W45" i="8" s="1"/>
  <c r="W57" i="8" s="1"/>
  <c r="X8" i="8"/>
  <c r="X20" i="8" s="1"/>
  <c r="X32" i="8" s="1"/>
  <c r="X44" i="8" s="1"/>
  <c r="X56" i="8" s="1"/>
  <c r="W8" i="8"/>
  <c r="W20" i="8" s="1"/>
  <c r="W32" i="8" s="1"/>
  <c r="W44" i="8" s="1"/>
  <c r="W56" i="8" s="1"/>
  <c r="X7" i="8"/>
  <c r="X19" i="8" s="1"/>
  <c r="X31" i="8" s="1"/>
  <c r="X43" i="8" s="1"/>
  <c r="X55" i="8" s="1"/>
  <c r="W7" i="8"/>
  <c r="W19" i="8" s="1"/>
  <c r="X6" i="8"/>
  <c r="X18" i="8" s="1"/>
  <c r="X30" i="8" s="1"/>
  <c r="X42" i="8" s="1"/>
  <c r="X54" i="8" s="1"/>
  <c r="W6" i="8"/>
  <c r="W18" i="8" s="1"/>
  <c r="W30" i="8" s="1"/>
  <c r="W42" i="8" s="1"/>
  <c r="W54" i="8" s="1"/>
  <c r="D6" i="8"/>
  <c r="C6" i="8"/>
  <c r="X5" i="8"/>
  <c r="X17" i="8" s="1"/>
  <c r="X29" i="8" s="1"/>
  <c r="X41" i="8" s="1"/>
  <c r="X53" i="8" s="1"/>
  <c r="W5" i="8"/>
  <c r="W17" i="8" s="1"/>
  <c r="W29" i="8" s="1"/>
  <c r="W41" i="8" s="1"/>
  <c r="W53" i="8" s="1"/>
  <c r="L5" i="8"/>
  <c r="X4" i="8"/>
  <c r="X16" i="8" s="1"/>
  <c r="X28" i="8" s="1"/>
  <c r="X40" i="8" s="1"/>
  <c r="X52" i="8" s="1"/>
  <c r="W4" i="8"/>
  <c r="A4" i="8"/>
  <c r="X3" i="8"/>
  <c r="X15" i="8" s="1"/>
  <c r="X27" i="8" s="1"/>
  <c r="X39" i="8" s="1"/>
  <c r="X51" i="8" s="1"/>
  <c r="W3" i="8"/>
  <c r="W15" i="8" s="1"/>
  <c r="W27" i="8" s="1"/>
  <c r="W39" i="8" s="1"/>
  <c r="W51" i="8" s="1"/>
  <c r="U3" i="8"/>
  <c r="F3" i="8"/>
  <c r="F6" i="8"/>
  <c r="F8" i="8"/>
  <c r="Z5" i="8"/>
  <c r="L6" i="8" l="1"/>
  <c r="M5" i="8"/>
  <c r="O5" i="8"/>
  <c r="N5" i="8"/>
  <c r="Y5" i="8"/>
  <c r="L7" i="8" l="1"/>
  <c r="AP66" i="6"/>
  <c r="AP52" i="6"/>
  <c r="AP30" i="6"/>
  <c r="AP8" i="6"/>
  <c r="N6" i="8"/>
  <c r="Y6" i="8"/>
  <c r="O6" i="8"/>
  <c r="Z6" i="8"/>
  <c r="M6" i="8"/>
  <c r="L8" i="8" l="1"/>
  <c r="AP90" i="6"/>
  <c r="AP91" i="6"/>
  <c r="AP92" i="6"/>
  <c r="AP93" i="6"/>
  <c r="AP94" i="6"/>
  <c r="AP95" i="6"/>
  <c r="AP96" i="6"/>
  <c r="AP97" i="6"/>
  <c r="AP98" i="6"/>
  <c r="AP89" i="6"/>
  <c r="AP82" i="6"/>
  <c r="AP83" i="6"/>
  <c r="AP84" i="6"/>
  <c r="AP85" i="6"/>
  <c r="AP86" i="6"/>
  <c r="AP87" i="6"/>
  <c r="AP88" i="6"/>
  <c r="AP81" i="6"/>
  <c r="Z7" i="8"/>
  <c r="N7" i="8"/>
  <c r="Y7" i="8"/>
  <c r="M7" i="8"/>
  <c r="O7" i="8"/>
  <c r="L9" i="8" l="1"/>
  <c r="Q1" i="6"/>
  <c r="M8" i="8"/>
  <c r="O8" i="8"/>
  <c r="Z8" i="8"/>
  <c r="Y8" i="8"/>
  <c r="N8" i="8"/>
  <c r="L10" i="8" l="1"/>
  <c r="AL86" i="6"/>
  <c r="AL82" i="6"/>
  <c r="AQ80" i="6"/>
  <c r="AQ66" i="6"/>
  <c r="AQ52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Q30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Q8" i="6"/>
  <c r="M9" i="8"/>
  <c r="N9" i="8"/>
  <c r="Z9" i="8"/>
  <c r="Y9" i="8"/>
  <c r="O9" i="8"/>
  <c r="L11" i="8" l="1"/>
  <c r="O10" i="8"/>
  <c r="Z10" i="8"/>
  <c r="N10" i="8"/>
  <c r="Y10" i="8"/>
  <c r="M10" i="8"/>
  <c r="L12" i="8" l="1"/>
  <c r="N11" i="8"/>
  <c r="Y11" i="8"/>
  <c r="O11" i="8"/>
  <c r="M11" i="8"/>
  <c r="Z11" i="8"/>
  <c r="L13" i="8" l="1"/>
  <c r="M12" i="8"/>
  <c r="O12" i="8"/>
  <c r="Y12" i="8"/>
  <c r="N12" i="8"/>
  <c r="Z12" i="8"/>
  <c r="L14" i="8" l="1"/>
  <c r="N13" i="8"/>
  <c r="Y13" i="8"/>
  <c r="O13" i="8"/>
  <c r="Z13" i="8"/>
  <c r="M13" i="8"/>
  <c r="L15" i="8" l="1"/>
  <c r="M14" i="8"/>
  <c r="Z14" i="8"/>
  <c r="N14" i="8"/>
  <c r="Y14" i="8"/>
  <c r="O14" i="8"/>
  <c r="L16" i="8" l="1"/>
  <c r="Y15" i="8"/>
  <c r="Z15" i="8"/>
  <c r="N15" i="8"/>
  <c r="M15" i="8"/>
  <c r="O15" i="8"/>
  <c r="L17" i="8" l="1"/>
  <c r="Z16" i="8"/>
  <c r="Y16" i="8"/>
  <c r="O16" i="8"/>
  <c r="M16" i="8"/>
  <c r="N16" i="8"/>
  <c r="L18" i="8" l="1"/>
  <c r="O17" i="8"/>
  <c r="N17" i="8"/>
  <c r="M17" i="8"/>
  <c r="L19" i="8" l="1"/>
  <c r="O18" i="8"/>
  <c r="M18" i="8"/>
  <c r="N18" i="8"/>
  <c r="L20" i="8" l="1"/>
  <c r="Z23" i="4"/>
  <c r="M19" i="8"/>
  <c r="N19" i="8"/>
  <c r="O19" i="8"/>
  <c r="L21" i="8" l="1"/>
  <c r="O20" i="8"/>
  <c r="M20" i="8"/>
  <c r="N20" i="8"/>
  <c r="L22" i="8" l="1"/>
  <c r="Z12" i="4"/>
  <c r="M15" i="5"/>
  <c r="N9" i="3"/>
  <c r="Y6" i="4"/>
  <c r="O21" i="8"/>
  <c r="M21" i="8"/>
  <c r="N21" i="8"/>
  <c r="L23" i="8" l="1"/>
  <c r="M22" i="8"/>
  <c r="N22" i="8"/>
  <c r="O22" i="8"/>
  <c r="L24" i="8" l="1"/>
  <c r="M23" i="8"/>
  <c r="O23" i="8"/>
  <c r="N23" i="8"/>
  <c r="L25" i="8" l="1"/>
  <c r="B4" i="3"/>
  <c r="O24" i="8"/>
  <c r="N24" i="8"/>
  <c r="M24" i="8"/>
  <c r="L26" i="8" l="1"/>
  <c r="AZ73" i="6"/>
  <c r="BA73" i="6" s="1"/>
  <c r="BB73" i="6" s="1"/>
  <c r="O25" i="8"/>
  <c r="M25" i="8"/>
  <c r="N25" i="8"/>
  <c r="L27" i="8" l="1"/>
  <c r="BD72" i="6"/>
  <c r="O26" i="8"/>
  <c r="M26" i="8"/>
  <c r="N26" i="8"/>
  <c r="L28" i="8" l="1"/>
  <c r="O27" i="8"/>
  <c r="N27" i="8"/>
  <c r="M27" i="8"/>
  <c r="L29" i="8" l="1"/>
  <c r="D1" i="10"/>
  <c r="O28" i="8"/>
  <c r="M28" i="8"/>
  <c r="N28" i="8"/>
  <c r="L30" i="8" l="1"/>
  <c r="O76" i="5"/>
  <c r="P76" i="5"/>
  <c r="Q76" i="5"/>
  <c r="R76" i="5"/>
  <c r="S76" i="5"/>
  <c r="T76" i="5"/>
  <c r="U76" i="5"/>
  <c r="V76" i="5"/>
  <c r="W76" i="5"/>
  <c r="X76" i="5"/>
  <c r="Y76" i="5"/>
  <c r="Y61" i="5"/>
  <c r="O61" i="5"/>
  <c r="X61" i="5"/>
  <c r="W61" i="5"/>
  <c r="V61" i="5"/>
  <c r="U61" i="5"/>
  <c r="T61" i="5"/>
  <c r="S61" i="5"/>
  <c r="R61" i="5"/>
  <c r="Q61" i="5"/>
  <c r="P61" i="5"/>
  <c r="O29" i="8"/>
  <c r="N29" i="8"/>
  <c r="M29" i="8"/>
  <c r="L31" i="8" l="1"/>
  <c r="E2" i="3"/>
  <c r="E8" i="3"/>
  <c r="E2" i="4"/>
  <c r="M30" i="8"/>
  <c r="N30" i="8"/>
  <c r="O30" i="8"/>
  <c r="L32" i="8" l="1"/>
  <c r="P55" i="5"/>
  <c r="P49" i="5"/>
  <c r="P43" i="5"/>
  <c r="P41" i="5"/>
  <c r="P39" i="5"/>
  <c r="P38" i="5"/>
  <c r="P37" i="5"/>
  <c r="P36" i="5"/>
  <c r="P33" i="5" s="1"/>
  <c r="P35" i="5"/>
  <c r="P20" i="5"/>
  <c r="M31" i="8"/>
  <c r="O31" i="8"/>
  <c r="N31" i="8"/>
  <c r="L33" i="8" l="1"/>
  <c r="O18" i="5"/>
  <c r="O33" i="5"/>
  <c r="O41" i="5"/>
  <c r="O55" i="5"/>
  <c r="O49" i="5"/>
  <c r="X55" i="5"/>
  <c r="W55" i="5"/>
  <c r="V55" i="5"/>
  <c r="U55" i="5"/>
  <c r="T55" i="5"/>
  <c r="S55" i="5"/>
  <c r="R55" i="5"/>
  <c r="Q55" i="5"/>
  <c r="Q49" i="5"/>
  <c r="R49" i="5"/>
  <c r="S49" i="5"/>
  <c r="T49" i="5"/>
  <c r="U49" i="5"/>
  <c r="V49" i="5"/>
  <c r="W49" i="5"/>
  <c r="X49" i="5"/>
  <c r="M32" i="8"/>
  <c r="O32" i="8"/>
  <c r="N32" i="8"/>
  <c r="L34" i="8" l="1"/>
  <c r="M16" i="5"/>
  <c r="AC1" i="6"/>
  <c r="M13" i="5"/>
  <c r="Z51" i="5"/>
  <c r="W20" i="5"/>
  <c r="I7" i="4"/>
  <c r="Y5" i="4"/>
  <c r="AC7" i="4"/>
  <c r="Y4" i="4" s="1"/>
  <c r="F6" i="5"/>
  <c r="F5" i="5"/>
  <c r="F4" i="5"/>
  <c r="F3" i="5"/>
  <c r="F2" i="5" s="1"/>
  <c r="F6" i="3"/>
  <c r="F5" i="3"/>
  <c r="F4" i="3"/>
  <c r="F3" i="3"/>
  <c r="F2" i="3" s="1"/>
  <c r="B4" i="5"/>
  <c r="B3" i="5"/>
  <c r="B2" i="5"/>
  <c r="B3" i="3"/>
  <c r="B2" i="3"/>
  <c r="B4" i="4"/>
  <c r="B3" i="4"/>
  <c r="B2" i="4"/>
  <c r="G4" i="4"/>
  <c r="G5" i="4"/>
  <c r="G6" i="4"/>
  <c r="G3" i="4"/>
  <c r="G2" i="4" s="1"/>
  <c r="V41" i="5"/>
  <c r="U41" i="5"/>
  <c r="T41" i="5"/>
  <c r="S41" i="5"/>
  <c r="R41" i="5"/>
  <c r="Q41" i="5"/>
  <c r="V33" i="5"/>
  <c r="U33" i="5"/>
  <c r="T33" i="5"/>
  <c r="S33" i="5"/>
  <c r="N8" i="3"/>
  <c r="M14" i="5"/>
  <c r="M1" i="5"/>
  <c r="N1" i="5" s="1"/>
  <c r="T20" i="5"/>
  <c r="S20" i="5"/>
  <c r="T35" i="5"/>
  <c r="S35" i="5"/>
  <c r="Q37" i="5"/>
  <c r="P18" i="5"/>
  <c r="Q18" i="5"/>
  <c r="R18" i="5"/>
  <c r="S18" i="5"/>
  <c r="T18" i="5"/>
  <c r="U18" i="5"/>
  <c r="V18" i="5"/>
  <c r="Q20" i="5"/>
  <c r="U20" i="5"/>
  <c r="V20" i="5"/>
  <c r="Q35" i="5"/>
  <c r="U35" i="5"/>
  <c r="V35" i="5"/>
  <c r="Q38" i="5"/>
  <c r="Q39" i="5"/>
  <c r="Q43" i="5"/>
  <c r="S43" i="5"/>
  <c r="T43" i="5"/>
  <c r="U43" i="5"/>
  <c r="V43" i="5"/>
  <c r="M33" i="8"/>
  <c r="N33" i="8"/>
  <c r="O33" i="8"/>
  <c r="L35" i="8" l="1"/>
  <c r="H1" i="6"/>
  <c r="Y3" i="4"/>
  <c r="E1" i="10"/>
  <c r="AB8" i="4"/>
  <c r="Q36" i="5"/>
  <c r="Q33" i="5" s="1"/>
  <c r="N34" i="8"/>
  <c r="O34" i="8"/>
  <c r="M34" i="8"/>
  <c r="L36" i="8" l="1"/>
  <c r="R33" i="5"/>
  <c r="AB7" i="4"/>
  <c r="O35" i="8"/>
  <c r="N35" i="8"/>
  <c r="M35" i="8"/>
  <c r="L37" i="8" l="1"/>
  <c r="N36" i="8"/>
  <c r="M36" i="8"/>
  <c r="O36" i="8"/>
  <c r="L38" i="8" l="1"/>
  <c r="O37" i="8"/>
  <c r="N37" i="8"/>
  <c r="M37" i="8"/>
  <c r="L39" i="8" l="1"/>
  <c r="L40" i="8" l="1"/>
  <c r="L41" i="8" l="1"/>
  <c r="L42" i="8" l="1"/>
  <c r="L43" i="8" s="1"/>
  <c r="L44" i="8" s="1"/>
  <c r="L45" i="8" s="1"/>
  <c r="L46" i="8" s="1"/>
  <c r="L47" i="8" s="1"/>
  <c r="L48" i="8" s="1"/>
  <c r="L49" i="8" s="1"/>
  <c r="N40" i="8"/>
  <c r="O6" i="3"/>
  <c r="O38" i="8"/>
  <c r="C6" i="4"/>
  <c r="V12" i="4"/>
  <c r="M40" i="8"/>
  <c r="M39" i="8"/>
  <c r="B12" i="3"/>
  <c r="N38" i="8"/>
  <c r="Y8" i="4"/>
  <c r="M41" i="8"/>
  <c r="O41" i="8"/>
  <c r="M38" i="8"/>
  <c r="N41" i="8"/>
  <c r="N39" i="8"/>
  <c r="Y7" i="4"/>
  <c r="O40" i="8"/>
  <c r="C6" i="5"/>
  <c r="B12" i="5"/>
  <c r="O39" i="8"/>
  <c r="A3" i="10" l="1"/>
  <c r="W1" i="5"/>
  <c r="G5" i="10"/>
  <c r="H6" i="6"/>
  <c r="F3" i="10"/>
  <c r="K12" i="5"/>
  <c r="N12" i="3"/>
  <c r="C6" i="3"/>
  <c r="S12" i="4"/>
  <c r="AC12" i="4" l="1"/>
  <c r="AD12" i="4" s="1"/>
  <c r="A12" i="3"/>
  <c r="X12" i="4"/>
  <c r="C12" i="3"/>
  <c r="F12" i="4"/>
  <c r="D12" i="3"/>
  <c r="B13" i="3"/>
  <c r="F12" i="5"/>
  <c r="V13" i="4"/>
  <c r="B13" i="5"/>
  <c r="A12" i="5"/>
  <c r="E12" i="5"/>
  <c r="D12" i="4"/>
  <c r="C12" i="5"/>
  <c r="D12" i="5"/>
  <c r="E12" i="3"/>
  <c r="A12" i="4"/>
  <c r="J12" i="5" l="1"/>
  <c r="F5" i="10"/>
  <c r="W2" i="5"/>
  <c r="G6" i="10"/>
  <c r="F6" i="6"/>
  <c r="H5" i="10"/>
  <c r="I6" i="6"/>
  <c r="C5" i="10"/>
  <c r="I12" i="5"/>
  <c r="H12" i="5"/>
  <c r="G12" i="5"/>
  <c r="H7" i="6"/>
  <c r="K13" i="5"/>
  <c r="S13" i="4"/>
  <c r="C12" i="4"/>
  <c r="F12" i="3"/>
  <c r="N13" i="3"/>
  <c r="G12" i="4"/>
  <c r="J6" i="6" l="1"/>
  <c r="AC13" i="4"/>
  <c r="AD13" i="4" s="1"/>
  <c r="I5" i="10"/>
  <c r="L12" i="5"/>
  <c r="V6" i="6"/>
  <c r="E6" i="6"/>
  <c r="A13" i="5"/>
  <c r="B14" i="3"/>
  <c r="X13" i="4"/>
  <c r="B14" i="5"/>
  <c r="V14" i="4"/>
  <c r="A13" i="3"/>
  <c r="A13" i="4"/>
  <c r="F7" i="6" l="1"/>
  <c r="H8" i="6"/>
  <c r="G7" i="10"/>
  <c r="W3" i="5"/>
  <c r="F6" i="10"/>
  <c r="W6" i="6"/>
  <c r="G12" i="3"/>
  <c r="D13" i="5"/>
  <c r="K14" i="5"/>
  <c r="F13" i="5"/>
  <c r="C13" i="5"/>
  <c r="J13" i="5"/>
  <c r="E13" i="5"/>
  <c r="D13" i="4"/>
  <c r="F13" i="3"/>
  <c r="D13" i="3"/>
  <c r="C13" i="3"/>
  <c r="G13" i="4"/>
  <c r="E13" i="3"/>
  <c r="F13" i="4"/>
  <c r="C13" i="4"/>
  <c r="N14" i="3"/>
  <c r="S14" i="4"/>
  <c r="C6" i="10" l="1"/>
  <c r="I7" i="6"/>
  <c r="H6" i="10"/>
  <c r="L12" i="3"/>
  <c r="AC14" i="4"/>
  <c r="AD14" i="4" s="1"/>
  <c r="J7" i="6"/>
  <c r="G13" i="5"/>
  <c r="H13" i="5"/>
  <c r="I13" i="5"/>
  <c r="H12" i="3"/>
  <c r="V7" i="6"/>
  <c r="E7" i="6"/>
  <c r="A14" i="5"/>
  <c r="V15" i="4"/>
  <c r="B15" i="3"/>
  <c r="A14" i="3"/>
  <c r="C9" i="4"/>
  <c r="X14" i="4"/>
  <c r="A14" i="4"/>
  <c r="B15" i="5"/>
  <c r="W4" i="5" l="1"/>
  <c r="F7" i="10"/>
  <c r="G8" i="10"/>
  <c r="H9" i="6"/>
  <c r="F8" i="6"/>
  <c r="G13" i="3"/>
  <c r="L13" i="5"/>
  <c r="I6" i="10"/>
  <c r="W7" i="6"/>
  <c r="H13" i="3" s="1"/>
  <c r="F14" i="5"/>
  <c r="D14" i="5"/>
  <c r="C14" i="5"/>
  <c r="J14" i="5"/>
  <c r="K15" i="5"/>
  <c r="E14" i="5"/>
  <c r="D14" i="3"/>
  <c r="C14" i="3"/>
  <c r="N15" i="3"/>
  <c r="D14" i="4"/>
  <c r="S15" i="4"/>
  <c r="E14" i="3"/>
  <c r="F14" i="4"/>
  <c r="C14" i="4"/>
  <c r="F14" i="3"/>
  <c r="G14" i="4"/>
  <c r="H7" i="10" l="1"/>
  <c r="L13" i="3"/>
  <c r="G14" i="5"/>
  <c r="H14" i="5"/>
  <c r="I14" i="5"/>
  <c r="C7" i="10"/>
  <c r="I8" i="6"/>
  <c r="AC15" i="4"/>
  <c r="AD15" i="4" s="1"/>
  <c r="J8" i="6"/>
  <c r="V8" i="6"/>
  <c r="E8" i="6"/>
  <c r="A15" i="5"/>
  <c r="V16" i="4"/>
  <c r="B16" i="3"/>
  <c r="X15" i="4"/>
  <c r="A15" i="3"/>
  <c r="B16" i="5"/>
  <c r="A15" i="4"/>
  <c r="F9" i="6" l="1"/>
  <c r="G9" i="10"/>
  <c r="W5" i="5"/>
  <c r="F8" i="10"/>
  <c r="H10" i="6"/>
  <c r="G14" i="3"/>
  <c r="L14" i="5"/>
  <c r="W8" i="6"/>
  <c r="H14" i="3" s="1"/>
  <c r="I7" i="10"/>
  <c r="J15" i="5"/>
  <c r="F15" i="5"/>
  <c r="D15" i="5"/>
  <c r="E15" i="5"/>
  <c r="K16" i="5"/>
  <c r="C15" i="5"/>
  <c r="D15" i="4"/>
  <c r="C15" i="3"/>
  <c r="C15" i="4"/>
  <c r="S16" i="4"/>
  <c r="N16" i="3"/>
  <c r="G15" i="4"/>
  <c r="D15" i="3"/>
  <c r="F15" i="4"/>
  <c r="E15" i="3"/>
  <c r="F15" i="3"/>
  <c r="H8" i="10" l="1"/>
  <c r="G15" i="5"/>
  <c r="I15" i="5"/>
  <c r="H15" i="5"/>
  <c r="J9" i="6"/>
  <c r="C8" i="10"/>
  <c r="I9" i="6"/>
  <c r="L14" i="3"/>
  <c r="AC16" i="4"/>
  <c r="AD16" i="4" s="1"/>
  <c r="V9" i="6"/>
  <c r="E9" i="6"/>
  <c r="A16" i="5"/>
  <c r="A16" i="3"/>
  <c r="B17" i="5"/>
  <c r="A16" i="4"/>
  <c r="X16" i="4"/>
  <c r="V17" i="4"/>
  <c r="B17" i="3"/>
  <c r="F10" i="6" l="1"/>
  <c r="W6" i="5"/>
  <c r="G10" i="10"/>
  <c r="F9" i="10"/>
  <c r="H11" i="6"/>
  <c r="I8" i="10"/>
  <c r="W9" i="6"/>
  <c r="H15" i="3" s="1"/>
  <c r="G15" i="3"/>
  <c r="L15" i="5"/>
  <c r="J16" i="5"/>
  <c r="K17" i="5"/>
  <c r="D16" i="5"/>
  <c r="E16" i="5"/>
  <c r="F16" i="5"/>
  <c r="C16" i="5"/>
  <c r="C16" i="4"/>
  <c r="E16" i="3"/>
  <c r="D16" i="4"/>
  <c r="F16" i="4"/>
  <c r="C16" i="3"/>
  <c r="G16" i="4"/>
  <c r="F16" i="3"/>
  <c r="D16" i="3"/>
  <c r="S17" i="4"/>
  <c r="N17" i="3"/>
  <c r="L15" i="3" l="1"/>
  <c r="H9" i="10"/>
  <c r="C9" i="10"/>
  <c r="I10" i="6"/>
  <c r="AC17" i="4"/>
  <c r="G16" i="5"/>
  <c r="I16" i="5"/>
  <c r="H16" i="5"/>
  <c r="J10" i="6"/>
  <c r="V10" i="6"/>
  <c r="E10" i="6"/>
  <c r="A17" i="5"/>
  <c r="B18" i="3"/>
  <c r="A17" i="3"/>
  <c r="V18" i="4"/>
  <c r="A17" i="4"/>
  <c r="X17" i="4"/>
  <c r="B18" i="5"/>
  <c r="F11" i="6" l="1"/>
  <c r="H12" i="6"/>
  <c r="F10" i="10"/>
  <c r="W7" i="5"/>
  <c r="G11" i="10"/>
  <c r="W10" i="6"/>
  <c r="H16" i="3" s="1"/>
  <c r="L16" i="5"/>
  <c r="I9" i="10"/>
  <c r="AD17" i="4"/>
  <c r="G16" i="3"/>
  <c r="J17" i="5"/>
  <c r="D17" i="5"/>
  <c r="C17" i="5"/>
  <c r="K18" i="5"/>
  <c r="F17" i="5"/>
  <c r="E17" i="5"/>
  <c r="F17" i="3"/>
  <c r="F17" i="4"/>
  <c r="E17" i="3"/>
  <c r="C17" i="4"/>
  <c r="D17" i="4"/>
  <c r="S18" i="4"/>
  <c r="C17" i="3"/>
  <c r="N18" i="3"/>
  <c r="D17" i="3"/>
  <c r="G17" i="4"/>
  <c r="H10" i="10" l="1"/>
  <c r="AC18" i="4"/>
  <c r="AD18" i="4" s="1"/>
  <c r="L16" i="3"/>
  <c r="J11" i="6"/>
  <c r="H17" i="5"/>
  <c r="I17" i="5"/>
  <c r="G17" i="5"/>
  <c r="C10" i="10"/>
  <c r="I11" i="6"/>
  <c r="V11" i="6"/>
  <c r="E11" i="6"/>
  <c r="A18" i="5"/>
  <c r="X18" i="4"/>
  <c r="B19" i="3"/>
  <c r="V19" i="4"/>
  <c r="A18" i="4"/>
  <c r="B19" i="5"/>
  <c r="A18" i="3"/>
  <c r="I10" i="10" l="1"/>
  <c r="F11" i="10"/>
  <c r="W8" i="5"/>
  <c r="G12" i="10"/>
  <c r="F12" i="6"/>
  <c r="H13" i="6"/>
  <c r="G17" i="3"/>
  <c r="L17" i="5"/>
  <c r="W11" i="6"/>
  <c r="H17" i="3" s="1"/>
  <c r="F18" i="5"/>
  <c r="D18" i="5"/>
  <c r="C18" i="5"/>
  <c r="J18" i="5"/>
  <c r="E18" i="5"/>
  <c r="K19" i="5"/>
  <c r="F18" i="4"/>
  <c r="S19" i="4"/>
  <c r="E18" i="3"/>
  <c r="F18" i="3"/>
  <c r="C18" i="3"/>
  <c r="C18" i="4"/>
  <c r="D18" i="3"/>
  <c r="G18" i="4"/>
  <c r="D18" i="4"/>
  <c r="N19" i="3"/>
  <c r="J12" i="6" l="1"/>
  <c r="L17" i="3"/>
  <c r="H11" i="10"/>
  <c r="C11" i="10"/>
  <c r="I12" i="6"/>
  <c r="I18" i="5"/>
  <c r="G18" i="5"/>
  <c r="H18" i="5"/>
  <c r="AC19" i="4"/>
  <c r="AD19" i="4" s="1"/>
  <c r="V12" i="6"/>
  <c r="E12" i="6"/>
  <c r="A19" i="5"/>
  <c r="B20" i="3"/>
  <c r="B20" i="5"/>
  <c r="V20" i="4"/>
  <c r="A19" i="3"/>
  <c r="A19" i="4"/>
  <c r="X19" i="4"/>
  <c r="L18" i="5" l="1"/>
  <c r="F13" i="6"/>
  <c r="F12" i="10"/>
  <c r="G13" i="10"/>
  <c r="W9" i="5"/>
  <c r="H14" i="6"/>
  <c r="W12" i="6"/>
  <c r="H18" i="3" s="1"/>
  <c r="I11" i="10"/>
  <c r="G18" i="3"/>
  <c r="C19" i="5"/>
  <c r="D19" i="5"/>
  <c r="F19" i="5"/>
  <c r="K20" i="5"/>
  <c r="J19" i="5"/>
  <c r="E19" i="5"/>
  <c r="S20" i="4"/>
  <c r="D19" i="3"/>
  <c r="G19" i="4"/>
  <c r="F19" i="4"/>
  <c r="C19" i="4"/>
  <c r="E19" i="3"/>
  <c r="C19" i="3"/>
  <c r="F19" i="3"/>
  <c r="N20" i="3"/>
  <c r="D19" i="4"/>
  <c r="J13" i="6" l="1"/>
  <c r="L18" i="3"/>
  <c r="H12" i="10"/>
  <c r="AC20" i="4"/>
  <c r="C12" i="10"/>
  <c r="I13" i="6"/>
  <c r="H19" i="5"/>
  <c r="I19" i="5"/>
  <c r="G19" i="5"/>
  <c r="V13" i="6"/>
  <c r="E13" i="6"/>
  <c r="A20" i="5"/>
  <c r="X20" i="4"/>
  <c r="B21" i="5"/>
  <c r="V21" i="4"/>
  <c r="A20" i="3"/>
  <c r="A20" i="4"/>
  <c r="B21" i="3"/>
  <c r="I12" i="10" l="1"/>
  <c r="H15" i="6"/>
  <c r="F14" i="6"/>
  <c r="F13" i="10"/>
  <c r="G14" i="10"/>
  <c r="W10" i="5"/>
  <c r="AD20" i="4"/>
  <c r="L19" i="5"/>
  <c r="G19" i="3"/>
  <c r="W13" i="6"/>
  <c r="H19" i="3" s="1"/>
  <c r="C20" i="5"/>
  <c r="F20" i="5"/>
  <c r="J20" i="5"/>
  <c r="D20" i="5"/>
  <c r="E20" i="5"/>
  <c r="K21" i="5"/>
  <c r="C20" i="3"/>
  <c r="D20" i="4"/>
  <c r="G20" i="4"/>
  <c r="E20" i="3"/>
  <c r="S21" i="4"/>
  <c r="D20" i="3"/>
  <c r="F20" i="4"/>
  <c r="N21" i="3"/>
  <c r="F20" i="3"/>
  <c r="C20" i="4"/>
  <c r="J14" i="6" l="1"/>
  <c r="H13" i="10"/>
  <c r="G20" i="5"/>
  <c r="H20" i="5"/>
  <c r="I20" i="5"/>
  <c r="L19" i="3"/>
  <c r="C13" i="10"/>
  <c r="I14" i="6"/>
  <c r="AC21" i="4"/>
  <c r="AD21" i="4" s="1"/>
  <c r="V14" i="6"/>
  <c r="E14" i="6"/>
  <c r="A21" i="5"/>
  <c r="A21" i="4"/>
  <c r="B22" i="3"/>
  <c r="V22" i="4"/>
  <c r="X21" i="4"/>
  <c r="A21" i="3"/>
  <c r="B22" i="5"/>
  <c r="I13" i="10" l="1"/>
  <c r="L20" i="5"/>
  <c r="F15" i="6"/>
  <c r="G15" i="10"/>
  <c r="W11" i="5"/>
  <c r="F14" i="10"/>
  <c r="H16" i="6"/>
  <c r="W14" i="6"/>
  <c r="H20" i="3" s="1"/>
  <c r="G20" i="3"/>
  <c r="J21" i="5"/>
  <c r="E21" i="5"/>
  <c r="D21" i="5"/>
  <c r="F21" i="5"/>
  <c r="C21" i="5"/>
  <c r="K22" i="5"/>
  <c r="N22" i="3"/>
  <c r="S22" i="4"/>
  <c r="D21" i="3"/>
  <c r="G21" i="4"/>
  <c r="C21" i="3"/>
  <c r="C21" i="4"/>
  <c r="F21" i="3"/>
  <c r="E21" i="3"/>
  <c r="F21" i="4"/>
  <c r="D21" i="4"/>
  <c r="AC22" i="4" l="1"/>
  <c r="J15" i="6"/>
  <c r="C14" i="10"/>
  <c r="I15" i="6"/>
  <c r="G21" i="5"/>
  <c r="H21" i="5"/>
  <c r="I21" i="5"/>
  <c r="H14" i="10"/>
  <c r="L20" i="3"/>
  <c r="V15" i="6"/>
  <c r="E15" i="6"/>
  <c r="A22" i="5"/>
  <c r="A22" i="4"/>
  <c r="X22" i="4"/>
  <c r="B23" i="5"/>
  <c r="V23" i="4"/>
  <c r="B23" i="3"/>
  <c r="A22" i="3"/>
  <c r="H17" i="6" l="1"/>
  <c r="F16" i="6"/>
  <c r="G16" i="10"/>
  <c r="F15" i="10"/>
  <c r="W12" i="5"/>
  <c r="G21" i="3"/>
  <c r="I14" i="10"/>
  <c r="AD22" i="4"/>
  <c r="W15" i="6"/>
  <c r="H21" i="3" s="1"/>
  <c r="L21" i="5"/>
  <c r="E22" i="5"/>
  <c r="K23" i="5"/>
  <c r="D22" i="5"/>
  <c r="F22" i="5"/>
  <c r="J22" i="5"/>
  <c r="C22" i="5"/>
  <c r="S23" i="4"/>
  <c r="C22" i="3"/>
  <c r="N23" i="3"/>
  <c r="D22" i="3"/>
  <c r="E22" i="3"/>
  <c r="D22" i="4"/>
  <c r="F22" i="4"/>
  <c r="F22" i="3"/>
  <c r="G22" i="4"/>
  <c r="C22" i="4"/>
  <c r="AC23" i="4" l="1"/>
  <c r="L21" i="3"/>
  <c r="C15" i="10"/>
  <c r="I16" i="6"/>
  <c r="G22" i="5"/>
  <c r="I22" i="5"/>
  <c r="H22" i="5"/>
  <c r="H15" i="10"/>
  <c r="J16" i="6"/>
  <c r="V16" i="6"/>
  <c r="E16" i="6"/>
  <c r="A23" i="5"/>
  <c r="A23" i="4"/>
  <c r="B24" i="5"/>
  <c r="X23" i="4"/>
  <c r="B24" i="3"/>
  <c r="V24" i="4"/>
  <c r="A23" i="3"/>
  <c r="L22" i="5" l="1"/>
  <c r="I15" i="10"/>
  <c r="H18" i="6"/>
  <c r="F16" i="10"/>
  <c r="G17" i="10"/>
  <c r="F17" i="6"/>
  <c r="W16" i="6"/>
  <c r="H22" i="3" s="1"/>
  <c r="G22" i="3"/>
  <c r="AD23" i="4"/>
  <c r="R15" i="4" s="1"/>
  <c r="AB15" i="4" s="1"/>
  <c r="D23" i="5"/>
  <c r="C23" i="5"/>
  <c r="K24" i="5"/>
  <c r="E23" i="5"/>
  <c r="F23" i="5"/>
  <c r="J23" i="5"/>
  <c r="G23" i="4"/>
  <c r="F23" i="3"/>
  <c r="D23" i="3"/>
  <c r="E23" i="3"/>
  <c r="F23" i="4"/>
  <c r="D23" i="4"/>
  <c r="C23" i="3"/>
  <c r="N24" i="3"/>
  <c r="S24" i="4"/>
  <c r="C23" i="4"/>
  <c r="R21" i="4" l="1"/>
  <c r="AB21" i="4" s="1"/>
  <c r="G15" i="6" s="1"/>
  <c r="R18" i="4"/>
  <c r="AB18" i="4" s="1"/>
  <c r="G12" i="6" s="1"/>
  <c r="R20" i="4"/>
  <c r="AB20" i="4" s="1"/>
  <c r="G14" i="6" s="1"/>
  <c r="R17" i="4"/>
  <c r="AB17" i="4" s="1"/>
  <c r="G11" i="6" s="1"/>
  <c r="R22" i="4"/>
  <c r="AB22" i="4" s="1"/>
  <c r="G16" i="6" s="1"/>
  <c r="R12" i="4"/>
  <c r="AB12" i="4" s="1"/>
  <c r="G6" i="6" s="1"/>
  <c r="R13" i="4"/>
  <c r="AB13" i="4" s="1"/>
  <c r="X7" i="6" s="1"/>
  <c r="R24" i="4"/>
  <c r="AB24" i="4" s="1"/>
  <c r="G18" i="6" s="1"/>
  <c r="R16" i="4"/>
  <c r="AB16" i="4" s="1"/>
  <c r="G10" i="6" s="1"/>
  <c r="C16" i="10"/>
  <c r="I17" i="6"/>
  <c r="H16" i="10"/>
  <c r="L22" i="3"/>
  <c r="J17" i="6"/>
  <c r="B7" i="6" s="1"/>
  <c r="K6" i="3"/>
  <c r="G7" i="5"/>
  <c r="H23" i="5"/>
  <c r="G23" i="5"/>
  <c r="I23" i="5"/>
  <c r="I9" i="5" s="1"/>
  <c r="R19" i="4"/>
  <c r="AB19" i="4" s="1"/>
  <c r="R14" i="4"/>
  <c r="AB14" i="4" s="1"/>
  <c r="G9" i="6"/>
  <c r="X9" i="6"/>
  <c r="V17" i="6"/>
  <c r="J3" i="6"/>
  <c r="E17" i="6"/>
  <c r="X12" i="6"/>
  <c r="R23" i="4"/>
  <c r="AB23" i="4" s="1"/>
  <c r="A24" i="5"/>
  <c r="B25" i="5"/>
  <c r="A24" i="4"/>
  <c r="B25" i="3"/>
  <c r="X24" i="4"/>
  <c r="V25" i="4"/>
  <c r="A24" i="3"/>
  <c r="X14" i="6" l="1"/>
  <c r="Y14" i="6" s="1"/>
  <c r="J20" i="3" s="1"/>
  <c r="X16" i="6"/>
  <c r="I22" i="3" s="1"/>
  <c r="X15" i="6"/>
  <c r="I21" i="3" s="1"/>
  <c r="X11" i="6"/>
  <c r="I17" i="3" s="1"/>
  <c r="G7" i="6"/>
  <c r="X10" i="6"/>
  <c r="Y10" i="6" s="1"/>
  <c r="X6" i="6"/>
  <c r="Y6" i="6" s="1"/>
  <c r="J12" i="3" s="1"/>
  <c r="H19" i="6"/>
  <c r="R25" i="4"/>
  <c r="AB25" i="4" s="1"/>
  <c r="F18" i="6"/>
  <c r="G18" i="10"/>
  <c r="F17" i="10"/>
  <c r="W17" i="6"/>
  <c r="H23" i="3" s="1"/>
  <c r="G13" i="6"/>
  <c r="X13" i="6"/>
  <c r="G23" i="3"/>
  <c r="I15" i="3"/>
  <c r="K15" i="4"/>
  <c r="Y9" i="6"/>
  <c r="J15" i="3" s="1"/>
  <c r="I16" i="10"/>
  <c r="G9" i="5"/>
  <c r="L23" i="5"/>
  <c r="H9" i="5"/>
  <c r="I18" i="3"/>
  <c r="K18" i="4"/>
  <c r="Y12" i="6"/>
  <c r="J18" i="3" s="1"/>
  <c r="D5" i="6"/>
  <c r="B20" i="6"/>
  <c r="B13" i="6"/>
  <c r="X17" i="6"/>
  <c r="G17" i="6"/>
  <c r="K13" i="4"/>
  <c r="I13" i="3"/>
  <c r="Y7" i="6"/>
  <c r="J13" i="3" s="1"/>
  <c r="B6" i="6"/>
  <c r="B9" i="6" s="1"/>
  <c r="X8" i="6"/>
  <c r="G8" i="6"/>
  <c r="K21" i="4"/>
  <c r="Y15" i="6"/>
  <c r="J21" i="3" s="1"/>
  <c r="D24" i="5"/>
  <c r="K25" i="5"/>
  <c r="J24" i="5"/>
  <c r="F24" i="5"/>
  <c r="C24" i="5"/>
  <c r="E24" i="5"/>
  <c r="C24" i="3"/>
  <c r="D24" i="4"/>
  <c r="E24" i="3"/>
  <c r="F24" i="4"/>
  <c r="C24" i="4"/>
  <c r="F24" i="3"/>
  <c r="G24" i="4"/>
  <c r="N25" i="3"/>
  <c r="D24" i="3"/>
  <c r="S25" i="4"/>
  <c r="K20" i="4" l="1"/>
  <c r="I20" i="3"/>
  <c r="Y11" i="6"/>
  <c r="J17" i="3" s="1"/>
  <c r="K22" i="4"/>
  <c r="Y16" i="6"/>
  <c r="J22" i="3" s="1"/>
  <c r="K17" i="4"/>
  <c r="I16" i="3"/>
  <c r="K16" i="4"/>
  <c r="K12" i="4"/>
  <c r="I12" i="3"/>
  <c r="Z15" i="6"/>
  <c r="K21" i="3" s="1"/>
  <c r="Z14" i="6"/>
  <c r="K20" i="3" s="1"/>
  <c r="J16" i="3"/>
  <c r="Z10" i="6"/>
  <c r="K16" i="3" s="1"/>
  <c r="Z11" i="6"/>
  <c r="K17" i="3" s="1"/>
  <c r="J9" i="5"/>
  <c r="J18" i="6"/>
  <c r="H17" i="10"/>
  <c r="L23" i="3"/>
  <c r="C17" i="10"/>
  <c r="I18" i="6"/>
  <c r="G24" i="5"/>
  <c r="I24" i="5"/>
  <c r="H24" i="5"/>
  <c r="V18" i="6"/>
  <c r="E18" i="6"/>
  <c r="K23" i="4"/>
  <c r="I23" i="3"/>
  <c r="K14" i="4"/>
  <c r="I14" i="3"/>
  <c r="Y8" i="6"/>
  <c r="J14" i="3" s="1"/>
  <c r="Z7" i="6"/>
  <c r="K13" i="3" s="1"/>
  <c r="Z12" i="6"/>
  <c r="K18" i="3" s="1"/>
  <c r="Z9" i="6"/>
  <c r="K15" i="3" s="1"/>
  <c r="Y17" i="6"/>
  <c r="J23" i="3" s="1"/>
  <c r="G19" i="6"/>
  <c r="Z6" i="6"/>
  <c r="K12" i="3" s="1"/>
  <c r="I19" i="3"/>
  <c r="K19" i="4"/>
  <c r="Y13" i="6"/>
  <c r="J19" i="3" s="1"/>
  <c r="A25" i="5"/>
  <c r="X25" i="4"/>
  <c r="V26" i="4"/>
  <c r="B26" i="5"/>
  <c r="B26" i="3"/>
  <c r="A25" i="3"/>
  <c r="A25" i="4"/>
  <c r="Z16" i="6" l="1"/>
  <c r="K22" i="3" s="1"/>
  <c r="Z8" i="6"/>
  <c r="K14" i="3" s="1"/>
  <c r="L24" i="5"/>
  <c r="F19" i="6"/>
  <c r="F18" i="10"/>
  <c r="G19" i="10"/>
  <c r="R26" i="4"/>
  <c r="AB26" i="4" s="1"/>
  <c r="H20" i="6"/>
  <c r="W18" i="6"/>
  <c r="H24" i="3" s="1"/>
  <c r="X18" i="6"/>
  <c r="Z13" i="6"/>
  <c r="K19" i="3" s="1"/>
  <c r="G24" i="3"/>
  <c r="Z17" i="6"/>
  <c r="K23" i="3" s="1"/>
  <c r="I17" i="10"/>
  <c r="AC2" i="6"/>
  <c r="O18" i="6" s="1"/>
  <c r="I24" i="4" s="1"/>
  <c r="F25" i="5"/>
  <c r="K26" i="5"/>
  <c r="C25" i="5"/>
  <c r="E25" i="5"/>
  <c r="J25" i="5"/>
  <c r="D25" i="5"/>
  <c r="F25" i="3"/>
  <c r="S26" i="4"/>
  <c r="D25" i="4"/>
  <c r="C25" i="4"/>
  <c r="G25" i="4"/>
  <c r="D25" i="3"/>
  <c r="N26" i="3"/>
  <c r="E25" i="3"/>
  <c r="F25" i="4"/>
  <c r="C25" i="3"/>
  <c r="K8" i="3" l="1"/>
  <c r="I25" i="5"/>
  <c r="G25" i="5"/>
  <c r="H25" i="5"/>
  <c r="L25" i="5" s="1"/>
  <c r="H18" i="10"/>
  <c r="C18" i="10"/>
  <c r="I19" i="6"/>
  <c r="J19" i="6"/>
  <c r="L24" i="3"/>
  <c r="I24" i="3"/>
  <c r="K24" i="4"/>
  <c r="N6" i="6"/>
  <c r="H12" i="4" s="1"/>
  <c r="AC3" i="6"/>
  <c r="P6" i="6"/>
  <c r="J12" i="4" s="1"/>
  <c r="O6" i="6"/>
  <c r="N7" i="6"/>
  <c r="P7" i="6"/>
  <c r="J13" i="4" s="1"/>
  <c r="O7" i="6"/>
  <c r="N8" i="6"/>
  <c r="O8" i="6"/>
  <c r="P8" i="6"/>
  <c r="J14" i="4" s="1"/>
  <c r="N9" i="6"/>
  <c r="H15" i="4" s="1"/>
  <c r="O9" i="6"/>
  <c r="P9" i="6"/>
  <c r="J15" i="4" s="1"/>
  <c r="N10" i="6"/>
  <c r="P10" i="6"/>
  <c r="J16" i="4" s="1"/>
  <c r="O10" i="6"/>
  <c r="N11" i="6"/>
  <c r="H17" i="4" s="1"/>
  <c r="P11" i="6"/>
  <c r="J17" i="4" s="1"/>
  <c r="O11" i="6"/>
  <c r="N12" i="6"/>
  <c r="P12" i="6"/>
  <c r="J18" i="4" s="1"/>
  <c r="O12" i="6"/>
  <c r="N13" i="6"/>
  <c r="O13" i="6"/>
  <c r="P13" i="6"/>
  <c r="J19" i="4" s="1"/>
  <c r="N14" i="6"/>
  <c r="P14" i="6"/>
  <c r="J20" i="4" s="1"/>
  <c r="O14" i="6"/>
  <c r="N15" i="6"/>
  <c r="H21" i="4" s="1"/>
  <c r="O15" i="6"/>
  <c r="P15" i="6"/>
  <c r="J21" i="4" s="1"/>
  <c r="N16" i="6"/>
  <c r="H22" i="4" s="1"/>
  <c r="O16" i="6"/>
  <c r="P16" i="6"/>
  <c r="J22" i="4" s="1"/>
  <c r="N17" i="6"/>
  <c r="P17" i="6"/>
  <c r="J23" i="4" s="1"/>
  <c r="O17" i="6"/>
  <c r="N18" i="6"/>
  <c r="H24" i="4" s="1"/>
  <c r="Y18" i="6"/>
  <c r="P18" i="6"/>
  <c r="J24" i="4" s="1"/>
  <c r="G20" i="6"/>
  <c r="V19" i="6"/>
  <c r="N19" i="6"/>
  <c r="E19" i="6"/>
  <c r="A26" i="5"/>
  <c r="A26" i="4"/>
  <c r="V27" i="4"/>
  <c r="A26" i="3"/>
  <c r="X26" i="4"/>
  <c r="B27" i="5"/>
  <c r="B27" i="3"/>
  <c r="F20" i="6" l="1"/>
  <c r="R27" i="4"/>
  <c r="AB27" i="4" s="1"/>
  <c r="H21" i="6"/>
  <c r="G20" i="10"/>
  <c r="F19" i="10"/>
  <c r="I21" i="4"/>
  <c r="Q15" i="6"/>
  <c r="H13" i="4"/>
  <c r="I20" i="4"/>
  <c r="Q14" i="6"/>
  <c r="R14" i="6" s="1"/>
  <c r="M20" i="4" s="1"/>
  <c r="D13" i="10" s="1"/>
  <c r="H18" i="4"/>
  <c r="H20" i="4"/>
  <c r="R8" i="4"/>
  <c r="H25" i="4"/>
  <c r="I22" i="4"/>
  <c r="Q16" i="6"/>
  <c r="I14" i="4"/>
  <c r="Q8" i="6"/>
  <c r="R8" i="6" s="1"/>
  <c r="M14" i="4" s="1"/>
  <c r="D7" i="10" s="1"/>
  <c r="I18" i="4"/>
  <c r="Q12" i="6"/>
  <c r="R12" i="6" s="1"/>
  <c r="M18" i="4" s="1"/>
  <c r="D11" i="10" s="1"/>
  <c r="I23" i="4"/>
  <c r="Q17" i="6"/>
  <c r="R17" i="6" s="1"/>
  <c r="M23" i="4" s="1"/>
  <c r="D16" i="10" s="1"/>
  <c r="I12" i="4"/>
  <c r="Q6" i="6"/>
  <c r="I17" i="4"/>
  <c r="Q11" i="6"/>
  <c r="I18" i="10"/>
  <c r="G25" i="3"/>
  <c r="I19" i="4"/>
  <c r="Q13" i="6"/>
  <c r="R13" i="6" s="1"/>
  <c r="M19" i="4" s="1"/>
  <c r="D12" i="10" s="1"/>
  <c r="I16" i="4"/>
  <c r="Q10" i="6"/>
  <c r="R10" i="6" s="1"/>
  <c r="M16" i="4" s="1"/>
  <c r="D9" i="10" s="1"/>
  <c r="H14" i="4"/>
  <c r="Q18" i="6"/>
  <c r="H16" i="4"/>
  <c r="I15" i="4"/>
  <c r="Q9" i="6"/>
  <c r="H23" i="4"/>
  <c r="O19" i="6"/>
  <c r="I25" i="4" s="1"/>
  <c r="W19" i="6"/>
  <c r="H25" i="3" s="1"/>
  <c r="J24" i="3"/>
  <c r="Z18" i="6"/>
  <c r="K24" i="3" s="1"/>
  <c r="H19" i="4"/>
  <c r="I13" i="4"/>
  <c r="Q7" i="6"/>
  <c r="R7" i="6" s="1"/>
  <c r="M13" i="4" s="1"/>
  <c r="D6" i="10" s="1"/>
  <c r="P19" i="6"/>
  <c r="J25" i="4" s="1"/>
  <c r="X19" i="6"/>
  <c r="D26" i="5"/>
  <c r="J26" i="5"/>
  <c r="F26" i="5"/>
  <c r="C26" i="5"/>
  <c r="K27" i="5"/>
  <c r="E26" i="5"/>
  <c r="C26" i="4"/>
  <c r="C26" i="3"/>
  <c r="S27" i="4"/>
  <c r="D26" i="3"/>
  <c r="F26" i="4"/>
  <c r="D26" i="4"/>
  <c r="E26" i="3"/>
  <c r="G26" i="4"/>
  <c r="N27" i="3"/>
  <c r="F26" i="3"/>
  <c r="H19" i="10" l="1"/>
  <c r="C19" i="10"/>
  <c r="I20" i="6"/>
  <c r="J20" i="6"/>
  <c r="L25" i="3"/>
  <c r="G26" i="5"/>
  <c r="I26" i="5"/>
  <c r="H26" i="5"/>
  <c r="L19" i="4"/>
  <c r="S13" i="6"/>
  <c r="K13" i="6"/>
  <c r="T13" i="6"/>
  <c r="L13" i="6"/>
  <c r="U13" i="6"/>
  <c r="M13" i="6"/>
  <c r="D13" i="6"/>
  <c r="I25" i="3"/>
  <c r="K25" i="4"/>
  <c r="L20" i="4"/>
  <c r="T14" i="6"/>
  <c r="S14" i="6"/>
  <c r="U14" i="6"/>
  <c r="L14" i="6"/>
  <c r="M14" i="6"/>
  <c r="K14" i="6"/>
  <c r="D14" i="6"/>
  <c r="R18" i="6"/>
  <c r="M24" i="4" s="1"/>
  <c r="D17" i="10" s="1"/>
  <c r="L24" i="4"/>
  <c r="L18" i="6"/>
  <c r="S18" i="6"/>
  <c r="M18" i="6"/>
  <c r="T18" i="6"/>
  <c r="K18" i="6"/>
  <c r="U18" i="6"/>
  <c r="L18" i="4"/>
  <c r="U12" i="6"/>
  <c r="T12" i="6"/>
  <c r="M12" i="6"/>
  <c r="S12" i="6"/>
  <c r="L12" i="6"/>
  <c r="K12" i="6"/>
  <c r="D12" i="6"/>
  <c r="R11" i="6"/>
  <c r="M17" i="4" s="1"/>
  <c r="D10" i="10" s="1"/>
  <c r="L17" i="4"/>
  <c r="K11" i="6"/>
  <c r="L11" i="6"/>
  <c r="S11" i="6"/>
  <c r="M11" i="6"/>
  <c r="U11" i="6"/>
  <c r="T11" i="6"/>
  <c r="D11" i="6"/>
  <c r="L14" i="4"/>
  <c r="T8" i="6"/>
  <c r="D8" i="6"/>
  <c r="U8" i="6"/>
  <c r="L8" i="6"/>
  <c r="M8" i="6"/>
  <c r="K8" i="6"/>
  <c r="S8" i="6"/>
  <c r="E8" i="4"/>
  <c r="Y19" i="6"/>
  <c r="J25" i="3" s="1"/>
  <c r="L13" i="4"/>
  <c r="L7" i="6"/>
  <c r="T7" i="6"/>
  <c r="K7" i="6"/>
  <c r="U7" i="6"/>
  <c r="S7" i="6"/>
  <c r="M7" i="6"/>
  <c r="D7" i="6"/>
  <c r="L16" i="4"/>
  <c r="L10" i="6"/>
  <c r="S10" i="6"/>
  <c r="K10" i="6"/>
  <c r="T10" i="6"/>
  <c r="M10" i="6"/>
  <c r="U10" i="6"/>
  <c r="D10" i="6"/>
  <c r="R15" i="6"/>
  <c r="M21" i="4" s="1"/>
  <c r="D14" i="10" s="1"/>
  <c r="L21" i="4"/>
  <c r="M15" i="6"/>
  <c r="T15" i="6"/>
  <c r="L15" i="6"/>
  <c r="K15" i="6"/>
  <c r="S15" i="6"/>
  <c r="U15" i="6"/>
  <c r="D15" i="6"/>
  <c r="R9" i="6"/>
  <c r="M15" i="4" s="1"/>
  <c r="D8" i="10" s="1"/>
  <c r="L15" i="4"/>
  <c r="T9" i="6"/>
  <c r="U9" i="6"/>
  <c r="M9" i="6"/>
  <c r="L9" i="6"/>
  <c r="S9" i="6"/>
  <c r="K9" i="6"/>
  <c r="D9" i="6"/>
  <c r="R6" i="6"/>
  <c r="M12" i="4" s="1"/>
  <c r="L12" i="4"/>
  <c r="T6" i="6"/>
  <c r="U6" i="6"/>
  <c r="L6" i="6"/>
  <c r="M6" i="6"/>
  <c r="S6" i="6"/>
  <c r="K6" i="6"/>
  <c r="D6" i="6"/>
  <c r="G21" i="6"/>
  <c r="R16" i="6"/>
  <c r="M22" i="4" s="1"/>
  <c r="D15" i="10" s="1"/>
  <c r="L22" i="4"/>
  <c r="U16" i="6"/>
  <c r="L16" i="6"/>
  <c r="M16" i="6"/>
  <c r="K16" i="6"/>
  <c r="S16" i="6"/>
  <c r="T16" i="6"/>
  <c r="D16" i="6"/>
  <c r="L23" i="4"/>
  <c r="U17" i="6"/>
  <c r="M17" i="6"/>
  <c r="T17" i="6"/>
  <c r="L17" i="6"/>
  <c r="S17" i="6"/>
  <c r="D17" i="6"/>
  <c r="K17" i="6"/>
  <c r="Q19" i="6"/>
  <c r="U19" i="6" s="1"/>
  <c r="N20" i="6"/>
  <c r="V20" i="6"/>
  <c r="E20" i="6"/>
  <c r="A27" i="5"/>
  <c r="U17" i="4"/>
  <c r="U14" i="4"/>
  <c r="U22" i="4"/>
  <c r="X27" i="4"/>
  <c r="U26" i="4"/>
  <c r="U24" i="4"/>
  <c r="U20" i="4"/>
  <c r="U18" i="4"/>
  <c r="U21" i="4"/>
  <c r="U23" i="4"/>
  <c r="A27" i="4"/>
  <c r="U15" i="4"/>
  <c r="U13" i="4"/>
  <c r="U27" i="4"/>
  <c r="A27" i="3"/>
  <c r="U25" i="4"/>
  <c r="B28" i="5"/>
  <c r="B28" i="3"/>
  <c r="U16" i="4"/>
  <c r="U12" i="4"/>
  <c r="V28" i="4"/>
  <c r="U19" i="4"/>
  <c r="K3" i="6" l="1"/>
  <c r="W22" i="4"/>
  <c r="B22" i="4" s="1"/>
  <c r="W14" i="4"/>
  <c r="B14" i="4" s="1"/>
  <c r="W21" i="4"/>
  <c r="B21" i="4" s="1"/>
  <c r="W13" i="4"/>
  <c r="B13" i="4" s="1"/>
  <c r="F21" i="6"/>
  <c r="W20" i="4"/>
  <c r="B20" i="4" s="1"/>
  <c r="W27" i="4"/>
  <c r="B27" i="4" s="1"/>
  <c r="W19" i="4"/>
  <c r="B19" i="4" s="1"/>
  <c r="R28" i="4"/>
  <c r="AB28" i="4" s="1"/>
  <c r="H22" i="6"/>
  <c r="W25" i="4"/>
  <c r="B25" i="4" s="1"/>
  <c r="W17" i="4"/>
  <c r="B17" i="4" s="1"/>
  <c r="G21" i="10"/>
  <c r="F20" i="10"/>
  <c r="W24" i="4"/>
  <c r="B24" i="4" s="1"/>
  <c r="W16" i="4"/>
  <c r="B16" i="4" s="1"/>
  <c r="W26" i="4"/>
  <c r="B26" i="4" s="1"/>
  <c r="W18" i="4"/>
  <c r="B18" i="4" s="1"/>
  <c r="W12" i="4"/>
  <c r="B12" i="4" s="1"/>
  <c r="W23" i="4"/>
  <c r="B23" i="4" s="1"/>
  <c r="W15" i="4"/>
  <c r="B15" i="4" s="1"/>
  <c r="S19" i="6"/>
  <c r="P20" i="6"/>
  <c r="J26" i="4" s="1"/>
  <c r="X20" i="6"/>
  <c r="M3" i="6"/>
  <c r="D19" i="6"/>
  <c r="L3" i="6"/>
  <c r="L26" i="5"/>
  <c r="M19" i="6"/>
  <c r="L25" i="4"/>
  <c r="K19" i="6"/>
  <c r="R19" i="6"/>
  <c r="M25" i="4" s="1"/>
  <c r="D18" i="10" s="1"/>
  <c r="I19" i="10"/>
  <c r="G26" i="3"/>
  <c r="Z19" i="6"/>
  <c r="K25" i="3" s="1"/>
  <c r="L19" i="6"/>
  <c r="W20" i="6"/>
  <c r="H26" i="3" s="1"/>
  <c r="O20" i="6"/>
  <c r="I26" i="4" s="1"/>
  <c r="H26" i="4"/>
  <c r="D3" i="6"/>
  <c r="D5" i="10"/>
  <c r="T19" i="6"/>
  <c r="E27" i="5"/>
  <c r="K28" i="5"/>
  <c r="D27" i="5"/>
  <c r="C27" i="5"/>
  <c r="J27" i="5"/>
  <c r="F27" i="5"/>
  <c r="F27" i="4"/>
  <c r="E27" i="3"/>
  <c r="C27" i="4"/>
  <c r="U28" i="4"/>
  <c r="G27" i="4"/>
  <c r="D27" i="4"/>
  <c r="F27" i="3"/>
  <c r="N28" i="3"/>
  <c r="D27" i="3"/>
  <c r="C27" i="3"/>
  <c r="S28" i="4"/>
  <c r="Q20" i="6" l="1"/>
  <c r="L26" i="4" s="1"/>
  <c r="C20" i="10"/>
  <c r="I21" i="6"/>
  <c r="W28" i="4"/>
  <c r="B28" i="4" s="1"/>
  <c r="L26" i="3"/>
  <c r="I27" i="5"/>
  <c r="G27" i="5"/>
  <c r="H27" i="5"/>
  <c r="E26" i="4"/>
  <c r="O26" i="4" s="1"/>
  <c r="J21" i="6"/>
  <c r="H20" i="10"/>
  <c r="A19" i="10"/>
  <c r="B20" i="10"/>
  <c r="B10" i="10"/>
  <c r="A9" i="10"/>
  <c r="E17" i="4"/>
  <c r="A17" i="10"/>
  <c r="B18" i="10"/>
  <c r="E25" i="4"/>
  <c r="V21" i="6"/>
  <c r="N21" i="6"/>
  <c r="E21" i="6"/>
  <c r="A7" i="10"/>
  <c r="B8" i="10"/>
  <c r="E15" i="4"/>
  <c r="B14" i="10"/>
  <c r="A13" i="10"/>
  <c r="E21" i="4"/>
  <c r="B13" i="10"/>
  <c r="A12" i="10"/>
  <c r="E20" i="4"/>
  <c r="T20" i="6"/>
  <c r="B17" i="10"/>
  <c r="A16" i="10"/>
  <c r="E24" i="4"/>
  <c r="G22" i="6"/>
  <c r="B6" i="10"/>
  <c r="A5" i="10"/>
  <c r="E13" i="4"/>
  <c r="L20" i="6"/>
  <c r="A15" i="10"/>
  <c r="B16" i="10"/>
  <c r="E23" i="4"/>
  <c r="K26" i="4"/>
  <c r="I26" i="3"/>
  <c r="K20" i="6"/>
  <c r="S20" i="6"/>
  <c r="M20" i="6"/>
  <c r="B5" i="10"/>
  <c r="E12" i="4"/>
  <c r="B7" i="10"/>
  <c r="A6" i="10"/>
  <c r="E14" i="4"/>
  <c r="A18" i="10"/>
  <c r="B19" i="10"/>
  <c r="B9" i="10"/>
  <c r="A8" i="10"/>
  <c r="E16" i="4"/>
  <c r="Y20" i="6"/>
  <c r="A10" i="10"/>
  <c r="B11" i="10"/>
  <c r="E18" i="4"/>
  <c r="B12" i="10"/>
  <c r="A11" i="10"/>
  <c r="E19" i="4"/>
  <c r="B15" i="10"/>
  <c r="A14" i="10"/>
  <c r="E22" i="4"/>
  <c r="A28" i="5"/>
  <c r="V29" i="4"/>
  <c r="Q12" i="4"/>
  <c r="Q18" i="4"/>
  <c r="Q24" i="4"/>
  <c r="P20" i="4"/>
  <c r="B29" i="3"/>
  <c r="P13" i="4"/>
  <c r="P22" i="4"/>
  <c r="P25" i="4"/>
  <c r="P24" i="4"/>
  <c r="A28" i="3"/>
  <c r="A28" i="4"/>
  <c r="P12" i="4"/>
  <c r="P15" i="4"/>
  <c r="Q23" i="4"/>
  <c r="P23" i="4"/>
  <c r="Q20" i="4"/>
  <c r="B29" i="5"/>
  <c r="P16" i="4"/>
  <c r="X28" i="4"/>
  <c r="Q16" i="4"/>
  <c r="P14" i="4"/>
  <c r="Q14" i="4"/>
  <c r="R20" i="6" l="1"/>
  <c r="M26" i="4" s="1"/>
  <c r="D19" i="10" s="1"/>
  <c r="U20" i="6"/>
  <c r="I20" i="10"/>
  <c r="F22" i="6"/>
  <c r="F21" i="10"/>
  <c r="G22" i="10"/>
  <c r="R29" i="4"/>
  <c r="AB29" i="4" s="1"/>
  <c r="H23" i="6"/>
  <c r="O19" i="4"/>
  <c r="N19" i="4"/>
  <c r="O17" i="4"/>
  <c r="N17" i="4"/>
  <c r="O21" i="4"/>
  <c r="N21" i="4"/>
  <c r="H27" i="4"/>
  <c r="N26" i="4"/>
  <c r="J26" i="3"/>
  <c r="Z20" i="6"/>
  <c r="K26" i="3" s="1"/>
  <c r="G27" i="3"/>
  <c r="O22" i="4"/>
  <c r="N22" i="4"/>
  <c r="M6" i="4"/>
  <c r="O12" i="4"/>
  <c r="N12" i="4"/>
  <c r="M8" i="4"/>
  <c r="O13" i="4"/>
  <c r="N13" i="4"/>
  <c r="W21" i="6"/>
  <c r="H27" i="3" s="1"/>
  <c r="O21" i="6"/>
  <c r="I27" i="4" s="1"/>
  <c r="O25" i="4"/>
  <c r="N25" i="4"/>
  <c r="B21" i="10"/>
  <c r="A20" i="10"/>
  <c r="O16" i="4"/>
  <c r="N16" i="4"/>
  <c r="O20" i="4"/>
  <c r="N20" i="4"/>
  <c r="P21" i="6"/>
  <c r="J27" i="4" s="1"/>
  <c r="X21" i="6"/>
  <c r="O15" i="4"/>
  <c r="N15" i="4"/>
  <c r="O18" i="4"/>
  <c r="N18" i="4"/>
  <c r="O14" i="4"/>
  <c r="N14" i="4"/>
  <c r="O23" i="4"/>
  <c r="N23" i="4"/>
  <c r="O24" i="4"/>
  <c r="N24" i="4"/>
  <c r="L27" i="5"/>
  <c r="K29" i="5"/>
  <c r="D28" i="5"/>
  <c r="C28" i="5"/>
  <c r="J28" i="5"/>
  <c r="E28" i="5"/>
  <c r="F28" i="5"/>
  <c r="P18" i="4"/>
  <c r="Q21" i="4"/>
  <c r="P17" i="4"/>
  <c r="D28" i="4"/>
  <c r="Q13" i="4"/>
  <c r="D28" i="3"/>
  <c r="Q17" i="4"/>
  <c r="F28" i="4"/>
  <c r="G28" i="4"/>
  <c r="P26" i="4"/>
  <c r="Q25" i="4"/>
  <c r="N29" i="3"/>
  <c r="P19" i="4"/>
  <c r="C28" i="4"/>
  <c r="S29" i="4"/>
  <c r="P21" i="4"/>
  <c r="Q22" i="4"/>
  <c r="Q15" i="4"/>
  <c r="F28" i="3"/>
  <c r="U29" i="4"/>
  <c r="E28" i="3"/>
  <c r="C28" i="3"/>
  <c r="Q19" i="4"/>
  <c r="Q26" i="4"/>
  <c r="H21" i="10" l="1"/>
  <c r="C21" i="10"/>
  <c r="I22" i="6"/>
  <c r="J22" i="6"/>
  <c r="E27" i="4"/>
  <c r="G28" i="5"/>
  <c r="H28" i="5"/>
  <c r="I28" i="5"/>
  <c r="W29" i="4"/>
  <c r="B29" i="4" s="1"/>
  <c r="L27" i="3"/>
  <c r="Y21" i="6"/>
  <c r="J27" i="3" s="1"/>
  <c r="G23" i="6"/>
  <c r="I27" i="3"/>
  <c r="K27" i="4"/>
  <c r="Q21" i="6"/>
  <c r="R21" i="6" s="1"/>
  <c r="M27" i="4" s="1"/>
  <c r="D20" i="10" s="1"/>
  <c r="N22" i="6"/>
  <c r="V22" i="6"/>
  <c r="E22" i="6"/>
  <c r="A29" i="5"/>
  <c r="V30" i="4"/>
  <c r="B30" i="3"/>
  <c r="B30" i="5"/>
  <c r="A29" i="3"/>
  <c r="A29" i="4"/>
  <c r="X29" i="4"/>
  <c r="H24" i="6" l="1"/>
  <c r="R30" i="4"/>
  <c r="AB30" i="4" s="1"/>
  <c r="F23" i="6"/>
  <c r="G23" i="10"/>
  <c r="F22" i="10"/>
  <c r="G28" i="3"/>
  <c r="H28" i="4"/>
  <c r="L28" i="5"/>
  <c r="P22" i="6"/>
  <c r="J28" i="4" s="1"/>
  <c r="X22" i="6"/>
  <c r="W22" i="6"/>
  <c r="H28" i="3" s="1"/>
  <c r="O22" i="6"/>
  <c r="I28" i="4" s="1"/>
  <c r="K21" i="6"/>
  <c r="L27" i="4"/>
  <c r="U21" i="6"/>
  <c r="S21" i="6"/>
  <c r="I21" i="10"/>
  <c r="T21" i="6"/>
  <c r="L21" i="6"/>
  <c r="O27" i="4"/>
  <c r="M21" i="6"/>
  <c r="Z21" i="6"/>
  <c r="K27" i="3" s="1"/>
  <c r="N27" i="4"/>
  <c r="A21" i="10"/>
  <c r="B22" i="10"/>
  <c r="J29" i="5"/>
  <c r="K30" i="5"/>
  <c r="E29" i="5"/>
  <c r="F29" i="5"/>
  <c r="D29" i="5"/>
  <c r="C29" i="5"/>
  <c r="C29" i="4"/>
  <c r="D29" i="3"/>
  <c r="P27" i="4"/>
  <c r="F29" i="4"/>
  <c r="S30" i="4"/>
  <c r="U30" i="4"/>
  <c r="F29" i="3"/>
  <c r="D29" i="4"/>
  <c r="N30" i="3"/>
  <c r="E29" i="3"/>
  <c r="G29" i="4"/>
  <c r="Q27" i="4"/>
  <c r="C29" i="3"/>
  <c r="Q22" i="6" l="1"/>
  <c r="T22" i="6" s="1"/>
  <c r="Y22" i="6"/>
  <c r="J28" i="3" s="1"/>
  <c r="W30" i="4"/>
  <c r="B30" i="4" s="1"/>
  <c r="H29" i="5"/>
  <c r="I29" i="5"/>
  <c r="G29" i="5"/>
  <c r="C22" i="10"/>
  <c r="I23" i="6"/>
  <c r="J23" i="6"/>
  <c r="H22" i="10"/>
  <c r="E28" i="4"/>
  <c r="N28" i="4" s="1"/>
  <c r="L28" i="3"/>
  <c r="V23" i="6"/>
  <c r="N23" i="6"/>
  <c r="E23" i="6"/>
  <c r="K28" i="4"/>
  <c r="I28" i="3"/>
  <c r="G24" i="6"/>
  <c r="A30" i="5"/>
  <c r="B31" i="3"/>
  <c r="X30" i="4"/>
  <c r="B31" i="5"/>
  <c r="V31" i="4"/>
  <c r="A30" i="4"/>
  <c r="A30" i="3"/>
  <c r="M22" i="6" l="1"/>
  <c r="K22" i="6"/>
  <c r="Z22" i="6"/>
  <c r="K28" i="3" s="1"/>
  <c r="L28" i="4"/>
  <c r="U22" i="6"/>
  <c r="R22" i="6"/>
  <c r="M28" i="4" s="1"/>
  <c r="D21" i="10" s="1"/>
  <c r="I22" i="10"/>
  <c r="L22" i="6"/>
  <c r="S22" i="6"/>
  <c r="G24" i="10"/>
  <c r="F23" i="10"/>
  <c r="R31" i="4"/>
  <c r="AB31" i="4" s="1"/>
  <c r="H25" i="6"/>
  <c r="F24" i="6"/>
  <c r="H29" i="4"/>
  <c r="A22" i="10"/>
  <c r="B23" i="10"/>
  <c r="G29" i="3"/>
  <c r="W23" i="6"/>
  <c r="H29" i="3" s="1"/>
  <c r="O23" i="6"/>
  <c r="I29" i="4" s="1"/>
  <c r="P23" i="6"/>
  <c r="J29" i="4" s="1"/>
  <c r="X23" i="6"/>
  <c r="O28" i="4"/>
  <c r="L29" i="5"/>
  <c r="F30" i="5"/>
  <c r="C30" i="5"/>
  <c r="E30" i="5"/>
  <c r="J30" i="5"/>
  <c r="K31" i="5"/>
  <c r="D30" i="5"/>
  <c r="G30" i="4"/>
  <c r="F30" i="3"/>
  <c r="U31" i="4"/>
  <c r="P28" i="4"/>
  <c r="D30" i="3"/>
  <c r="C30" i="4"/>
  <c r="N31" i="3"/>
  <c r="D30" i="4"/>
  <c r="S31" i="4"/>
  <c r="E30" i="3"/>
  <c r="C30" i="3"/>
  <c r="F30" i="4"/>
  <c r="Q28" i="4"/>
  <c r="Y23" i="6" l="1"/>
  <c r="J29" i="3" s="1"/>
  <c r="Q23" i="6"/>
  <c r="L23" i="6" s="1"/>
  <c r="W31" i="4"/>
  <c r="B31" i="4" s="1"/>
  <c r="J24" i="6"/>
  <c r="G30" i="5"/>
  <c r="H30" i="5"/>
  <c r="I30" i="5"/>
  <c r="C23" i="10"/>
  <c r="I24" i="6"/>
  <c r="H23" i="10"/>
  <c r="E29" i="4"/>
  <c r="N29" i="4" s="1"/>
  <c r="L29" i="3"/>
  <c r="G25" i="6"/>
  <c r="N24" i="6"/>
  <c r="V24" i="6"/>
  <c r="E24" i="6"/>
  <c r="K29" i="4"/>
  <c r="I29" i="3"/>
  <c r="A31" i="5"/>
  <c r="B32" i="5"/>
  <c r="B32" i="3"/>
  <c r="A31" i="4"/>
  <c r="X31" i="4"/>
  <c r="V32" i="4"/>
  <c r="A31" i="3"/>
  <c r="M23" i="6" l="1"/>
  <c r="U23" i="6"/>
  <c r="T23" i="6"/>
  <c r="S23" i="6"/>
  <c r="R23" i="6"/>
  <c r="M29" i="4" s="1"/>
  <c r="D22" i="10" s="1"/>
  <c r="K23" i="6"/>
  <c r="L30" i="5"/>
  <c r="Z23" i="6"/>
  <c r="K29" i="3" s="1"/>
  <c r="L29" i="4"/>
  <c r="R32" i="4"/>
  <c r="AB32" i="4" s="1"/>
  <c r="H26" i="6"/>
  <c r="F25" i="6"/>
  <c r="F24" i="10"/>
  <c r="G25" i="10"/>
  <c r="W24" i="6"/>
  <c r="H30" i="3" s="1"/>
  <c r="O24" i="6"/>
  <c r="I30" i="4" s="1"/>
  <c r="H30" i="4"/>
  <c r="O29" i="4"/>
  <c r="P24" i="6"/>
  <c r="J30" i="4" s="1"/>
  <c r="X24" i="6"/>
  <c r="I23" i="10"/>
  <c r="G30" i="3"/>
  <c r="A23" i="10"/>
  <c r="B24" i="10"/>
  <c r="C31" i="5"/>
  <c r="E31" i="5"/>
  <c r="K32" i="5"/>
  <c r="J31" i="5"/>
  <c r="D31" i="5"/>
  <c r="F31" i="5"/>
  <c r="C31" i="3"/>
  <c r="N32" i="3"/>
  <c r="U32" i="4"/>
  <c r="S32" i="4"/>
  <c r="G31" i="4"/>
  <c r="D31" i="4"/>
  <c r="D31" i="3"/>
  <c r="E31" i="3"/>
  <c r="F31" i="4"/>
  <c r="F31" i="3"/>
  <c r="Q29" i="4"/>
  <c r="C31" i="4"/>
  <c r="P29" i="4"/>
  <c r="Y24" i="6" l="1"/>
  <c r="J30" i="3" s="1"/>
  <c r="C24" i="10"/>
  <c r="I25" i="6"/>
  <c r="G31" i="5"/>
  <c r="I31" i="5"/>
  <c r="H31" i="5"/>
  <c r="E30" i="4"/>
  <c r="L30" i="3"/>
  <c r="H24" i="10"/>
  <c r="J25" i="6"/>
  <c r="W32" i="4"/>
  <c r="B32" i="4" s="1"/>
  <c r="N25" i="6"/>
  <c r="V25" i="6"/>
  <c r="E25" i="6"/>
  <c r="I30" i="3"/>
  <c r="K30" i="4"/>
  <c r="Q24" i="6"/>
  <c r="R24" i="6" s="1"/>
  <c r="M30" i="4" s="1"/>
  <c r="D23" i="10" s="1"/>
  <c r="G26" i="6"/>
  <c r="A32" i="5"/>
  <c r="B33" i="5"/>
  <c r="V33" i="4"/>
  <c r="A32" i="4"/>
  <c r="X32" i="4"/>
  <c r="B33" i="3"/>
  <c r="A32" i="3"/>
  <c r="L31" i="5" l="1"/>
  <c r="Z24" i="6"/>
  <c r="K30" i="3" s="1"/>
  <c r="U24" i="6"/>
  <c r="S24" i="6"/>
  <c r="G26" i="10"/>
  <c r="F25" i="10"/>
  <c r="H27" i="6"/>
  <c r="R33" i="4"/>
  <c r="AB33" i="4" s="1"/>
  <c r="F26" i="6"/>
  <c r="G31" i="3"/>
  <c r="W25" i="6"/>
  <c r="H31" i="3" s="1"/>
  <c r="O25" i="6"/>
  <c r="I31" i="4" s="1"/>
  <c r="I24" i="10"/>
  <c r="L30" i="4"/>
  <c r="T24" i="6"/>
  <c r="L24" i="6"/>
  <c r="M24" i="6"/>
  <c r="H31" i="4"/>
  <c r="N30" i="4"/>
  <c r="O30" i="4"/>
  <c r="A24" i="10"/>
  <c r="B25" i="10"/>
  <c r="K24" i="6"/>
  <c r="P25" i="6"/>
  <c r="J31" i="4" s="1"/>
  <c r="X25" i="6"/>
  <c r="E32" i="5"/>
  <c r="C32" i="5"/>
  <c r="J32" i="5"/>
  <c r="D32" i="5"/>
  <c r="K33" i="5"/>
  <c r="F32" i="5"/>
  <c r="D32" i="3"/>
  <c r="F32" i="4"/>
  <c r="Q30" i="4"/>
  <c r="C32" i="4"/>
  <c r="C32" i="3"/>
  <c r="S33" i="4"/>
  <c r="N33" i="3"/>
  <c r="G32" i="4"/>
  <c r="E32" i="3"/>
  <c r="U33" i="4"/>
  <c r="P30" i="4"/>
  <c r="F32" i="3"/>
  <c r="D32" i="4"/>
  <c r="Y25" i="6" l="1"/>
  <c r="J31" i="3" s="1"/>
  <c r="E31" i="4"/>
  <c r="N31" i="4" s="1"/>
  <c r="I32" i="5"/>
  <c r="G32" i="5"/>
  <c r="H32" i="5"/>
  <c r="W33" i="4"/>
  <c r="B33" i="4" s="1"/>
  <c r="L31" i="3"/>
  <c r="J26" i="6"/>
  <c r="C25" i="10"/>
  <c r="I26" i="6"/>
  <c r="H25" i="10"/>
  <c r="Q25" i="6"/>
  <c r="K25" i="6" s="1"/>
  <c r="V26" i="6"/>
  <c r="N26" i="6"/>
  <c r="E26" i="6"/>
  <c r="G27" i="6"/>
  <c r="K31" i="4"/>
  <c r="I31" i="3"/>
  <c r="U25" i="6"/>
  <c r="A33" i="5"/>
  <c r="X33" i="4"/>
  <c r="A33" i="4"/>
  <c r="A33" i="3"/>
  <c r="B34" i="3"/>
  <c r="V34" i="4"/>
  <c r="B34" i="5"/>
  <c r="L25" i="6" l="1"/>
  <c r="R25" i="6"/>
  <c r="M31" i="4" s="1"/>
  <c r="D24" i="10" s="1"/>
  <c r="I25" i="10"/>
  <c r="Z25" i="6"/>
  <c r="K31" i="3" s="1"/>
  <c r="R34" i="4"/>
  <c r="AB34" i="4" s="1"/>
  <c r="H28" i="6"/>
  <c r="G27" i="10"/>
  <c r="F26" i="10"/>
  <c r="F27" i="6"/>
  <c r="L31" i="4"/>
  <c r="T25" i="6"/>
  <c r="M25" i="6"/>
  <c r="S25" i="6"/>
  <c r="G32" i="3"/>
  <c r="P26" i="6"/>
  <c r="J32" i="4" s="1"/>
  <c r="X26" i="6"/>
  <c r="O31" i="4"/>
  <c r="B26" i="10"/>
  <c r="A25" i="10"/>
  <c r="W26" i="6"/>
  <c r="H32" i="3" s="1"/>
  <c r="O26" i="6"/>
  <c r="I32" i="4" s="1"/>
  <c r="H32" i="4"/>
  <c r="L32" i="5"/>
  <c r="J33" i="5"/>
  <c r="K34" i="5"/>
  <c r="D33" i="5"/>
  <c r="C33" i="5"/>
  <c r="E33" i="5"/>
  <c r="F33" i="5"/>
  <c r="F33" i="3"/>
  <c r="G33" i="4"/>
  <c r="Q31" i="4"/>
  <c r="S34" i="4"/>
  <c r="D33" i="3"/>
  <c r="N34" i="3"/>
  <c r="P31" i="4"/>
  <c r="D33" i="4"/>
  <c r="E33" i="3"/>
  <c r="U34" i="4"/>
  <c r="C33" i="3"/>
  <c r="F33" i="4"/>
  <c r="C33" i="4"/>
  <c r="E32" i="4" l="1"/>
  <c r="N32" i="4" s="1"/>
  <c r="L32" i="3"/>
  <c r="H26" i="10"/>
  <c r="J27" i="6"/>
  <c r="C26" i="10"/>
  <c r="I27" i="6"/>
  <c r="G33" i="5"/>
  <c r="H33" i="5"/>
  <c r="I33" i="5"/>
  <c r="W34" i="4"/>
  <c r="B34" i="4" s="1"/>
  <c r="K32" i="4"/>
  <c r="I32" i="3"/>
  <c r="Y26" i="6"/>
  <c r="J32" i="3" s="1"/>
  <c r="G28" i="6"/>
  <c r="Q26" i="6"/>
  <c r="V27" i="6"/>
  <c r="N27" i="6"/>
  <c r="H33" i="4" s="1"/>
  <c r="E27" i="6"/>
  <c r="A34" i="5"/>
  <c r="A34" i="4"/>
  <c r="X34" i="4"/>
  <c r="B35" i="5"/>
  <c r="B35" i="3"/>
  <c r="A34" i="3"/>
  <c r="V35" i="4"/>
  <c r="Z26" i="6" l="1"/>
  <c r="K32" i="3" s="1"/>
  <c r="G28" i="10"/>
  <c r="F27" i="10"/>
  <c r="R35" i="4"/>
  <c r="AB35" i="4" s="1"/>
  <c r="H29" i="6"/>
  <c r="F28" i="6"/>
  <c r="L32" i="4"/>
  <c r="S26" i="6"/>
  <c r="K26" i="6"/>
  <c r="L26" i="6"/>
  <c r="R26" i="6"/>
  <c r="M32" i="4" s="1"/>
  <c r="D25" i="10" s="1"/>
  <c r="M26" i="6"/>
  <c r="P27" i="6"/>
  <c r="J33" i="4" s="1"/>
  <c r="X27" i="6"/>
  <c r="A26" i="10"/>
  <c r="B27" i="10"/>
  <c r="U26" i="6"/>
  <c r="L33" i="5"/>
  <c r="I26" i="10"/>
  <c r="O32" i="4"/>
  <c r="W27" i="6"/>
  <c r="H33" i="3" s="1"/>
  <c r="O27" i="6"/>
  <c r="I33" i="4" s="1"/>
  <c r="G33" i="3"/>
  <c r="T26" i="6"/>
  <c r="K35" i="5"/>
  <c r="F34" i="5"/>
  <c r="D34" i="5"/>
  <c r="J34" i="5"/>
  <c r="E34" i="5"/>
  <c r="C34" i="5"/>
  <c r="F34" i="3"/>
  <c r="U35" i="4"/>
  <c r="D34" i="3"/>
  <c r="D34" i="4"/>
  <c r="C34" i="3"/>
  <c r="G34" i="4"/>
  <c r="P32" i="4"/>
  <c r="E34" i="3"/>
  <c r="Q32" i="4"/>
  <c r="S35" i="4"/>
  <c r="N35" i="3"/>
  <c r="C34" i="4"/>
  <c r="F34" i="4"/>
  <c r="L33" i="3" l="1"/>
  <c r="C27" i="10"/>
  <c r="I28" i="6"/>
  <c r="E33" i="4"/>
  <c r="H27" i="10"/>
  <c r="W35" i="4"/>
  <c r="B35" i="4" s="1"/>
  <c r="G34" i="5"/>
  <c r="H34" i="5"/>
  <c r="I34" i="5"/>
  <c r="J28" i="6"/>
  <c r="I33" i="3"/>
  <c r="K33" i="4"/>
  <c r="G29" i="6"/>
  <c r="Y27" i="6"/>
  <c r="J33" i="3" s="1"/>
  <c r="Q27" i="6"/>
  <c r="M27" i="6" s="1"/>
  <c r="N28" i="6"/>
  <c r="V28" i="6"/>
  <c r="E28" i="6"/>
  <c r="A35" i="5"/>
  <c r="A35" i="3"/>
  <c r="X35" i="4"/>
  <c r="B36" i="5"/>
  <c r="V36" i="4"/>
  <c r="A35" i="4"/>
  <c r="B36" i="3"/>
  <c r="S27" i="6" l="1"/>
  <c r="U27" i="6"/>
  <c r="K27" i="6"/>
  <c r="Z27" i="6"/>
  <c r="K33" i="3" s="1"/>
  <c r="F28" i="10"/>
  <c r="F29" i="6"/>
  <c r="R36" i="4"/>
  <c r="AB36" i="4" s="1"/>
  <c r="H30" i="6"/>
  <c r="I27" i="10"/>
  <c r="G34" i="3"/>
  <c r="P28" i="6"/>
  <c r="J34" i="4" s="1"/>
  <c r="X28" i="6"/>
  <c r="W28" i="6"/>
  <c r="H34" i="3" s="1"/>
  <c r="O28" i="6"/>
  <c r="I34" i="4" s="1"/>
  <c r="B28" i="10"/>
  <c r="A27" i="10"/>
  <c r="R27" i="6"/>
  <c r="M33" i="4" s="1"/>
  <c r="D26" i="10" s="1"/>
  <c r="L33" i="4"/>
  <c r="L27" i="6"/>
  <c r="T27" i="6"/>
  <c r="L34" i="5"/>
  <c r="N33" i="4"/>
  <c r="O33" i="4"/>
  <c r="H34" i="4"/>
  <c r="C35" i="5"/>
  <c r="D35" i="5"/>
  <c r="K36" i="5"/>
  <c r="E35" i="5"/>
  <c r="F35" i="5"/>
  <c r="J35" i="5"/>
  <c r="F35" i="4"/>
  <c r="C35" i="4"/>
  <c r="G35" i="4"/>
  <c r="F35" i="3"/>
  <c r="E35" i="3"/>
  <c r="S36" i="4"/>
  <c r="U36" i="4"/>
  <c r="N36" i="3"/>
  <c r="C35" i="3"/>
  <c r="D35" i="4"/>
  <c r="Q33" i="4"/>
  <c r="D35" i="3"/>
  <c r="P33" i="4"/>
  <c r="W36" i="4" l="1"/>
  <c r="B36" i="4" s="1"/>
  <c r="H28" i="10"/>
  <c r="E34" i="4"/>
  <c r="J29" i="6"/>
  <c r="L34" i="3"/>
  <c r="C28" i="10"/>
  <c r="I29" i="6"/>
  <c r="G35" i="5"/>
  <c r="I35" i="5"/>
  <c r="H35" i="5"/>
  <c r="Y28" i="6"/>
  <c r="J34" i="3" s="1"/>
  <c r="G30" i="6"/>
  <c r="N29" i="6"/>
  <c r="V29" i="6"/>
  <c r="E29" i="6"/>
  <c r="K34" i="4"/>
  <c r="I34" i="3"/>
  <c r="Q28" i="6"/>
  <c r="R28" i="6" s="1"/>
  <c r="M34" i="4" s="1"/>
  <c r="D27" i="10" s="1"/>
  <c r="A36" i="5"/>
  <c r="A36" i="4"/>
  <c r="V37" i="4"/>
  <c r="B37" i="5"/>
  <c r="A36" i="3"/>
  <c r="B37" i="3"/>
  <c r="X36" i="4"/>
  <c r="K28" i="6" l="1"/>
  <c r="Z28" i="6"/>
  <c r="K34" i="3" s="1"/>
  <c r="S28" i="6"/>
  <c r="R37" i="4"/>
  <c r="AB37" i="4" s="1"/>
  <c r="H31" i="6"/>
  <c r="F30" i="6"/>
  <c r="H35" i="4"/>
  <c r="W29" i="6"/>
  <c r="H35" i="3" s="1"/>
  <c r="O29" i="6"/>
  <c r="I35" i="4" s="1"/>
  <c r="L35" i="5"/>
  <c r="G35" i="3"/>
  <c r="A28" i="10"/>
  <c r="C1" i="10" s="1"/>
  <c r="I28" i="10"/>
  <c r="O34" i="4"/>
  <c r="M28" i="6"/>
  <c r="L34" i="4"/>
  <c r="L28" i="6"/>
  <c r="U28" i="6"/>
  <c r="T28" i="6"/>
  <c r="P29" i="6"/>
  <c r="J35" i="4" s="1"/>
  <c r="X29" i="6"/>
  <c r="N34" i="4"/>
  <c r="K37" i="5"/>
  <c r="J36" i="5"/>
  <c r="F36" i="5"/>
  <c r="E36" i="5"/>
  <c r="C36" i="5"/>
  <c r="D36" i="5"/>
  <c r="C36" i="4"/>
  <c r="G36" i="4"/>
  <c r="Q34" i="4"/>
  <c r="F36" i="4"/>
  <c r="E36" i="3"/>
  <c r="D36" i="4"/>
  <c r="N37" i="3"/>
  <c r="D36" i="3"/>
  <c r="S37" i="4"/>
  <c r="U37" i="4"/>
  <c r="C36" i="3"/>
  <c r="P34" i="4"/>
  <c r="F36" i="3"/>
  <c r="Y29" i="6" l="1"/>
  <c r="J35" i="3" s="1"/>
  <c r="H36" i="5"/>
  <c r="I36" i="5"/>
  <c r="G36" i="5"/>
  <c r="W37" i="4"/>
  <c r="B37" i="4" s="1"/>
  <c r="J30" i="6"/>
  <c r="L35" i="3"/>
  <c r="I30" i="6"/>
  <c r="E35" i="4"/>
  <c r="Q29" i="6"/>
  <c r="S29" i="6" s="1"/>
  <c r="I35" i="3"/>
  <c r="K35" i="4"/>
  <c r="G31" i="6"/>
  <c r="V30" i="6"/>
  <c r="N30" i="6"/>
  <c r="E30" i="6"/>
  <c r="A37" i="5"/>
  <c r="X37" i="4"/>
  <c r="B38" i="3"/>
  <c r="A37" i="4"/>
  <c r="B38" i="5"/>
  <c r="A37" i="3"/>
  <c r="V38" i="4"/>
  <c r="Z29" i="6" l="1"/>
  <c r="K35" i="3" s="1"/>
  <c r="R29" i="6"/>
  <c r="M35" i="4" s="1"/>
  <c r="D28" i="10" s="1"/>
  <c r="U29" i="6"/>
  <c r="F31" i="6"/>
  <c r="R38" i="4"/>
  <c r="AB38" i="4" s="1"/>
  <c r="H32" i="6"/>
  <c r="P30" i="6"/>
  <c r="J36" i="4" s="1"/>
  <c r="X30" i="6"/>
  <c r="H36" i="4"/>
  <c r="N35" i="4"/>
  <c r="O35" i="4"/>
  <c r="G36" i="3"/>
  <c r="M29" i="6"/>
  <c r="L35" i="4"/>
  <c r="T29" i="6"/>
  <c r="L29" i="6"/>
  <c r="K29" i="6"/>
  <c r="O30" i="6"/>
  <c r="I36" i="4" s="1"/>
  <c r="W30" i="6"/>
  <c r="H36" i="3" s="1"/>
  <c r="L36" i="5"/>
  <c r="J37" i="5"/>
  <c r="E37" i="5"/>
  <c r="K38" i="5"/>
  <c r="D37" i="5"/>
  <c r="F37" i="5"/>
  <c r="C37" i="5"/>
  <c r="C37" i="3"/>
  <c r="D37" i="4"/>
  <c r="D37" i="3"/>
  <c r="G37" i="4"/>
  <c r="U38" i="4"/>
  <c r="E37" i="3"/>
  <c r="S38" i="4"/>
  <c r="P35" i="4"/>
  <c r="C37" i="4"/>
  <c r="N38" i="3"/>
  <c r="F37" i="4"/>
  <c r="F37" i="3"/>
  <c r="Q35" i="4"/>
  <c r="I31" i="6" l="1"/>
  <c r="W38" i="4"/>
  <c r="B38" i="4" s="1"/>
  <c r="E36" i="4"/>
  <c r="J31" i="6"/>
  <c r="L36" i="3"/>
  <c r="G37" i="5"/>
  <c r="I37" i="5"/>
  <c r="H37" i="5"/>
  <c r="G32" i="6"/>
  <c r="Y30" i="6"/>
  <c r="I36" i="3"/>
  <c r="K36" i="4"/>
  <c r="V31" i="6"/>
  <c r="N31" i="6"/>
  <c r="E31" i="6"/>
  <c r="Q30" i="6"/>
  <c r="R30" i="6" s="1"/>
  <c r="M36" i="4" s="1"/>
  <c r="A38" i="5"/>
  <c r="V39" i="4"/>
  <c r="B39" i="5"/>
  <c r="X38" i="4"/>
  <c r="A38" i="4"/>
  <c r="B39" i="3"/>
  <c r="A38" i="3"/>
  <c r="L37" i="5" l="1"/>
  <c r="S30" i="6"/>
  <c r="T30" i="6"/>
  <c r="M30" i="6"/>
  <c r="R39" i="4"/>
  <c r="AB39" i="4" s="1"/>
  <c r="H33" i="6"/>
  <c r="F32" i="6"/>
  <c r="L36" i="4"/>
  <c r="U30" i="6"/>
  <c r="H37" i="4"/>
  <c r="K30" i="6"/>
  <c r="G37" i="3"/>
  <c r="W31" i="6"/>
  <c r="H37" i="3" s="1"/>
  <c r="O31" i="6"/>
  <c r="I37" i="4" s="1"/>
  <c r="L30" i="6"/>
  <c r="O36" i="4"/>
  <c r="N36" i="4"/>
  <c r="J36" i="3"/>
  <c r="Z30" i="6"/>
  <c r="K36" i="3" s="1"/>
  <c r="P31" i="6"/>
  <c r="J37" i="4" s="1"/>
  <c r="X31" i="6"/>
  <c r="C38" i="5"/>
  <c r="E38" i="5"/>
  <c r="F38" i="5"/>
  <c r="D38" i="5"/>
  <c r="J38" i="5"/>
  <c r="K39" i="5"/>
  <c r="C38" i="3"/>
  <c r="D38" i="3"/>
  <c r="G38" i="4"/>
  <c r="C38" i="4"/>
  <c r="F38" i="3"/>
  <c r="P36" i="4"/>
  <c r="D38" i="4"/>
  <c r="N39" i="3"/>
  <c r="F38" i="4"/>
  <c r="S39" i="4"/>
  <c r="U39" i="4"/>
  <c r="E38" i="3"/>
  <c r="Q36" i="4"/>
  <c r="Q31" i="6" l="1"/>
  <c r="T31" i="6" s="1"/>
  <c r="L37" i="3"/>
  <c r="I38" i="5"/>
  <c r="H38" i="5"/>
  <c r="G38" i="5"/>
  <c r="W39" i="4"/>
  <c r="B39" i="4" s="1"/>
  <c r="I32" i="6"/>
  <c r="J32" i="6"/>
  <c r="E37" i="4"/>
  <c r="N37" i="4" s="1"/>
  <c r="N32" i="6"/>
  <c r="H38" i="4" s="1"/>
  <c r="V32" i="6"/>
  <c r="E32" i="6"/>
  <c r="G33" i="6"/>
  <c r="K37" i="4"/>
  <c r="I37" i="3"/>
  <c r="Y31" i="6"/>
  <c r="A39" i="5"/>
  <c r="B40" i="3"/>
  <c r="B40" i="5"/>
  <c r="A39" i="3"/>
  <c r="X39" i="4"/>
  <c r="A39" i="4"/>
  <c r="V40" i="4"/>
  <c r="L37" i="4" l="1"/>
  <c r="M31" i="6"/>
  <c r="L31" i="6"/>
  <c r="K31" i="6"/>
  <c r="R31" i="6"/>
  <c r="M37" i="4" s="1"/>
  <c r="U31" i="6"/>
  <c r="S31" i="6"/>
  <c r="R40" i="4"/>
  <c r="AB40" i="4" s="1"/>
  <c r="H34" i="6"/>
  <c r="F33" i="6"/>
  <c r="P32" i="6"/>
  <c r="J38" i="4" s="1"/>
  <c r="X32" i="6"/>
  <c r="O37" i="4"/>
  <c r="L38" i="5"/>
  <c r="G38" i="3"/>
  <c r="J37" i="3"/>
  <c r="Z31" i="6"/>
  <c r="K37" i="3" s="1"/>
  <c r="W32" i="6"/>
  <c r="H38" i="3" s="1"/>
  <c r="O32" i="6"/>
  <c r="I38" i="4" s="1"/>
  <c r="D39" i="5"/>
  <c r="C39" i="5"/>
  <c r="F39" i="5"/>
  <c r="E39" i="5"/>
  <c r="J39" i="5"/>
  <c r="K40" i="5"/>
  <c r="N40" i="3"/>
  <c r="P37" i="4"/>
  <c r="D39" i="4"/>
  <c r="F39" i="3"/>
  <c r="Q37" i="4"/>
  <c r="E39" i="3"/>
  <c r="S40" i="4"/>
  <c r="F39" i="4"/>
  <c r="U40" i="4"/>
  <c r="D39" i="3"/>
  <c r="G39" i="4"/>
  <c r="C39" i="3"/>
  <c r="C39" i="4"/>
  <c r="I33" i="6" l="1"/>
  <c r="E38" i="4"/>
  <c r="W40" i="4"/>
  <c r="B40" i="4" s="1"/>
  <c r="I39" i="5"/>
  <c r="H39" i="5"/>
  <c r="G39" i="5"/>
  <c r="J33" i="6"/>
  <c r="L38" i="3"/>
  <c r="I38" i="3"/>
  <c r="K38" i="4"/>
  <c r="Q32" i="6"/>
  <c r="M32" i="6" s="1"/>
  <c r="V33" i="6"/>
  <c r="N33" i="6"/>
  <c r="E33" i="6"/>
  <c r="Y32" i="6"/>
  <c r="J38" i="3" s="1"/>
  <c r="G34" i="6"/>
  <c r="A40" i="5"/>
  <c r="B41" i="3"/>
  <c r="A40" i="3"/>
  <c r="X40" i="4"/>
  <c r="V41" i="4"/>
  <c r="A40" i="4"/>
  <c r="B41" i="5"/>
  <c r="L39" i="5" l="1"/>
  <c r="F34" i="6"/>
  <c r="H35" i="6"/>
  <c r="R41" i="4"/>
  <c r="AB41" i="4" s="1"/>
  <c r="H39" i="4"/>
  <c r="G39" i="3"/>
  <c r="R32" i="6"/>
  <c r="M38" i="4" s="1"/>
  <c r="L38" i="4"/>
  <c r="U32" i="6"/>
  <c r="L32" i="6"/>
  <c r="K32" i="6"/>
  <c r="O33" i="6"/>
  <c r="I39" i="4" s="1"/>
  <c r="W33" i="6"/>
  <c r="H39" i="3" s="1"/>
  <c r="N38" i="4"/>
  <c r="O38" i="4"/>
  <c r="S32" i="6"/>
  <c r="P33" i="6"/>
  <c r="J39" i="4" s="1"/>
  <c r="X33" i="6"/>
  <c r="T32" i="6"/>
  <c r="Z32" i="6"/>
  <c r="K38" i="3" s="1"/>
  <c r="C40" i="5"/>
  <c r="D40" i="5"/>
  <c r="J40" i="5"/>
  <c r="E40" i="5"/>
  <c r="K41" i="5"/>
  <c r="F40" i="5"/>
  <c r="G40" i="4"/>
  <c r="Q38" i="4"/>
  <c r="C40" i="4"/>
  <c r="F40" i="4"/>
  <c r="N41" i="3"/>
  <c r="D40" i="4"/>
  <c r="P38" i="4"/>
  <c r="D40" i="3"/>
  <c r="C40" i="3"/>
  <c r="U41" i="4"/>
  <c r="E40" i="3"/>
  <c r="F40" i="3"/>
  <c r="S41" i="4"/>
  <c r="W41" i="4" l="1"/>
  <c r="B41" i="4" s="1"/>
  <c r="J34" i="6"/>
  <c r="E39" i="4"/>
  <c r="L39" i="3"/>
  <c r="G40" i="5"/>
  <c r="H40" i="5"/>
  <c r="I40" i="5"/>
  <c r="I34" i="6"/>
  <c r="K39" i="4"/>
  <c r="I39" i="3"/>
  <c r="Y33" i="6"/>
  <c r="J39" i="3" s="1"/>
  <c r="Q33" i="6"/>
  <c r="S33" i="6" s="1"/>
  <c r="G35" i="6"/>
  <c r="V34" i="6"/>
  <c r="N34" i="6"/>
  <c r="E34" i="6"/>
  <c r="A41" i="5"/>
  <c r="B42" i="5"/>
  <c r="B42" i="3"/>
  <c r="X41" i="4"/>
  <c r="A41" i="3"/>
  <c r="A41" i="4"/>
  <c r="V42" i="4"/>
  <c r="K33" i="6" l="1"/>
  <c r="Z33" i="6"/>
  <c r="K39" i="3" s="1"/>
  <c r="T33" i="6"/>
  <c r="L40" i="5"/>
  <c r="F35" i="6"/>
  <c r="R42" i="4"/>
  <c r="AB42" i="4" s="1"/>
  <c r="H36" i="6"/>
  <c r="N39" i="4"/>
  <c r="O39" i="4"/>
  <c r="P34" i="6"/>
  <c r="J40" i="4" s="1"/>
  <c r="X34" i="6"/>
  <c r="G40" i="3"/>
  <c r="W34" i="6"/>
  <c r="H40" i="3" s="1"/>
  <c r="O34" i="6"/>
  <c r="I40" i="4" s="1"/>
  <c r="M33" i="6"/>
  <c r="L39" i="4"/>
  <c r="L33" i="6"/>
  <c r="U33" i="6"/>
  <c r="R33" i="6"/>
  <c r="M39" i="4" s="1"/>
  <c r="H40" i="4"/>
  <c r="F41" i="5"/>
  <c r="D41" i="5"/>
  <c r="C41" i="5"/>
  <c r="E41" i="5"/>
  <c r="J41" i="5"/>
  <c r="K42" i="5"/>
  <c r="Q39" i="4"/>
  <c r="F41" i="4"/>
  <c r="G41" i="4"/>
  <c r="C41" i="3"/>
  <c r="D41" i="3"/>
  <c r="U42" i="4"/>
  <c r="E41" i="3"/>
  <c r="D41" i="4"/>
  <c r="P39" i="4"/>
  <c r="N42" i="3"/>
  <c r="F41" i="3"/>
  <c r="C41" i="4"/>
  <c r="S42" i="4"/>
  <c r="I35" i="6" l="1"/>
  <c r="L40" i="3"/>
  <c r="E40" i="4"/>
  <c r="W42" i="4"/>
  <c r="B42" i="4" s="1"/>
  <c r="J35" i="6"/>
  <c r="I41" i="5"/>
  <c r="H41" i="5"/>
  <c r="G41" i="5"/>
  <c r="I40" i="3"/>
  <c r="K40" i="4"/>
  <c r="Q34" i="6"/>
  <c r="M34" i="6" s="1"/>
  <c r="Y34" i="6"/>
  <c r="J40" i="3" s="1"/>
  <c r="G36" i="6"/>
  <c r="V35" i="6"/>
  <c r="N35" i="6"/>
  <c r="E35" i="6"/>
  <c r="A42" i="5"/>
  <c r="B43" i="5"/>
  <c r="A42" i="4"/>
  <c r="A42" i="3"/>
  <c r="V43" i="4"/>
  <c r="X42" i="4"/>
  <c r="B43" i="3"/>
  <c r="L41" i="5" l="1"/>
  <c r="L34" i="6"/>
  <c r="R43" i="4"/>
  <c r="AB43" i="4" s="1"/>
  <c r="H37" i="6"/>
  <c r="F36" i="6"/>
  <c r="H41" i="4"/>
  <c r="G41" i="3"/>
  <c r="Z34" i="6"/>
  <c r="K40" i="3" s="1"/>
  <c r="T34" i="6"/>
  <c r="L40" i="4"/>
  <c r="U34" i="6"/>
  <c r="S34" i="6"/>
  <c r="K34" i="6"/>
  <c r="R34" i="6"/>
  <c r="M40" i="4" s="1"/>
  <c r="O35" i="6"/>
  <c r="I41" i="4" s="1"/>
  <c r="W35" i="6"/>
  <c r="H41" i="3" s="1"/>
  <c r="P35" i="6"/>
  <c r="J41" i="4" s="1"/>
  <c r="X35" i="6"/>
  <c r="N40" i="4"/>
  <c r="O40" i="4"/>
  <c r="K43" i="5"/>
  <c r="C42" i="5"/>
  <c r="D42" i="5"/>
  <c r="F42" i="5"/>
  <c r="J42" i="5"/>
  <c r="E42" i="5"/>
  <c r="F42" i="3"/>
  <c r="N43" i="3"/>
  <c r="G42" i="4"/>
  <c r="S43" i="4"/>
  <c r="P40" i="4"/>
  <c r="D42" i="4"/>
  <c r="C42" i="4"/>
  <c r="E42" i="3"/>
  <c r="C42" i="3"/>
  <c r="D42" i="3"/>
  <c r="F42" i="4"/>
  <c r="Q40" i="4"/>
  <c r="U43" i="4"/>
  <c r="L41" i="3" l="1"/>
  <c r="E41" i="4"/>
  <c r="N41" i="4" s="1"/>
  <c r="W43" i="4"/>
  <c r="B43" i="4" s="1"/>
  <c r="I42" i="5"/>
  <c r="G42" i="5"/>
  <c r="H42" i="5"/>
  <c r="J36" i="6"/>
  <c r="I36" i="6"/>
  <c r="V36" i="6"/>
  <c r="N36" i="6"/>
  <c r="E36" i="6"/>
  <c r="Q35" i="6"/>
  <c r="T35" i="6" s="1"/>
  <c r="K41" i="4"/>
  <c r="I41" i="3"/>
  <c r="G37" i="6"/>
  <c r="Y35" i="6"/>
  <c r="J41" i="3" s="1"/>
  <c r="A43" i="5"/>
  <c r="A43" i="4"/>
  <c r="A43" i="3"/>
  <c r="V44" i="4"/>
  <c r="B44" i="3"/>
  <c r="B44" i="5"/>
  <c r="X43" i="4"/>
  <c r="R35" i="6" l="1"/>
  <c r="M41" i="4" s="1"/>
  <c r="U35" i="6"/>
  <c r="L42" i="5"/>
  <c r="R44" i="4"/>
  <c r="AB44" i="4" s="1"/>
  <c r="H38" i="6"/>
  <c r="F37" i="6"/>
  <c r="P36" i="6"/>
  <c r="J42" i="4" s="1"/>
  <c r="X36" i="6"/>
  <c r="L41" i="4"/>
  <c r="M35" i="6"/>
  <c r="K35" i="6"/>
  <c r="H42" i="4"/>
  <c r="G42" i="3"/>
  <c r="L35" i="6"/>
  <c r="O41" i="4"/>
  <c r="O36" i="6"/>
  <c r="I42" i="4" s="1"/>
  <c r="W36" i="6"/>
  <c r="H42" i="3" s="1"/>
  <c r="Z35" i="6"/>
  <c r="K41" i="3" s="1"/>
  <c r="S35" i="6"/>
  <c r="F43" i="5"/>
  <c r="K44" i="5"/>
  <c r="J43" i="5"/>
  <c r="C43" i="5"/>
  <c r="E43" i="5"/>
  <c r="D43" i="5"/>
  <c r="F43" i="4"/>
  <c r="D43" i="3"/>
  <c r="P41" i="4"/>
  <c r="G43" i="4"/>
  <c r="C43" i="4"/>
  <c r="E43" i="3"/>
  <c r="N44" i="3"/>
  <c r="C43" i="3"/>
  <c r="U44" i="4"/>
  <c r="S44" i="4"/>
  <c r="Q41" i="4"/>
  <c r="D43" i="4"/>
  <c r="F43" i="3"/>
  <c r="W44" i="4" l="1"/>
  <c r="B44" i="4" s="1"/>
  <c r="L42" i="3"/>
  <c r="G43" i="5"/>
  <c r="H43" i="5"/>
  <c r="I43" i="5"/>
  <c r="J37" i="6"/>
  <c r="I37" i="6"/>
  <c r="E42" i="4"/>
  <c r="I42" i="3"/>
  <c r="K42" i="4"/>
  <c r="Y36" i="6"/>
  <c r="J42" i="3" s="1"/>
  <c r="Q36" i="6"/>
  <c r="L42" i="4" s="1"/>
  <c r="G38" i="6"/>
  <c r="N37" i="6"/>
  <c r="V37" i="6"/>
  <c r="E37" i="6"/>
  <c r="A44" i="5"/>
  <c r="V45" i="4"/>
  <c r="X44" i="4"/>
  <c r="A44" i="3"/>
  <c r="B45" i="5"/>
  <c r="A44" i="4"/>
  <c r="B45" i="3"/>
  <c r="U36" i="6" l="1"/>
  <c r="L36" i="6"/>
  <c r="L43" i="5"/>
  <c r="K36" i="6"/>
  <c r="T36" i="6"/>
  <c r="M36" i="6"/>
  <c r="S36" i="6"/>
  <c r="R36" i="6"/>
  <c r="M42" i="4" s="1"/>
  <c r="F38" i="6"/>
  <c r="H39" i="6"/>
  <c r="R45" i="4"/>
  <c r="AB45" i="4" s="1"/>
  <c r="G43" i="3"/>
  <c r="O37" i="6"/>
  <c r="I43" i="4" s="1"/>
  <c r="W37" i="6"/>
  <c r="H43" i="3" s="1"/>
  <c r="H43" i="4"/>
  <c r="P37" i="6"/>
  <c r="J43" i="4" s="1"/>
  <c r="X37" i="6"/>
  <c r="O42" i="4"/>
  <c r="Z36" i="6"/>
  <c r="K42" i="3" s="1"/>
  <c r="N42" i="4"/>
  <c r="D44" i="5"/>
  <c r="E44" i="5"/>
  <c r="C44" i="5"/>
  <c r="K45" i="5"/>
  <c r="J44" i="5"/>
  <c r="F44" i="5"/>
  <c r="D44" i="4"/>
  <c r="G44" i="4"/>
  <c r="P42" i="4"/>
  <c r="C44" i="4"/>
  <c r="E44" i="3"/>
  <c r="U45" i="4"/>
  <c r="C44" i="3"/>
  <c r="D44" i="3"/>
  <c r="Q42" i="4"/>
  <c r="F44" i="4"/>
  <c r="F44" i="3"/>
  <c r="N45" i="3"/>
  <c r="S45" i="4"/>
  <c r="Y37" i="6" l="1"/>
  <c r="J43" i="3" s="1"/>
  <c r="J38" i="6"/>
  <c r="L43" i="3"/>
  <c r="I38" i="6"/>
  <c r="W45" i="4"/>
  <c r="B45" i="4" s="1"/>
  <c r="E43" i="4"/>
  <c r="N43" i="4" s="1"/>
  <c r="G44" i="5"/>
  <c r="H44" i="5"/>
  <c r="I44" i="5"/>
  <c r="G39" i="6"/>
  <c r="K43" i="4"/>
  <c r="I43" i="3"/>
  <c r="N38" i="6"/>
  <c r="V38" i="6"/>
  <c r="E38" i="6"/>
  <c r="Q37" i="6"/>
  <c r="L43" i="4" s="1"/>
  <c r="Z37" i="6"/>
  <c r="K43" i="3" s="1"/>
  <c r="A45" i="5"/>
  <c r="X45" i="4"/>
  <c r="A45" i="3"/>
  <c r="B46" i="3"/>
  <c r="B46" i="5"/>
  <c r="V46" i="4"/>
  <c r="A45" i="4"/>
  <c r="F39" i="6" l="1"/>
  <c r="R46" i="4"/>
  <c r="AB46" i="4" s="1"/>
  <c r="H40" i="6"/>
  <c r="G44" i="3"/>
  <c r="L44" i="5"/>
  <c r="M37" i="6"/>
  <c r="H44" i="4"/>
  <c r="T37" i="6"/>
  <c r="O43" i="4"/>
  <c r="K37" i="6"/>
  <c r="R37" i="6"/>
  <c r="M43" i="4" s="1"/>
  <c r="O38" i="6"/>
  <c r="I44" i="4" s="1"/>
  <c r="W38" i="6"/>
  <c r="H44" i="3" s="1"/>
  <c r="S37" i="6"/>
  <c r="U37" i="6"/>
  <c r="L37" i="6"/>
  <c r="P38" i="6"/>
  <c r="J44" i="4" s="1"/>
  <c r="X38" i="6"/>
  <c r="D45" i="5"/>
  <c r="F45" i="5"/>
  <c r="J45" i="5"/>
  <c r="K46" i="5"/>
  <c r="C45" i="5"/>
  <c r="E45" i="5"/>
  <c r="E45" i="3"/>
  <c r="C45" i="3"/>
  <c r="C45" i="4"/>
  <c r="Q43" i="4"/>
  <c r="D45" i="4"/>
  <c r="F45" i="3"/>
  <c r="U46" i="4"/>
  <c r="P43" i="4"/>
  <c r="D45" i="3"/>
  <c r="G45" i="4"/>
  <c r="N46" i="3"/>
  <c r="S46" i="4"/>
  <c r="F45" i="4"/>
  <c r="Q38" i="6" l="1"/>
  <c r="U38" i="6" s="1"/>
  <c r="W46" i="4"/>
  <c r="B46" i="4" s="1"/>
  <c r="J39" i="6"/>
  <c r="E44" i="4"/>
  <c r="I39" i="6"/>
  <c r="L44" i="3"/>
  <c r="I45" i="5"/>
  <c r="G45" i="5"/>
  <c r="H45" i="5"/>
  <c r="K44" i="4"/>
  <c r="I44" i="3"/>
  <c r="G40" i="6"/>
  <c r="Y38" i="6"/>
  <c r="J44" i="3" s="1"/>
  <c r="N39" i="6"/>
  <c r="V39" i="6"/>
  <c r="E39" i="6"/>
  <c r="A46" i="5"/>
  <c r="A46" i="4"/>
  <c r="B47" i="3"/>
  <c r="X46" i="4"/>
  <c r="V47" i="4"/>
  <c r="A46" i="3"/>
  <c r="B47" i="5"/>
  <c r="L38" i="6" l="1"/>
  <c r="S38" i="6"/>
  <c r="M38" i="6"/>
  <c r="L44" i="4"/>
  <c r="K38" i="6"/>
  <c r="R38" i="6"/>
  <c r="M44" i="4" s="1"/>
  <c r="T38" i="6"/>
  <c r="L45" i="5"/>
  <c r="F40" i="6"/>
  <c r="H41" i="6"/>
  <c r="R47" i="4"/>
  <c r="AB47" i="4" s="1"/>
  <c r="G45" i="3"/>
  <c r="O44" i="4"/>
  <c r="P39" i="6"/>
  <c r="J45" i="4" s="1"/>
  <c r="X39" i="6"/>
  <c r="W39" i="6"/>
  <c r="H45" i="3" s="1"/>
  <c r="O39" i="6"/>
  <c r="I45" i="4" s="1"/>
  <c r="N44" i="4"/>
  <c r="H45" i="4"/>
  <c r="Z38" i="6"/>
  <c r="K44" i="3" s="1"/>
  <c r="K47" i="5"/>
  <c r="C46" i="5"/>
  <c r="D46" i="5"/>
  <c r="E46" i="5"/>
  <c r="J46" i="5"/>
  <c r="F46" i="5"/>
  <c r="S47" i="4"/>
  <c r="F46" i="4"/>
  <c r="C46" i="3"/>
  <c r="E46" i="3"/>
  <c r="P44" i="4"/>
  <c r="N47" i="3"/>
  <c r="F46" i="3"/>
  <c r="C46" i="4"/>
  <c r="Q44" i="4"/>
  <c r="U47" i="4"/>
  <c r="D46" i="4"/>
  <c r="G46" i="4"/>
  <c r="D46" i="3"/>
  <c r="Y39" i="6" l="1"/>
  <c r="J45" i="3" s="1"/>
  <c r="E45" i="4"/>
  <c r="N45" i="4" s="1"/>
  <c r="L45" i="3"/>
  <c r="I40" i="6"/>
  <c r="W47" i="4"/>
  <c r="B47" i="4" s="1"/>
  <c r="H46" i="5"/>
  <c r="I46" i="5"/>
  <c r="G46" i="5"/>
  <c r="J40" i="6"/>
  <c r="G41" i="6"/>
  <c r="N40" i="6"/>
  <c r="V40" i="6"/>
  <c r="E40" i="6"/>
  <c r="I45" i="3"/>
  <c r="K45" i="4"/>
  <c r="M39" i="6"/>
  <c r="Q39" i="6"/>
  <c r="R39" i="6" s="1"/>
  <c r="M45" i="4" s="1"/>
  <c r="A47" i="5"/>
  <c r="B48" i="5"/>
  <c r="A47" i="3"/>
  <c r="X47" i="4"/>
  <c r="V48" i="4"/>
  <c r="B48" i="3"/>
  <c r="A47" i="4"/>
  <c r="K39" i="6" l="1"/>
  <c r="Z39" i="6"/>
  <c r="K45" i="3" s="1"/>
  <c r="S39" i="6"/>
  <c r="U39" i="6"/>
  <c r="H42" i="6"/>
  <c r="R48" i="4"/>
  <c r="AB48" i="4" s="1"/>
  <c r="F41" i="6"/>
  <c r="G46" i="3"/>
  <c r="L46" i="5"/>
  <c r="P40" i="6"/>
  <c r="J46" i="4" s="1"/>
  <c r="X40" i="6"/>
  <c r="L39" i="6"/>
  <c r="L45" i="4"/>
  <c r="T39" i="6"/>
  <c r="O40" i="6"/>
  <c r="I46" i="4" s="1"/>
  <c r="W40" i="6"/>
  <c r="H46" i="3" s="1"/>
  <c r="H46" i="4"/>
  <c r="O45" i="4"/>
  <c r="J47" i="5"/>
  <c r="F47" i="5"/>
  <c r="K48" i="5"/>
  <c r="D47" i="5"/>
  <c r="E47" i="5"/>
  <c r="C47" i="5"/>
  <c r="P45" i="4"/>
  <c r="D47" i="3"/>
  <c r="U48" i="4"/>
  <c r="F47" i="4"/>
  <c r="C47" i="3"/>
  <c r="N48" i="3"/>
  <c r="F47" i="3"/>
  <c r="C47" i="4"/>
  <c r="E47" i="3"/>
  <c r="Q45" i="4"/>
  <c r="S48" i="4"/>
  <c r="D47" i="4"/>
  <c r="G47" i="4"/>
  <c r="E46" i="4" l="1"/>
  <c r="N46" i="4" s="1"/>
  <c r="J41" i="6"/>
  <c r="H47" i="5"/>
  <c r="I47" i="5"/>
  <c r="G47" i="5"/>
  <c r="I41" i="6"/>
  <c r="W48" i="4"/>
  <c r="B48" i="4" s="1"/>
  <c r="L46" i="3"/>
  <c r="Y40" i="6"/>
  <c r="J46" i="3" s="1"/>
  <c r="Q40" i="6"/>
  <c r="T40" i="6" s="1"/>
  <c r="L40" i="6"/>
  <c r="I46" i="3"/>
  <c r="K46" i="4"/>
  <c r="V41" i="6"/>
  <c r="N41" i="6"/>
  <c r="E41" i="6"/>
  <c r="G42" i="6"/>
  <c r="A48" i="5"/>
  <c r="A48" i="3"/>
  <c r="B49" i="3"/>
  <c r="B49" i="5"/>
  <c r="V49" i="4"/>
  <c r="X48" i="4"/>
  <c r="A48" i="4"/>
  <c r="Z40" i="6" l="1"/>
  <c r="K46" i="3" s="1"/>
  <c r="H43" i="6"/>
  <c r="R49" i="4"/>
  <c r="AB49" i="4" s="1"/>
  <c r="F42" i="6"/>
  <c r="H47" i="4"/>
  <c r="O41" i="6"/>
  <c r="I47" i="4" s="1"/>
  <c r="W41" i="6"/>
  <c r="H47" i="3" s="1"/>
  <c r="M40" i="6"/>
  <c r="P41" i="6"/>
  <c r="J47" i="4" s="1"/>
  <c r="X41" i="6"/>
  <c r="K40" i="6"/>
  <c r="L47" i="5"/>
  <c r="L46" i="4"/>
  <c r="S40" i="6"/>
  <c r="R40" i="6"/>
  <c r="M46" i="4" s="1"/>
  <c r="G47" i="3"/>
  <c r="U40" i="6"/>
  <c r="O46" i="4"/>
  <c r="J48" i="5"/>
  <c r="C48" i="5"/>
  <c r="E48" i="5"/>
  <c r="F48" i="5"/>
  <c r="K49" i="5"/>
  <c r="D48" i="5"/>
  <c r="D48" i="3"/>
  <c r="N49" i="3"/>
  <c r="C48" i="4"/>
  <c r="D48" i="4"/>
  <c r="F48" i="4"/>
  <c r="U49" i="4"/>
  <c r="C48" i="3"/>
  <c r="Q46" i="4"/>
  <c r="S49" i="4"/>
  <c r="P46" i="4"/>
  <c r="G48" i="4"/>
  <c r="F48" i="3"/>
  <c r="E48" i="3"/>
  <c r="Q41" i="6" l="1"/>
  <c r="L47" i="4" s="1"/>
  <c r="Y41" i="6"/>
  <c r="J47" i="3" s="1"/>
  <c r="G48" i="5"/>
  <c r="I48" i="5"/>
  <c r="H48" i="5"/>
  <c r="E47" i="4"/>
  <c r="I42" i="6"/>
  <c r="L47" i="3"/>
  <c r="J42" i="6"/>
  <c r="W49" i="4"/>
  <c r="B49" i="4" s="1"/>
  <c r="N42" i="6"/>
  <c r="V42" i="6"/>
  <c r="E42" i="6"/>
  <c r="K47" i="4"/>
  <c r="I47" i="3"/>
  <c r="G43" i="6"/>
  <c r="A49" i="5"/>
  <c r="A49" i="3"/>
  <c r="V50" i="4"/>
  <c r="B50" i="5"/>
  <c r="A49" i="4"/>
  <c r="B50" i="3"/>
  <c r="X49" i="4"/>
  <c r="L41" i="6" l="1"/>
  <c r="L48" i="5"/>
  <c r="M41" i="6"/>
  <c r="S41" i="6"/>
  <c r="K41" i="6"/>
  <c r="T41" i="6"/>
  <c r="R41" i="6"/>
  <c r="M47" i="4" s="1"/>
  <c r="U41" i="6"/>
  <c r="Z41" i="6"/>
  <c r="K47" i="3" s="1"/>
  <c r="H44" i="6"/>
  <c r="R50" i="4"/>
  <c r="AB50" i="4" s="1"/>
  <c r="F43" i="6"/>
  <c r="P42" i="6"/>
  <c r="J48" i="4" s="1"/>
  <c r="X42" i="6"/>
  <c r="N47" i="4"/>
  <c r="O47" i="4"/>
  <c r="H48" i="4"/>
  <c r="G48" i="3"/>
  <c r="O42" i="6"/>
  <c r="I48" i="4" s="1"/>
  <c r="W42" i="6"/>
  <c r="H48" i="3" s="1"/>
  <c r="C49" i="5"/>
  <c r="K50" i="5"/>
  <c r="D49" i="5"/>
  <c r="E49" i="5"/>
  <c r="F49" i="5"/>
  <c r="J49" i="5"/>
  <c r="G49" i="4"/>
  <c r="F49" i="3"/>
  <c r="D49" i="3"/>
  <c r="C49" i="4"/>
  <c r="F49" i="4"/>
  <c r="Q47" i="4"/>
  <c r="D49" i="4"/>
  <c r="U50" i="4"/>
  <c r="S50" i="4"/>
  <c r="P47" i="4"/>
  <c r="N50" i="3"/>
  <c r="C49" i="3"/>
  <c r="E49" i="3"/>
  <c r="L48" i="3" l="1"/>
  <c r="I43" i="6"/>
  <c r="W50" i="4"/>
  <c r="B50" i="4" s="1"/>
  <c r="J43" i="6"/>
  <c r="I49" i="5"/>
  <c r="G49" i="5"/>
  <c r="H49" i="5"/>
  <c r="E48" i="4"/>
  <c r="N48" i="4" s="1"/>
  <c r="V43" i="6"/>
  <c r="N43" i="6"/>
  <c r="E43" i="6"/>
  <c r="K48" i="4"/>
  <c r="I48" i="3"/>
  <c r="Q42" i="6"/>
  <c r="L42" i="6" s="1"/>
  <c r="Y42" i="6"/>
  <c r="J48" i="3" s="1"/>
  <c r="G44" i="6"/>
  <c r="A50" i="5"/>
  <c r="A50" i="3"/>
  <c r="X50" i="4"/>
  <c r="B51" i="5"/>
  <c r="B51" i="3"/>
  <c r="A50" i="4"/>
  <c r="V51" i="4"/>
  <c r="L49" i="5" l="1"/>
  <c r="Z42" i="6"/>
  <c r="K48" i="3" s="1"/>
  <c r="F44" i="6"/>
  <c r="R51" i="4"/>
  <c r="AB51" i="4" s="1"/>
  <c r="H45" i="6"/>
  <c r="S42" i="6"/>
  <c r="U42" i="6"/>
  <c r="H49" i="4"/>
  <c r="P43" i="6"/>
  <c r="J49" i="4" s="1"/>
  <c r="X43" i="6"/>
  <c r="G49" i="3"/>
  <c r="T42" i="6"/>
  <c r="L48" i="4"/>
  <c r="R42" i="6"/>
  <c r="M48" i="4" s="1"/>
  <c r="M42" i="6"/>
  <c r="K42" i="6"/>
  <c r="W43" i="6"/>
  <c r="H49" i="3" s="1"/>
  <c r="O43" i="6"/>
  <c r="I49" i="4" s="1"/>
  <c r="O48" i="4"/>
  <c r="E50" i="5"/>
  <c r="K51" i="5"/>
  <c r="D50" i="5"/>
  <c r="F50" i="5"/>
  <c r="C50" i="5"/>
  <c r="J50" i="5"/>
  <c r="C50" i="4"/>
  <c r="Q48" i="4"/>
  <c r="F50" i="3"/>
  <c r="C50" i="3"/>
  <c r="U51" i="4"/>
  <c r="G50" i="4"/>
  <c r="E50" i="3"/>
  <c r="D50" i="3"/>
  <c r="S51" i="4"/>
  <c r="D50" i="4"/>
  <c r="F50" i="4"/>
  <c r="N51" i="3"/>
  <c r="P48" i="4"/>
  <c r="Q43" i="6" l="1"/>
  <c r="T43" i="6" s="1"/>
  <c r="Y43" i="6"/>
  <c r="J49" i="3" s="1"/>
  <c r="W51" i="4"/>
  <c r="B51" i="4" s="1"/>
  <c r="E49" i="4"/>
  <c r="I44" i="6"/>
  <c r="L49" i="3"/>
  <c r="J44" i="6"/>
  <c r="H50" i="5"/>
  <c r="G50" i="5"/>
  <c r="I50" i="5"/>
  <c r="G45" i="6"/>
  <c r="I49" i="3"/>
  <c r="K49" i="4"/>
  <c r="V44" i="6"/>
  <c r="N44" i="6"/>
  <c r="E44" i="6"/>
  <c r="A51" i="5"/>
  <c r="A51" i="4"/>
  <c r="B52" i="3"/>
  <c r="B52" i="5"/>
  <c r="X51" i="4"/>
  <c r="A51" i="3"/>
  <c r="V52" i="4"/>
  <c r="S43" i="6" l="1"/>
  <c r="U43" i="6"/>
  <c r="Z43" i="6"/>
  <c r="K49" i="3" s="1"/>
  <c r="R43" i="6"/>
  <c r="M49" i="4" s="1"/>
  <c r="L43" i="6"/>
  <c r="L49" i="4"/>
  <c r="M43" i="6"/>
  <c r="K43" i="6"/>
  <c r="H46" i="6"/>
  <c r="R52" i="4"/>
  <c r="AB52" i="4" s="1"/>
  <c r="F45" i="6"/>
  <c r="L50" i="5"/>
  <c r="H50" i="4"/>
  <c r="G50" i="3"/>
  <c r="N49" i="4"/>
  <c r="O49" i="4"/>
  <c r="P44" i="6"/>
  <c r="J50" i="4" s="1"/>
  <c r="X44" i="6"/>
  <c r="O44" i="6"/>
  <c r="I50" i="4" s="1"/>
  <c r="W44" i="6"/>
  <c r="H50" i="3" s="1"/>
  <c r="F51" i="5"/>
  <c r="E51" i="5"/>
  <c r="J51" i="5"/>
  <c r="C51" i="5"/>
  <c r="D51" i="5"/>
  <c r="K52" i="5"/>
  <c r="E51" i="3"/>
  <c r="S52" i="4"/>
  <c r="Q49" i="4"/>
  <c r="U52" i="4"/>
  <c r="D51" i="4"/>
  <c r="C51" i="4"/>
  <c r="F51" i="4"/>
  <c r="P49" i="4"/>
  <c r="F51" i="3"/>
  <c r="D51" i="3"/>
  <c r="C51" i="3"/>
  <c r="G51" i="4"/>
  <c r="N52" i="3"/>
  <c r="H51" i="5" l="1"/>
  <c r="I51" i="5"/>
  <c r="G51" i="5"/>
  <c r="L50" i="3"/>
  <c r="E50" i="4"/>
  <c r="N50" i="4" s="1"/>
  <c r="I45" i="6"/>
  <c r="J45" i="6"/>
  <c r="W52" i="4"/>
  <c r="B52" i="4" s="1"/>
  <c r="I50" i="3"/>
  <c r="K50" i="4"/>
  <c r="Y44" i="6"/>
  <c r="J50" i="3" s="1"/>
  <c r="Q44" i="6"/>
  <c r="R44" i="6" s="1"/>
  <c r="M50" i="4" s="1"/>
  <c r="N45" i="6"/>
  <c r="H51" i="4" s="1"/>
  <c r="V45" i="6"/>
  <c r="E45" i="6"/>
  <c r="G46" i="6"/>
  <c r="A52" i="5"/>
  <c r="A52" i="3"/>
  <c r="B53" i="3"/>
  <c r="A52" i="4"/>
  <c r="X52" i="4"/>
  <c r="V53" i="4"/>
  <c r="B53" i="5"/>
  <c r="K44" i="6" l="1"/>
  <c r="T44" i="6"/>
  <c r="M44" i="6"/>
  <c r="L44" i="6"/>
  <c r="U44" i="6"/>
  <c r="L51" i="5"/>
  <c r="R53" i="4"/>
  <c r="AB53" i="4" s="1"/>
  <c r="H47" i="6"/>
  <c r="F46" i="6"/>
  <c r="W45" i="6"/>
  <c r="H51" i="3" s="1"/>
  <c r="O45" i="6"/>
  <c r="I51" i="4" s="1"/>
  <c r="L50" i="4"/>
  <c r="S44" i="6"/>
  <c r="G51" i="3"/>
  <c r="Z44" i="6"/>
  <c r="K50" i="3" s="1"/>
  <c r="P45" i="6"/>
  <c r="J51" i="4" s="1"/>
  <c r="X45" i="6"/>
  <c r="O50" i="4"/>
  <c r="K53" i="5"/>
  <c r="D52" i="5"/>
  <c r="E52" i="5"/>
  <c r="J52" i="5"/>
  <c r="C52" i="5"/>
  <c r="F52" i="5"/>
  <c r="E52" i="3"/>
  <c r="F52" i="4"/>
  <c r="C52" i="4"/>
  <c r="G52" i="4"/>
  <c r="Q50" i="4"/>
  <c r="S53" i="4"/>
  <c r="N53" i="3"/>
  <c r="U53" i="4"/>
  <c r="D52" i="4"/>
  <c r="C52" i="3"/>
  <c r="D52" i="3"/>
  <c r="F52" i="3"/>
  <c r="P50" i="4"/>
  <c r="J46" i="6" l="1"/>
  <c r="I46" i="6"/>
  <c r="E51" i="4"/>
  <c r="N51" i="4" s="1"/>
  <c r="L51" i="3"/>
  <c r="G52" i="5"/>
  <c r="I52" i="5"/>
  <c r="H52" i="5"/>
  <c r="W53" i="4"/>
  <c r="B53" i="4" s="1"/>
  <c r="Q45" i="6"/>
  <c r="U45" i="6" s="1"/>
  <c r="G47" i="6"/>
  <c r="I51" i="3"/>
  <c r="K51" i="4"/>
  <c r="M45" i="6"/>
  <c r="N46" i="6"/>
  <c r="V46" i="6"/>
  <c r="E46" i="6"/>
  <c r="Y45" i="6"/>
  <c r="J51" i="3" s="1"/>
  <c r="A53" i="5"/>
  <c r="V54" i="4"/>
  <c r="A53" i="3"/>
  <c r="X53" i="4"/>
  <c r="B54" i="5"/>
  <c r="A53" i="4"/>
  <c r="B54" i="3"/>
  <c r="S45" i="6" l="1"/>
  <c r="Z45" i="6"/>
  <c r="K51" i="3" s="1"/>
  <c r="F47" i="6"/>
  <c r="H48" i="6"/>
  <c r="R54" i="4"/>
  <c r="AB54" i="4" s="1"/>
  <c r="P46" i="6"/>
  <c r="J52" i="4" s="1"/>
  <c r="X46" i="6"/>
  <c r="R45" i="6"/>
  <c r="M51" i="4" s="1"/>
  <c r="L51" i="4"/>
  <c r="L45" i="6"/>
  <c r="T45" i="6"/>
  <c r="K45" i="6"/>
  <c r="O51" i="4"/>
  <c r="G52" i="3"/>
  <c r="L52" i="5"/>
  <c r="W46" i="6"/>
  <c r="H52" i="3" s="1"/>
  <c r="O46" i="6"/>
  <c r="I52" i="4" s="1"/>
  <c r="H52" i="4"/>
  <c r="K54" i="5"/>
  <c r="E53" i="5"/>
  <c r="J53" i="5"/>
  <c r="D53" i="5"/>
  <c r="F53" i="5"/>
  <c r="C53" i="5"/>
  <c r="P51" i="4"/>
  <c r="G53" i="4"/>
  <c r="D53" i="4"/>
  <c r="F53" i="4"/>
  <c r="S54" i="4"/>
  <c r="C53" i="3"/>
  <c r="Q51" i="4"/>
  <c r="U54" i="4"/>
  <c r="E53" i="3"/>
  <c r="N54" i="3"/>
  <c r="F53" i="3"/>
  <c r="C53" i="4"/>
  <c r="D53" i="3"/>
  <c r="W54" i="4" l="1"/>
  <c r="B54" i="4" s="1"/>
  <c r="I53" i="5"/>
  <c r="H53" i="5"/>
  <c r="G53" i="5"/>
  <c r="I47" i="6"/>
  <c r="L52" i="3"/>
  <c r="J47" i="6"/>
  <c r="E52" i="4"/>
  <c r="N52" i="4" s="1"/>
  <c r="K52" i="4"/>
  <c r="I52" i="3"/>
  <c r="Y46" i="6"/>
  <c r="J52" i="3" s="1"/>
  <c r="Q46" i="6"/>
  <c r="M46" i="6" s="1"/>
  <c r="V47" i="6"/>
  <c r="N47" i="6"/>
  <c r="E47" i="6"/>
  <c r="S46" i="6"/>
  <c r="A54" i="5"/>
  <c r="A54" i="4"/>
  <c r="B55" i="5"/>
  <c r="A54" i="3"/>
  <c r="X54" i="4"/>
  <c r="V55" i="4"/>
  <c r="B55" i="3"/>
  <c r="K46" i="6" l="1"/>
  <c r="U46" i="6"/>
  <c r="R46" i="6"/>
  <c r="M52" i="4" s="1"/>
  <c r="L53" i="5"/>
  <c r="H49" i="6"/>
  <c r="R55" i="4"/>
  <c r="AB55" i="4" s="1"/>
  <c r="F48" i="6"/>
  <c r="H53" i="4"/>
  <c r="Z46" i="6"/>
  <c r="K52" i="3" s="1"/>
  <c r="O47" i="6"/>
  <c r="I53" i="4" s="1"/>
  <c r="W47" i="6"/>
  <c r="H53" i="3" s="1"/>
  <c r="L52" i="4"/>
  <c r="T46" i="6"/>
  <c r="O52" i="4"/>
  <c r="G53" i="3"/>
  <c r="L46" i="6"/>
  <c r="P47" i="6"/>
  <c r="J53" i="4" s="1"/>
  <c r="X47" i="6"/>
  <c r="K55" i="5"/>
  <c r="E54" i="5"/>
  <c r="D54" i="5"/>
  <c r="C54" i="5"/>
  <c r="J54" i="5"/>
  <c r="F54" i="5"/>
  <c r="F54" i="3"/>
  <c r="F54" i="4"/>
  <c r="E54" i="3"/>
  <c r="U55" i="4"/>
  <c r="S55" i="4"/>
  <c r="G54" i="4"/>
  <c r="Q52" i="4"/>
  <c r="P52" i="4"/>
  <c r="D54" i="4"/>
  <c r="D54" i="3"/>
  <c r="N55" i="3"/>
  <c r="C54" i="4"/>
  <c r="C54" i="3"/>
  <c r="Y47" i="6" l="1"/>
  <c r="J53" i="3" s="1"/>
  <c r="E53" i="4"/>
  <c r="N53" i="4" s="1"/>
  <c r="W55" i="4"/>
  <c r="B55" i="4" s="1"/>
  <c r="L53" i="3"/>
  <c r="J48" i="6"/>
  <c r="I48" i="6"/>
  <c r="I54" i="5"/>
  <c r="H54" i="5"/>
  <c r="G54" i="5"/>
  <c r="I53" i="3"/>
  <c r="K53" i="4"/>
  <c r="Q47" i="6"/>
  <c r="R47" i="6" s="1"/>
  <c r="M53" i="4" s="1"/>
  <c r="V48" i="6"/>
  <c r="N48" i="6"/>
  <c r="E48" i="6"/>
  <c r="A55" i="5"/>
  <c r="X55" i="4"/>
  <c r="V56" i="4"/>
  <c r="A55" i="3"/>
  <c r="B56" i="5"/>
  <c r="A55" i="4"/>
  <c r="B56" i="3"/>
  <c r="L54" i="5" l="1"/>
  <c r="K47" i="6"/>
  <c r="L47" i="6"/>
  <c r="Z47" i="6"/>
  <c r="K53" i="3" s="1"/>
  <c r="T47" i="6"/>
  <c r="S47" i="6"/>
  <c r="M47" i="6"/>
  <c r="H50" i="6"/>
  <c r="R56" i="4"/>
  <c r="AB56" i="4" s="1"/>
  <c r="F49" i="6"/>
  <c r="O53" i="4"/>
  <c r="U47" i="6"/>
  <c r="L53" i="4"/>
  <c r="P48" i="6"/>
  <c r="J54" i="4" s="1"/>
  <c r="X48" i="6"/>
  <c r="H54" i="4"/>
  <c r="O48" i="6"/>
  <c r="I54" i="4" s="1"/>
  <c r="W48" i="6"/>
  <c r="H54" i="3" s="1"/>
  <c r="G54" i="3"/>
  <c r="C55" i="5"/>
  <c r="J55" i="5"/>
  <c r="E55" i="5"/>
  <c r="D55" i="5"/>
  <c r="K56" i="5"/>
  <c r="F55" i="5"/>
  <c r="N56" i="3"/>
  <c r="E55" i="3"/>
  <c r="F55" i="4"/>
  <c r="P53" i="4"/>
  <c r="Q53" i="4"/>
  <c r="D55" i="4"/>
  <c r="G55" i="4"/>
  <c r="U56" i="4"/>
  <c r="C55" i="3"/>
  <c r="S56" i="4"/>
  <c r="D55" i="3"/>
  <c r="C55" i="4"/>
  <c r="F55" i="3"/>
  <c r="Y48" i="6" l="1"/>
  <c r="J54" i="3" s="1"/>
  <c r="J49" i="6"/>
  <c r="I49" i="6"/>
  <c r="L54" i="3"/>
  <c r="I55" i="5"/>
  <c r="H55" i="5"/>
  <c r="G55" i="5"/>
  <c r="W56" i="4"/>
  <c r="B56" i="4" s="1"/>
  <c r="E54" i="4"/>
  <c r="K54" i="4"/>
  <c r="I54" i="3"/>
  <c r="Q48" i="6"/>
  <c r="T48" i="6" s="1"/>
  <c r="N49" i="6"/>
  <c r="V49" i="6"/>
  <c r="E49" i="6"/>
  <c r="A56" i="5"/>
  <c r="B57" i="3"/>
  <c r="X56" i="4"/>
  <c r="A56" i="3"/>
  <c r="B57" i="5"/>
  <c r="V57" i="4"/>
  <c r="A56" i="4"/>
  <c r="S48" i="6" l="1"/>
  <c r="L48" i="6"/>
  <c r="L55" i="5"/>
  <c r="K48" i="6"/>
  <c r="U48" i="6"/>
  <c r="Z48" i="6"/>
  <c r="K54" i="3" s="1"/>
  <c r="F50" i="6"/>
  <c r="R57" i="4"/>
  <c r="AB57" i="4" s="1"/>
  <c r="H51" i="6"/>
  <c r="W49" i="6"/>
  <c r="H55" i="3" s="1"/>
  <c r="O49" i="6"/>
  <c r="I55" i="4" s="1"/>
  <c r="P49" i="6"/>
  <c r="J55" i="4" s="1"/>
  <c r="X49" i="6"/>
  <c r="H55" i="4"/>
  <c r="L54" i="4"/>
  <c r="M48" i="6"/>
  <c r="R48" i="6"/>
  <c r="M54" i="4" s="1"/>
  <c r="G55" i="3"/>
  <c r="N54" i="4"/>
  <c r="O54" i="4"/>
  <c r="D56" i="5"/>
  <c r="F56" i="5"/>
  <c r="J56" i="5"/>
  <c r="E56" i="5"/>
  <c r="C56" i="5"/>
  <c r="K57" i="5"/>
  <c r="F56" i="4"/>
  <c r="N57" i="3"/>
  <c r="G56" i="4"/>
  <c r="P54" i="4"/>
  <c r="C56" i="4"/>
  <c r="F56" i="3"/>
  <c r="D56" i="3"/>
  <c r="Q54" i="4"/>
  <c r="U57" i="4"/>
  <c r="D56" i="4"/>
  <c r="S57" i="4"/>
  <c r="E56" i="3"/>
  <c r="C56" i="3"/>
  <c r="Q49" i="6" l="1"/>
  <c r="L49" i="6" s="1"/>
  <c r="W57" i="4"/>
  <c r="B57" i="4" s="1"/>
  <c r="E55" i="4"/>
  <c r="J50" i="6"/>
  <c r="I50" i="6"/>
  <c r="L55" i="3"/>
  <c r="G56" i="5"/>
  <c r="H56" i="5"/>
  <c r="I56" i="5"/>
  <c r="K55" i="4"/>
  <c r="I55" i="3"/>
  <c r="Y49" i="6"/>
  <c r="V50" i="6"/>
  <c r="N50" i="6"/>
  <c r="E50" i="6"/>
  <c r="A57" i="5"/>
  <c r="B58" i="3"/>
  <c r="A57" i="4"/>
  <c r="B58" i="5"/>
  <c r="V58" i="4"/>
  <c r="X57" i="4"/>
  <c r="A57" i="3"/>
  <c r="S49" i="6" l="1"/>
  <c r="L56" i="5"/>
  <c r="L55" i="4"/>
  <c r="M49" i="6"/>
  <c r="T49" i="6"/>
  <c r="U49" i="6"/>
  <c r="R49" i="6"/>
  <c r="M55" i="4" s="1"/>
  <c r="K49" i="6"/>
  <c r="F51" i="6"/>
  <c r="R58" i="4"/>
  <c r="AB58" i="4" s="1"/>
  <c r="H52" i="6"/>
  <c r="N55" i="4"/>
  <c r="O55" i="4"/>
  <c r="H56" i="4"/>
  <c r="G56" i="3"/>
  <c r="W50" i="6"/>
  <c r="H56" i="3" s="1"/>
  <c r="O50" i="6"/>
  <c r="I56" i="4" s="1"/>
  <c r="P50" i="6"/>
  <c r="J56" i="4" s="1"/>
  <c r="X50" i="6"/>
  <c r="J55" i="3"/>
  <c r="Z49" i="6"/>
  <c r="K55" i="3" s="1"/>
  <c r="C57" i="5"/>
  <c r="D57" i="5"/>
  <c r="J57" i="5"/>
  <c r="F57" i="5"/>
  <c r="E57" i="5"/>
  <c r="K58" i="5"/>
  <c r="D57" i="4"/>
  <c r="U58" i="4"/>
  <c r="G57" i="4"/>
  <c r="C57" i="3"/>
  <c r="S58" i="4"/>
  <c r="F57" i="4"/>
  <c r="N58" i="3"/>
  <c r="C57" i="4"/>
  <c r="F57" i="3"/>
  <c r="P55" i="4"/>
  <c r="Q55" i="4"/>
  <c r="E57" i="3"/>
  <c r="D57" i="3"/>
  <c r="L56" i="3" l="1"/>
  <c r="W58" i="4"/>
  <c r="B58" i="4" s="1"/>
  <c r="I51" i="6"/>
  <c r="J51" i="6"/>
  <c r="G57" i="5"/>
  <c r="H57" i="5"/>
  <c r="I57" i="5"/>
  <c r="E56" i="4"/>
  <c r="N56" i="4" s="1"/>
  <c r="I56" i="3"/>
  <c r="K56" i="4"/>
  <c r="Q50" i="6"/>
  <c r="R50" i="6" s="1"/>
  <c r="M56" i="4" s="1"/>
  <c r="Y50" i="6"/>
  <c r="J56" i="3" s="1"/>
  <c r="V51" i="6"/>
  <c r="N51" i="6"/>
  <c r="E51" i="6"/>
  <c r="A58" i="5"/>
  <c r="A58" i="4"/>
  <c r="V59" i="4"/>
  <c r="X58" i="4"/>
  <c r="B59" i="3"/>
  <c r="B59" i="5"/>
  <c r="A58" i="3"/>
  <c r="Z50" i="6" l="1"/>
  <c r="K56" i="3" s="1"/>
  <c r="R59" i="4"/>
  <c r="AB59" i="4" s="1"/>
  <c r="H53" i="6"/>
  <c r="F52" i="6"/>
  <c r="K50" i="6"/>
  <c r="G57" i="3"/>
  <c r="T50" i="6"/>
  <c r="H57" i="4"/>
  <c r="L56" i="4"/>
  <c r="L50" i="6"/>
  <c r="M50" i="6"/>
  <c r="S50" i="6"/>
  <c r="W51" i="6"/>
  <c r="H57" i="3" s="1"/>
  <c r="O51" i="6"/>
  <c r="I57" i="4" s="1"/>
  <c r="L57" i="5"/>
  <c r="P51" i="6"/>
  <c r="J57" i="4" s="1"/>
  <c r="X51" i="6"/>
  <c r="U50" i="6"/>
  <c r="O56" i="4"/>
  <c r="C58" i="5"/>
  <c r="E58" i="5"/>
  <c r="K59" i="5"/>
  <c r="F58" i="5"/>
  <c r="J58" i="5"/>
  <c r="D58" i="5"/>
  <c r="G58" i="4"/>
  <c r="N59" i="3"/>
  <c r="F58" i="4"/>
  <c r="C58" i="4"/>
  <c r="U59" i="4"/>
  <c r="Q56" i="4"/>
  <c r="E58" i="3"/>
  <c r="F58" i="3"/>
  <c r="P56" i="4"/>
  <c r="S59" i="4"/>
  <c r="D58" i="4"/>
  <c r="D58" i="3"/>
  <c r="C58" i="3"/>
  <c r="I58" i="5" l="1"/>
  <c r="G58" i="5"/>
  <c r="H58" i="5"/>
  <c r="L57" i="3"/>
  <c r="W59" i="4"/>
  <c r="B59" i="4" s="1"/>
  <c r="J52" i="6"/>
  <c r="E57" i="4"/>
  <c r="I52" i="6"/>
  <c r="Q51" i="6"/>
  <c r="L57" i="4" s="1"/>
  <c r="K57" i="4"/>
  <c r="I57" i="3"/>
  <c r="Y51" i="6"/>
  <c r="J57" i="3" s="1"/>
  <c r="V52" i="6"/>
  <c r="N52" i="6"/>
  <c r="H58" i="4" s="1"/>
  <c r="E52" i="6"/>
  <c r="A59" i="5"/>
  <c r="X59" i="4"/>
  <c r="A59" i="4"/>
  <c r="A59" i="3"/>
  <c r="B60" i="5"/>
  <c r="V60" i="4"/>
  <c r="B60" i="3"/>
  <c r="K51" i="6" l="1"/>
  <c r="L51" i="6"/>
  <c r="L58" i="5"/>
  <c r="U51" i="6"/>
  <c r="M51" i="6"/>
  <c r="F53" i="6"/>
  <c r="H54" i="6"/>
  <c r="R60" i="4"/>
  <c r="AB60" i="4" s="1"/>
  <c r="G58" i="3"/>
  <c r="S51" i="6"/>
  <c r="P52" i="6"/>
  <c r="J58" i="4" s="1"/>
  <c r="X52" i="6"/>
  <c r="O57" i="4"/>
  <c r="Z51" i="6"/>
  <c r="K57" i="3" s="1"/>
  <c r="T51" i="6"/>
  <c r="O52" i="6"/>
  <c r="I58" i="4" s="1"/>
  <c r="W52" i="6"/>
  <c r="H58" i="3" s="1"/>
  <c r="R51" i="6"/>
  <c r="M57" i="4" s="1"/>
  <c r="N57" i="4"/>
  <c r="E59" i="5"/>
  <c r="C59" i="5"/>
  <c r="F59" i="5"/>
  <c r="J59" i="5"/>
  <c r="D59" i="5"/>
  <c r="K60" i="5"/>
  <c r="G59" i="4"/>
  <c r="F59" i="3"/>
  <c r="E59" i="3"/>
  <c r="N60" i="3"/>
  <c r="P57" i="4"/>
  <c r="F59" i="4"/>
  <c r="U60" i="4"/>
  <c r="D59" i="4"/>
  <c r="D59" i="3"/>
  <c r="S60" i="4"/>
  <c r="C59" i="4"/>
  <c r="C59" i="3"/>
  <c r="Q57" i="4"/>
  <c r="J53" i="6" l="1"/>
  <c r="L58" i="3"/>
  <c r="H59" i="5"/>
  <c r="I59" i="5"/>
  <c r="G59" i="5"/>
  <c r="E58" i="4"/>
  <c r="W60" i="4"/>
  <c r="B60" i="4" s="1"/>
  <c r="I53" i="6"/>
  <c r="I58" i="3"/>
  <c r="K58" i="4"/>
  <c r="Y52" i="6"/>
  <c r="J58" i="3" s="1"/>
  <c r="Q52" i="6"/>
  <c r="N53" i="6"/>
  <c r="V53" i="6"/>
  <c r="E53" i="6"/>
  <c r="A60" i="5"/>
  <c r="A60" i="4"/>
  <c r="V61" i="4"/>
  <c r="X60" i="4"/>
  <c r="A60" i="3"/>
  <c r="B61" i="3"/>
  <c r="B61" i="5"/>
  <c r="Z52" i="6" l="1"/>
  <c r="K58" i="3" s="1"/>
  <c r="L59" i="5"/>
  <c r="F54" i="6"/>
  <c r="R61" i="4"/>
  <c r="AB61" i="4" s="1"/>
  <c r="H55" i="6"/>
  <c r="H59" i="4"/>
  <c r="R52" i="6"/>
  <c r="M58" i="4" s="1"/>
  <c r="L58" i="4"/>
  <c r="T52" i="6"/>
  <c r="M52" i="6"/>
  <c r="K52" i="6"/>
  <c r="S52" i="6"/>
  <c r="O58" i="4"/>
  <c r="G59" i="3"/>
  <c r="O53" i="6"/>
  <c r="I59" i="4" s="1"/>
  <c r="W53" i="6"/>
  <c r="H59" i="3" s="1"/>
  <c r="U52" i="6"/>
  <c r="P53" i="6"/>
  <c r="J59" i="4" s="1"/>
  <c r="X53" i="6"/>
  <c r="L52" i="6"/>
  <c r="N58" i="4"/>
  <c r="F60" i="5"/>
  <c r="K61" i="5"/>
  <c r="C60" i="5"/>
  <c r="D60" i="5"/>
  <c r="E60" i="5"/>
  <c r="J60" i="5"/>
  <c r="F60" i="4"/>
  <c r="U61" i="4"/>
  <c r="N61" i="3"/>
  <c r="S61" i="4"/>
  <c r="C60" i="4"/>
  <c r="G60" i="4"/>
  <c r="D60" i="4"/>
  <c r="Q58" i="4"/>
  <c r="C60" i="3"/>
  <c r="E60" i="3"/>
  <c r="F60" i="3"/>
  <c r="D60" i="3"/>
  <c r="P58" i="4"/>
  <c r="I54" i="6" l="1"/>
  <c r="W61" i="4"/>
  <c r="B61" i="4" s="1"/>
  <c r="I60" i="5"/>
  <c r="H60" i="5"/>
  <c r="G60" i="5"/>
  <c r="L59" i="3"/>
  <c r="J54" i="6"/>
  <c r="E59" i="4"/>
  <c r="Y53" i="6"/>
  <c r="N54" i="6"/>
  <c r="V54" i="6"/>
  <c r="E54" i="6"/>
  <c r="K59" i="4"/>
  <c r="I59" i="3"/>
  <c r="Q53" i="6"/>
  <c r="T53" i="6" s="1"/>
  <c r="A61" i="5"/>
  <c r="A61" i="3"/>
  <c r="V62" i="4"/>
  <c r="A61" i="4"/>
  <c r="B62" i="5"/>
  <c r="B62" i="3"/>
  <c r="X61" i="4"/>
  <c r="L60" i="5" l="1"/>
  <c r="R53" i="6"/>
  <c r="M59" i="4" s="1"/>
  <c r="R62" i="4"/>
  <c r="AB62" i="4" s="1"/>
  <c r="H56" i="6"/>
  <c r="F55" i="6"/>
  <c r="O59" i="4"/>
  <c r="H60" i="4"/>
  <c r="W54" i="6"/>
  <c r="H60" i="3" s="1"/>
  <c r="O54" i="6"/>
  <c r="I60" i="4" s="1"/>
  <c r="N59" i="4"/>
  <c r="L59" i="4"/>
  <c r="S53" i="6"/>
  <c r="L53" i="6"/>
  <c r="U53" i="6"/>
  <c r="M53" i="6"/>
  <c r="J59" i="3"/>
  <c r="Z53" i="6"/>
  <c r="K59" i="3" s="1"/>
  <c r="K53" i="6"/>
  <c r="G60" i="3"/>
  <c r="P54" i="6"/>
  <c r="J60" i="4" s="1"/>
  <c r="X54" i="6"/>
  <c r="K62" i="5"/>
  <c r="F61" i="5"/>
  <c r="E61" i="5"/>
  <c r="D61" i="5"/>
  <c r="J61" i="5"/>
  <c r="C61" i="5"/>
  <c r="S62" i="4"/>
  <c r="U62" i="4"/>
  <c r="C61" i="3"/>
  <c r="F61" i="4"/>
  <c r="C61" i="4"/>
  <c r="F61" i="3"/>
  <c r="G61" i="4"/>
  <c r="P59" i="4"/>
  <c r="D61" i="3"/>
  <c r="N62" i="3"/>
  <c r="D61" i="4"/>
  <c r="E61" i="3"/>
  <c r="Q59" i="4"/>
  <c r="Y54" i="6" l="1"/>
  <c r="J60" i="3" s="1"/>
  <c r="L60" i="3"/>
  <c r="I55" i="6"/>
  <c r="J55" i="6"/>
  <c r="E60" i="4"/>
  <c r="N60" i="4" s="1"/>
  <c r="H61" i="5"/>
  <c r="G61" i="5"/>
  <c r="I61" i="5"/>
  <c r="W62" i="4"/>
  <c r="B62" i="4" s="1"/>
  <c r="N55" i="6"/>
  <c r="V55" i="6"/>
  <c r="E55" i="6"/>
  <c r="K60" i="4"/>
  <c r="I60" i="3"/>
  <c r="Q54" i="6"/>
  <c r="M54" i="6" s="1"/>
  <c r="A62" i="5"/>
  <c r="B63" i="3"/>
  <c r="B63" i="5"/>
  <c r="A62" i="3"/>
  <c r="V63" i="4"/>
  <c r="X62" i="4"/>
  <c r="A62" i="4"/>
  <c r="S54" i="6" l="1"/>
  <c r="R54" i="6"/>
  <c r="M60" i="4" s="1"/>
  <c r="Z54" i="6"/>
  <c r="K60" i="3" s="1"/>
  <c r="F56" i="6"/>
  <c r="R63" i="4"/>
  <c r="AB63" i="4" s="1"/>
  <c r="H57" i="6"/>
  <c r="G61" i="3"/>
  <c r="T54" i="6"/>
  <c r="L60" i="4"/>
  <c r="K54" i="6"/>
  <c r="U54" i="6"/>
  <c r="L54" i="6"/>
  <c r="W55" i="6"/>
  <c r="H61" i="3" s="1"/>
  <c r="O55" i="6"/>
  <c r="I61" i="4" s="1"/>
  <c r="H61" i="4"/>
  <c r="L61" i="5"/>
  <c r="P55" i="6"/>
  <c r="J61" i="4" s="1"/>
  <c r="X55" i="6"/>
  <c r="O60" i="4"/>
  <c r="D62" i="5"/>
  <c r="E62" i="5"/>
  <c r="K63" i="5"/>
  <c r="J62" i="5"/>
  <c r="C62" i="5"/>
  <c r="F62" i="5"/>
  <c r="G62" i="4"/>
  <c r="D62" i="4"/>
  <c r="S63" i="4"/>
  <c r="U63" i="4"/>
  <c r="P60" i="4"/>
  <c r="D62" i="3"/>
  <c r="F62" i="3"/>
  <c r="F62" i="4"/>
  <c r="Q60" i="4"/>
  <c r="E62" i="3"/>
  <c r="C62" i="3"/>
  <c r="C62" i="4"/>
  <c r="N63" i="3"/>
  <c r="I56" i="6" l="1"/>
  <c r="W63" i="4"/>
  <c r="B63" i="4" s="1"/>
  <c r="E61" i="4"/>
  <c r="J56" i="6"/>
  <c r="L61" i="3"/>
  <c r="G62" i="5"/>
  <c r="H62" i="5"/>
  <c r="I62" i="5"/>
  <c r="K61" i="4"/>
  <c r="I61" i="3"/>
  <c r="Y55" i="6"/>
  <c r="J61" i="3" s="1"/>
  <c r="Q55" i="6"/>
  <c r="K55" i="6" s="1"/>
  <c r="N56" i="6"/>
  <c r="V56" i="6"/>
  <c r="E56" i="6"/>
  <c r="A63" i="5"/>
  <c r="B64" i="3"/>
  <c r="A63" i="4"/>
  <c r="V64" i="4"/>
  <c r="B64" i="5"/>
  <c r="A63" i="3"/>
  <c r="X63" i="4"/>
  <c r="M55" i="6" l="1"/>
  <c r="S55" i="6"/>
  <c r="T55" i="6"/>
  <c r="U55" i="6"/>
  <c r="R64" i="4"/>
  <c r="AB64" i="4" s="1"/>
  <c r="H58" i="6"/>
  <c r="F57" i="6"/>
  <c r="L61" i="4"/>
  <c r="R55" i="6"/>
  <c r="M61" i="4" s="1"/>
  <c r="Z55" i="6"/>
  <c r="K61" i="3" s="1"/>
  <c r="G62" i="3"/>
  <c r="P56" i="6"/>
  <c r="J62" i="4" s="1"/>
  <c r="X56" i="6"/>
  <c r="H62" i="4"/>
  <c r="O56" i="6"/>
  <c r="I62" i="4" s="1"/>
  <c r="W56" i="6"/>
  <c r="H62" i="3" s="1"/>
  <c r="L55" i="6"/>
  <c r="L62" i="5"/>
  <c r="O61" i="4"/>
  <c r="E63" i="5"/>
  <c r="D63" i="5"/>
  <c r="K64" i="5"/>
  <c r="J63" i="5"/>
  <c r="F63" i="5"/>
  <c r="C63" i="5"/>
  <c r="F63" i="4"/>
  <c r="C63" i="3"/>
  <c r="D63" i="4"/>
  <c r="G63" i="4"/>
  <c r="S64" i="4"/>
  <c r="N64" i="3"/>
  <c r="U64" i="4"/>
  <c r="Q61" i="4"/>
  <c r="E63" i="3"/>
  <c r="P61" i="4"/>
  <c r="F63" i="3"/>
  <c r="D63" i="3"/>
  <c r="C63" i="4"/>
  <c r="Y56" i="6" l="1"/>
  <c r="J62" i="3" s="1"/>
  <c r="L62" i="3"/>
  <c r="J57" i="6"/>
  <c r="E62" i="4"/>
  <c r="N61" i="4" s="1"/>
  <c r="H63" i="5"/>
  <c r="G63" i="5"/>
  <c r="I63" i="5"/>
  <c r="I57" i="6"/>
  <c r="W64" i="4"/>
  <c r="B64" i="4" s="1"/>
  <c r="Q56" i="6"/>
  <c r="R56" i="6" s="1"/>
  <c r="M62" i="4" s="1"/>
  <c r="V57" i="6"/>
  <c r="N57" i="6"/>
  <c r="H63" i="4" s="1"/>
  <c r="E57" i="6"/>
  <c r="I62" i="3"/>
  <c r="K62" i="4"/>
  <c r="A64" i="5"/>
  <c r="V65" i="4"/>
  <c r="B65" i="5"/>
  <c r="X64" i="4"/>
  <c r="A64" i="4"/>
  <c r="A64" i="3"/>
  <c r="B65" i="3"/>
  <c r="L56" i="6" l="1"/>
  <c r="L63" i="5"/>
  <c r="Z56" i="6"/>
  <c r="K62" i="3" s="1"/>
  <c r="F58" i="6"/>
  <c r="R65" i="4"/>
  <c r="AB65" i="4" s="1"/>
  <c r="H59" i="6"/>
  <c r="O62" i="4"/>
  <c r="O57" i="6"/>
  <c r="I63" i="4" s="1"/>
  <c r="W57" i="6"/>
  <c r="H63" i="3" s="1"/>
  <c r="G63" i="3"/>
  <c r="K56" i="6"/>
  <c r="L62" i="4"/>
  <c r="S56" i="6"/>
  <c r="U56" i="6"/>
  <c r="T56" i="6"/>
  <c r="M56" i="6"/>
  <c r="P57" i="6"/>
  <c r="J63" i="4" s="1"/>
  <c r="X57" i="6"/>
  <c r="N62" i="4"/>
  <c r="D64" i="5"/>
  <c r="F64" i="5"/>
  <c r="E64" i="5"/>
  <c r="J64" i="5"/>
  <c r="C64" i="5"/>
  <c r="K65" i="5"/>
  <c r="C64" i="4"/>
  <c r="P62" i="4"/>
  <c r="E64" i="3"/>
  <c r="U65" i="4"/>
  <c r="S65" i="4"/>
  <c r="F64" i="3"/>
  <c r="N65" i="3"/>
  <c r="F64" i="4"/>
  <c r="G64" i="4"/>
  <c r="Q62" i="4"/>
  <c r="D64" i="3"/>
  <c r="D64" i="4"/>
  <c r="C64" i="3"/>
  <c r="I58" i="6" l="1"/>
  <c r="E63" i="4"/>
  <c r="J58" i="6"/>
  <c r="L63" i="3"/>
  <c r="W65" i="4"/>
  <c r="B65" i="4" s="1"/>
  <c r="G64" i="5"/>
  <c r="H64" i="5"/>
  <c r="I64" i="5"/>
  <c r="V58" i="6"/>
  <c r="N58" i="6"/>
  <c r="E58" i="6"/>
  <c r="K63" i="4"/>
  <c r="I63" i="3"/>
  <c r="Q57" i="6"/>
  <c r="M57" i="6" s="1"/>
  <c r="Y57" i="6"/>
  <c r="J63" i="3" s="1"/>
  <c r="A65" i="5"/>
  <c r="X65" i="4"/>
  <c r="B66" i="5"/>
  <c r="V66" i="4"/>
  <c r="A65" i="3"/>
  <c r="A65" i="4"/>
  <c r="B66" i="3"/>
  <c r="H60" i="6" l="1"/>
  <c r="R66" i="4"/>
  <c r="AB66" i="4" s="1"/>
  <c r="F59" i="6"/>
  <c r="K57" i="6"/>
  <c r="G64" i="3"/>
  <c r="R57" i="6"/>
  <c r="M63" i="4" s="1"/>
  <c r="L63" i="4"/>
  <c r="T57" i="6"/>
  <c r="L57" i="6"/>
  <c r="U57" i="6"/>
  <c r="H64" i="4"/>
  <c r="O63" i="4"/>
  <c r="Z57" i="6"/>
  <c r="K63" i="3" s="1"/>
  <c r="O58" i="6"/>
  <c r="I64" i="4" s="1"/>
  <c r="W58" i="6"/>
  <c r="H64" i="3" s="1"/>
  <c r="S57" i="6"/>
  <c r="L64" i="5"/>
  <c r="N63" i="4"/>
  <c r="P58" i="6"/>
  <c r="J64" i="4" s="1"/>
  <c r="X58" i="6"/>
  <c r="C65" i="5"/>
  <c r="F65" i="5"/>
  <c r="E65" i="5"/>
  <c r="K66" i="5"/>
  <c r="D65" i="5"/>
  <c r="J65" i="5"/>
  <c r="G65" i="4"/>
  <c r="S66" i="4"/>
  <c r="F65" i="3"/>
  <c r="N66" i="3"/>
  <c r="F65" i="4"/>
  <c r="E65" i="3"/>
  <c r="Q63" i="4"/>
  <c r="C65" i="3"/>
  <c r="D65" i="3"/>
  <c r="U66" i="4"/>
  <c r="P63" i="4"/>
  <c r="C65" i="4"/>
  <c r="D65" i="4"/>
  <c r="W66" i="4" l="1"/>
  <c r="B66" i="4" s="1"/>
  <c r="J59" i="6"/>
  <c r="L64" i="3"/>
  <c r="I65" i="5"/>
  <c r="H65" i="5"/>
  <c r="G65" i="5"/>
  <c r="I59" i="6"/>
  <c r="E64" i="4"/>
  <c r="K64" i="4"/>
  <c r="I64" i="3"/>
  <c r="Y58" i="6"/>
  <c r="J64" i="3" s="1"/>
  <c r="N59" i="6"/>
  <c r="V59" i="6"/>
  <c r="E59" i="6"/>
  <c r="Q58" i="6"/>
  <c r="R58" i="6" s="1"/>
  <c r="M64" i="4" s="1"/>
  <c r="K58" i="6"/>
  <c r="A66" i="5"/>
  <c r="V67" i="4"/>
  <c r="A66" i="4"/>
  <c r="B67" i="3"/>
  <c r="A66" i="3"/>
  <c r="X66" i="4"/>
  <c r="B67" i="5"/>
  <c r="L65" i="5" l="1"/>
  <c r="S58" i="6"/>
  <c r="Z58" i="6"/>
  <c r="K64" i="3" s="1"/>
  <c r="F60" i="6"/>
  <c r="R67" i="4"/>
  <c r="AB67" i="4" s="1"/>
  <c r="H61" i="6"/>
  <c r="M58" i="6"/>
  <c r="L64" i="4"/>
  <c r="G65" i="3"/>
  <c r="O59" i="6"/>
  <c r="I65" i="4" s="1"/>
  <c r="W59" i="6"/>
  <c r="H65" i="3" s="1"/>
  <c r="H65" i="4"/>
  <c r="P59" i="6"/>
  <c r="J65" i="4" s="1"/>
  <c r="X59" i="6"/>
  <c r="O64" i="4"/>
  <c r="U58" i="6"/>
  <c r="L58" i="6"/>
  <c r="T58" i="6"/>
  <c r="J66" i="5"/>
  <c r="K67" i="5"/>
  <c r="C66" i="5"/>
  <c r="F66" i="5"/>
  <c r="E66" i="5"/>
  <c r="D66" i="5"/>
  <c r="F66" i="4"/>
  <c r="S67" i="4"/>
  <c r="D66" i="4"/>
  <c r="C66" i="3"/>
  <c r="D66" i="3"/>
  <c r="G66" i="4"/>
  <c r="C66" i="4"/>
  <c r="F66" i="3"/>
  <c r="Q64" i="4"/>
  <c r="N67" i="3"/>
  <c r="P64" i="4"/>
  <c r="U67" i="4"/>
  <c r="E66" i="3"/>
  <c r="G66" i="5" l="1"/>
  <c r="I66" i="5"/>
  <c r="H66" i="5"/>
  <c r="E65" i="4"/>
  <c r="N64" i="4" s="1"/>
  <c r="W67" i="4"/>
  <c r="B67" i="4" s="1"/>
  <c r="I60" i="6"/>
  <c r="J60" i="6"/>
  <c r="L65" i="3"/>
  <c r="K65" i="4"/>
  <c r="I65" i="3"/>
  <c r="Q59" i="6"/>
  <c r="L65" i="4" s="1"/>
  <c r="Y59" i="6"/>
  <c r="J65" i="3" s="1"/>
  <c r="N60" i="6"/>
  <c r="V60" i="6"/>
  <c r="E60" i="6"/>
  <c r="A67" i="5"/>
  <c r="A67" i="3"/>
  <c r="B68" i="5"/>
  <c r="X67" i="4"/>
  <c r="V68" i="4"/>
  <c r="A67" i="4"/>
  <c r="B68" i="3"/>
  <c r="L66" i="5" l="1"/>
  <c r="S59" i="6"/>
  <c r="Z59" i="6"/>
  <c r="K65" i="3" s="1"/>
  <c r="T59" i="6"/>
  <c r="L59" i="6"/>
  <c r="N65" i="4"/>
  <c r="K59" i="6"/>
  <c r="R59" i="6"/>
  <c r="M65" i="4" s="1"/>
  <c r="F61" i="6"/>
  <c r="R68" i="4"/>
  <c r="AB68" i="4" s="1"/>
  <c r="H62" i="6"/>
  <c r="U59" i="6"/>
  <c r="P60" i="6"/>
  <c r="J66" i="4" s="1"/>
  <c r="X60" i="6"/>
  <c r="G66" i="3"/>
  <c r="O60" i="6"/>
  <c r="I66" i="4" s="1"/>
  <c r="W60" i="6"/>
  <c r="H66" i="3" s="1"/>
  <c r="H66" i="4"/>
  <c r="O65" i="4"/>
  <c r="M59" i="6"/>
  <c r="K68" i="5"/>
  <c r="D67" i="5"/>
  <c r="C67" i="5"/>
  <c r="J67" i="5"/>
  <c r="E67" i="5"/>
  <c r="F67" i="5"/>
  <c r="D67" i="3"/>
  <c r="D67" i="4"/>
  <c r="F67" i="4"/>
  <c r="E67" i="3"/>
  <c r="Q65" i="4"/>
  <c r="F67" i="3"/>
  <c r="P65" i="4"/>
  <c r="C67" i="4"/>
  <c r="N68" i="3"/>
  <c r="C67" i="3"/>
  <c r="S68" i="4"/>
  <c r="G67" i="4"/>
  <c r="U68" i="4"/>
  <c r="J61" i="6" l="1"/>
  <c r="W68" i="4"/>
  <c r="B68" i="4" s="1"/>
  <c r="L66" i="3"/>
  <c r="I61" i="6"/>
  <c r="E66" i="4"/>
  <c r="G67" i="5"/>
  <c r="I67" i="5"/>
  <c r="H67" i="5"/>
  <c r="I66" i="3"/>
  <c r="K66" i="4"/>
  <c r="Y60" i="6"/>
  <c r="Q60" i="6"/>
  <c r="U60" i="6" s="1"/>
  <c r="N61" i="6"/>
  <c r="V61" i="6"/>
  <c r="E61" i="6"/>
  <c r="A68" i="5"/>
  <c r="B69" i="3"/>
  <c r="A68" i="4"/>
  <c r="A68" i="3"/>
  <c r="B69" i="5"/>
  <c r="X68" i="4"/>
  <c r="V69" i="4"/>
  <c r="L67" i="5" l="1"/>
  <c r="L60" i="6"/>
  <c r="H63" i="6"/>
  <c r="R69" i="4"/>
  <c r="AB69" i="4" s="1"/>
  <c r="F62" i="6"/>
  <c r="O61" i="6"/>
  <c r="I67" i="4" s="1"/>
  <c r="W61" i="6"/>
  <c r="H67" i="3" s="1"/>
  <c r="L66" i="4"/>
  <c r="K60" i="6"/>
  <c r="R60" i="6"/>
  <c r="M66" i="4" s="1"/>
  <c r="J66" i="3"/>
  <c r="Z60" i="6"/>
  <c r="K66" i="3" s="1"/>
  <c r="S60" i="6"/>
  <c r="O66" i="4"/>
  <c r="T60" i="6"/>
  <c r="P61" i="6"/>
  <c r="J67" i="4" s="1"/>
  <c r="X61" i="6"/>
  <c r="M60" i="6"/>
  <c r="N66" i="4"/>
  <c r="G67" i="3"/>
  <c r="H67" i="4"/>
  <c r="D68" i="5"/>
  <c r="J68" i="5"/>
  <c r="E68" i="5"/>
  <c r="C68" i="5"/>
  <c r="F68" i="5"/>
  <c r="K69" i="5"/>
  <c r="E68" i="3"/>
  <c r="S69" i="4"/>
  <c r="P66" i="4"/>
  <c r="C68" i="4"/>
  <c r="G68" i="4"/>
  <c r="F68" i="4"/>
  <c r="C68" i="3"/>
  <c r="F68" i="3"/>
  <c r="D68" i="4"/>
  <c r="N69" i="3"/>
  <c r="D68" i="3"/>
  <c r="U69" i="4"/>
  <c r="Q66" i="4"/>
  <c r="J62" i="6" l="1"/>
  <c r="E67" i="4"/>
  <c r="W69" i="4"/>
  <c r="B69" i="4" s="1"/>
  <c r="L67" i="3"/>
  <c r="I62" i="6"/>
  <c r="I68" i="5"/>
  <c r="G68" i="5"/>
  <c r="H68" i="5"/>
  <c r="N62" i="6"/>
  <c r="V62" i="6"/>
  <c r="E62" i="6"/>
  <c r="K67" i="4"/>
  <c r="I67" i="3"/>
  <c r="Q61" i="6"/>
  <c r="M61" i="6" s="1"/>
  <c r="Y61" i="6"/>
  <c r="J67" i="3" s="1"/>
  <c r="K61" i="6"/>
  <c r="A69" i="5"/>
  <c r="B70" i="5"/>
  <c r="A69" i="4"/>
  <c r="V70" i="4"/>
  <c r="A69" i="3"/>
  <c r="X69" i="4"/>
  <c r="B70" i="3"/>
  <c r="Z61" i="6" l="1"/>
  <c r="K67" i="3" s="1"/>
  <c r="R70" i="4"/>
  <c r="AB70" i="4" s="1"/>
  <c r="H64" i="6"/>
  <c r="F63" i="6"/>
  <c r="P62" i="6"/>
  <c r="J68" i="4" s="1"/>
  <c r="X62" i="6"/>
  <c r="O67" i="4"/>
  <c r="G68" i="3"/>
  <c r="S61" i="6"/>
  <c r="L67" i="4"/>
  <c r="R61" i="6"/>
  <c r="M67" i="4" s="1"/>
  <c r="U61" i="6"/>
  <c r="H68" i="4"/>
  <c r="O62" i="6"/>
  <c r="I68" i="4" s="1"/>
  <c r="W62" i="6"/>
  <c r="H68" i="3" s="1"/>
  <c r="T61" i="6"/>
  <c r="L61" i="6"/>
  <c r="L68" i="5"/>
  <c r="N67" i="4"/>
  <c r="F69" i="5"/>
  <c r="C69" i="5"/>
  <c r="D69" i="5"/>
  <c r="J69" i="5"/>
  <c r="K70" i="5"/>
  <c r="E69" i="5"/>
  <c r="U70" i="4"/>
  <c r="D69" i="3"/>
  <c r="N70" i="3"/>
  <c r="C69" i="3"/>
  <c r="S70" i="4"/>
  <c r="P67" i="4"/>
  <c r="D69" i="4"/>
  <c r="F69" i="3"/>
  <c r="C69" i="4"/>
  <c r="F69" i="4"/>
  <c r="Q67" i="4"/>
  <c r="G69" i="4"/>
  <c r="E69" i="3"/>
  <c r="I63" i="6" l="1"/>
  <c r="I69" i="5"/>
  <c r="G69" i="5"/>
  <c r="H69" i="5"/>
  <c r="L68" i="3"/>
  <c r="E68" i="4"/>
  <c r="W70" i="4"/>
  <c r="B70" i="4" s="1"/>
  <c r="J63" i="6"/>
  <c r="I68" i="3"/>
  <c r="K68" i="4"/>
  <c r="V63" i="6"/>
  <c r="N63" i="6"/>
  <c r="E63" i="6"/>
  <c r="Y62" i="6"/>
  <c r="J68" i="3" s="1"/>
  <c r="Q62" i="6"/>
  <c r="A70" i="5"/>
  <c r="A70" i="4"/>
  <c r="B71" i="3"/>
  <c r="X70" i="4"/>
  <c r="B71" i="5"/>
  <c r="A70" i="3"/>
  <c r="V71" i="4"/>
  <c r="R71" i="4" l="1"/>
  <c r="AB71" i="4" s="1"/>
  <c r="H65" i="6"/>
  <c r="F64" i="6"/>
  <c r="L62" i="6"/>
  <c r="L68" i="4"/>
  <c r="H69" i="4"/>
  <c r="P63" i="6"/>
  <c r="J69" i="4" s="1"/>
  <c r="X63" i="6"/>
  <c r="S62" i="6"/>
  <c r="O63" i="6"/>
  <c r="I69" i="4" s="1"/>
  <c r="W63" i="6"/>
  <c r="H69" i="3" s="1"/>
  <c r="K62" i="6"/>
  <c r="O68" i="4"/>
  <c r="T62" i="6"/>
  <c r="R62" i="6"/>
  <c r="M68" i="4" s="1"/>
  <c r="G69" i="3"/>
  <c r="U62" i="6"/>
  <c r="M62" i="6"/>
  <c r="Z62" i="6"/>
  <c r="K68" i="3" s="1"/>
  <c r="L69" i="5"/>
  <c r="N68" i="4"/>
  <c r="F70" i="5"/>
  <c r="J70" i="5"/>
  <c r="D70" i="5"/>
  <c r="E70" i="5"/>
  <c r="C70" i="5"/>
  <c r="K71" i="5"/>
  <c r="U71" i="4"/>
  <c r="C70" i="4"/>
  <c r="P68" i="4"/>
  <c r="F70" i="4"/>
  <c r="F70" i="3"/>
  <c r="E70" i="3"/>
  <c r="N71" i="3"/>
  <c r="D70" i="3"/>
  <c r="D70" i="4"/>
  <c r="C70" i="3"/>
  <c r="S71" i="4"/>
  <c r="G70" i="4"/>
  <c r="Q68" i="4"/>
  <c r="Y63" i="6" l="1"/>
  <c r="J69" i="3" s="1"/>
  <c r="E69" i="4"/>
  <c r="J64" i="6"/>
  <c r="H70" i="5"/>
  <c r="I70" i="5"/>
  <c r="G70" i="5"/>
  <c r="L69" i="3"/>
  <c r="I64" i="6"/>
  <c r="W71" i="4"/>
  <c r="B71" i="4" s="1"/>
  <c r="Q63" i="6"/>
  <c r="S63" i="6" s="1"/>
  <c r="K69" i="4"/>
  <c r="I69" i="3"/>
  <c r="N64" i="6"/>
  <c r="V64" i="6"/>
  <c r="E64" i="6"/>
  <c r="A71" i="5"/>
  <c r="B72" i="3"/>
  <c r="A71" i="3"/>
  <c r="B72" i="5"/>
  <c r="X71" i="4"/>
  <c r="A71" i="4"/>
  <c r="V72" i="4"/>
  <c r="Z63" i="6" l="1"/>
  <c r="K69" i="3" s="1"/>
  <c r="M63" i="6"/>
  <c r="L70" i="5"/>
  <c r="H66" i="6"/>
  <c r="R72" i="4"/>
  <c r="AB72" i="4" s="1"/>
  <c r="F65" i="6"/>
  <c r="G70" i="3"/>
  <c r="W64" i="6"/>
  <c r="H70" i="3" s="1"/>
  <c r="O64" i="6"/>
  <c r="I70" i="4" s="1"/>
  <c r="H70" i="4"/>
  <c r="U63" i="6"/>
  <c r="R63" i="6"/>
  <c r="M69" i="4" s="1"/>
  <c r="L63" i="6"/>
  <c r="P64" i="6"/>
  <c r="J70" i="4" s="1"/>
  <c r="X64" i="6"/>
  <c r="T63" i="6"/>
  <c r="L69" i="4"/>
  <c r="K63" i="6"/>
  <c r="N69" i="4"/>
  <c r="O69" i="4"/>
  <c r="F71" i="5"/>
  <c r="C71" i="5"/>
  <c r="D71" i="5"/>
  <c r="J71" i="5"/>
  <c r="E71" i="5"/>
  <c r="K72" i="5"/>
  <c r="C71" i="3"/>
  <c r="F71" i="3"/>
  <c r="U72" i="4"/>
  <c r="P69" i="4"/>
  <c r="F71" i="4"/>
  <c r="C71" i="4"/>
  <c r="D71" i="4"/>
  <c r="S72" i="4"/>
  <c r="D71" i="3"/>
  <c r="G71" i="4"/>
  <c r="N72" i="3"/>
  <c r="E71" i="3"/>
  <c r="Q69" i="4"/>
  <c r="L70" i="3" l="1"/>
  <c r="H71" i="5"/>
  <c r="G71" i="5"/>
  <c r="I71" i="5"/>
  <c r="J65" i="6"/>
  <c r="W72" i="4"/>
  <c r="B72" i="4" s="1"/>
  <c r="E70" i="4"/>
  <c r="I65" i="6"/>
  <c r="K70" i="4"/>
  <c r="I70" i="3"/>
  <c r="Q64" i="6"/>
  <c r="S64" i="6" s="1"/>
  <c r="K64" i="6"/>
  <c r="Y64" i="6"/>
  <c r="J70" i="3" s="1"/>
  <c r="V65" i="6"/>
  <c r="N65" i="6"/>
  <c r="E65" i="6"/>
  <c r="A72" i="5"/>
  <c r="A72" i="4"/>
  <c r="B73" i="5"/>
  <c r="V73" i="4"/>
  <c r="A72" i="3"/>
  <c r="X72" i="4"/>
  <c r="B73" i="3"/>
  <c r="M64" i="6" l="1"/>
  <c r="L64" i="6"/>
  <c r="H67" i="6"/>
  <c r="R73" i="4"/>
  <c r="AB73" i="4" s="1"/>
  <c r="F66" i="6"/>
  <c r="L71" i="5"/>
  <c r="T64" i="6"/>
  <c r="Z64" i="6"/>
  <c r="K70" i="3" s="1"/>
  <c r="W65" i="6"/>
  <c r="H71" i="3" s="1"/>
  <c r="O65" i="6"/>
  <c r="I71" i="4" s="1"/>
  <c r="L70" i="4"/>
  <c r="R64" i="6"/>
  <c r="M70" i="4" s="1"/>
  <c r="P65" i="6"/>
  <c r="J71" i="4" s="1"/>
  <c r="X65" i="6"/>
  <c r="N70" i="4"/>
  <c r="O70" i="4"/>
  <c r="U64" i="6"/>
  <c r="H71" i="4"/>
  <c r="G71" i="3"/>
  <c r="E72" i="5"/>
  <c r="C72" i="5"/>
  <c r="F72" i="5"/>
  <c r="D72" i="5"/>
  <c r="J72" i="5"/>
  <c r="K73" i="5"/>
  <c r="E72" i="3"/>
  <c r="Q70" i="4"/>
  <c r="G72" i="4"/>
  <c r="S73" i="4"/>
  <c r="D72" i="3"/>
  <c r="U73" i="4"/>
  <c r="N73" i="3"/>
  <c r="C72" i="3"/>
  <c r="F72" i="4"/>
  <c r="F72" i="3"/>
  <c r="D72" i="4"/>
  <c r="P70" i="4"/>
  <c r="C72" i="4"/>
  <c r="J66" i="6" l="1"/>
  <c r="L71" i="3"/>
  <c r="E71" i="4"/>
  <c r="W73" i="4"/>
  <c r="B73" i="4" s="1"/>
  <c r="G72" i="5"/>
  <c r="H72" i="5"/>
  <c r="I72" i="5"/>
  <c r="I66" i="6"/>
  <c r="K71" i="4"/>
  <c r="I71" i="3"/>
  <c r="N66" i="6"/>
  <c r="H72" i="4" s="1"/>
  <c r="V66" i="6"/>
  <c r="E66" i="6"/>
  <c r="Q65" i="6"/>
  <c r="R65" i="6" s="1"/>
  <c r="M71" i="4" s="1"/>
  <c r="Y65" i="6"/>
  <c r="J71" i="3" s="1"/>
  <c r="A73" i="5"/>
  <c r="A73" i="3"/>
  <c r="B74" i="5"/>
  <c r="B74" i="3"/>
  <c r="X73" i="4"/>
  <c r="V74" i="4"/>
  <c r="A73" i="4"/>
  <c r="Z65" i="6" l="1"/>
  <c r="K71" i="3" s="1"/>
  <c r="H68" i="6"/>
  <c r="R74" i="4"/>
  <c r="AB74" i="4" s="1"/>
  <c r="F67" i="6"/>
  <c r="G72" i="3"/>
  <c r="K65" i="6"/>
  <c r="P66" i="6"/>
  <c r="J72" i="4" s="1"/>
  <c r="X66" i="6"/>
  <c r="L72" i="5"/>
  <c r="O71" i="4"/>
  <c r="L65" i="6"/>
  <c r="L71" i="4"/>
  <c r="U65" i="6"/>
  <c r="T65" i="6"/>
  <c r="M65" i="6"/>
  <c r="W66" i="6"/>
  <c r="H72" i="3" s="1"/>
  <c r="O66" i="6"/>
  <c r="I72" i="4" s="1"/>
  <c r="N71" i="4"/>
  <c r="S65" i="6"/>
  <c r="F73" i="5"/>
  <c r="J73" i="5"/>
  <c r="K74" i="5"/>
  <c r="C73" i="5"/>
  <c r="D73" i="5"/>
  <c r="E73" i="5"/>
  <c r="C73" i="3"/>
  <c r="S74" i="4"/>
  <c r="F73" i="3"/>
  <c r="U74" i="4"/>
  <c r="D73" i="3"/>
  <c r="N74" i="3"/>
  <c r="C73" i="4"/>
  <c r="Q71" i="4"/>
  <c r="D73" i="4"/>
  <c r="E73" i="3"/>
  <c r="F73" i="4"/>
  <c r="P71" i="4"/>
  <c r="G73" i="4"/>
  <c r="I73" i="5" l="1"/>
  <c r="G73" i="5"/>
  <c r="H73" i="5"/>
  <c r="E72" i="4"/>
  <c r="J67" i="6"/>
  <c r="W74" i="4"/>
  <c r="B74" i="4" s="1"/>
  <c r="L72" i="3"/>
  <c r="I67" i="6"/>
  <c r="V67" i="6"/>
  <c r="N67" i="6"/>
  <c r="E67" i="6"/>
  <c r="Y66" i="6"/>
  <c r="J72" i="3" s="1"/>
  <c r="K72" i="4"/>
  <c r="I72" i="3"/>
  <c r="Q66" i="6"/>
  <c r="M66" i="6" s="1"/>
  <c r="A74" i="5"/>
  <c r="A74" i="3"/>
  <c r="B75" i="3"/>
  <c r="V75" i="4"/>
  <c r="A74" i="4"/>
  <c r="X74" i="4"/>
  <c r="B75" i="5"/>
  <c r="S66" i="6" l="1"/>
  <c r="K66" i="6"/>
  <c r="Z66" i="6"/>
  <c r="K72" i="3" s="1"/>
  <c r="F68" i="6"/>
  <c r="H69" i="6"/>
  <c r="R75" i="4"/>
  <c r="AB75" i="4" s="1"/>
  <c r="G73" i="3"/>
  <c r="O72" i="4"/>
  <c r="W67" i="6"/>
  <c r="H73" i="3" s="1"/>
  <c r="O67" i="6"/>
  <c r="I73" i="4" s="1"/>
  <c r="R66" i="6"/>
  <c r="M72" i="4" s="1"/>
  <c r="L72" i="4"/>
  <c r="U66" i="6"/>
  <c r="L66" i="6"/>
  <c r="T66" i="6"/>
  <c r="H73" i="4"/>
  <c r="N72" i="4"/>
  <c r="L73" i="5"/>
  <c r="P67" i="6"/>
  <c r="J73" i="4" s="1"/>
  <c r="X67" i="6"/>
  <c r="F74" i="5"/>
  <c r="K75" i="5"/>
  <c r="E74" i="5"/>
  <c r="D74" i="5"/>
  <c r="J74" i="5"/>
  <c r="C74" i="5"/>
  <c r="E74" i="3"/>
  <c r="P72" i="4"/>
  <c r="F74" i="3"/>
  <c r="N75" i="3"/>
  <c r="D74" i="4"/>
  <c r="C74" i="4"/>
  <c r="D74" i="3"/>
  <c r="Q72" i="4"/>
  <c r="G74" i="4"/>
  <c r="F74" i="4"/>
  <c r="C74" i="3"/>
  <c r="S75" i="4"/>
  <c r="U75" i="4"/>
  <c r="W75" i="4" l="1"/>
  <c r="B75" i="4" s="1"/>
  <c r="E73" i="4"/>
  <c r="N73" i="4" s="1"/>
  <c r="J68" i="6"/>
  <c r="H74" i="5"/>
  <c r="I74" i="5"/>
  <c r="G74" i="5"/>
  <c r="I68" i="6"/>
  <c r="L73" i="3"/>
  <c r="Y67" i="6"/>
  <c r="J73" i="3" s="1"/>
  <c r="K73" i="4"/>
  <c r="I73" i="3"/>
  <c r="Q67" i="6"/>
  <c r="M67" i="6" s="1"/>
  <c r="S67" i="6"/>
  <c r="V68" i="6"/>
  <c r="N68" i="6"/>
  <c r="E68" i="6"/>
  <c r="A75" i="5"/>
  <c r="V76" i="4"/>
  <c r="B76" i="3"/>
  <c r="A75" i="4"/>
  <c r="A75" i="3"/>
  <c r="X75" i="4"/>
  <c r="B76" i="5"/>
  <c r="K67" i="6" l="1"/>
  <c r="L67" i="6"/>
  <c r="U67" i="6"/>
  <c r="L74" i="5"/>
  <c r="F69" i="6"/>
  <c r="R76" i="4"/>
  <c r="AB76" i="4" s="1"/>
  <c r="H70" i="6"/>
  <c r="W68" i="6"/>
  <c r="H74" i="3" s="1"/>
  <c r="O68" i="6"/>
  <c r="I74" i="4" s="1"/>
  <c r="Z67" i="6"/>
  <c r="K73" i="3" s="1"/>
  <c r="P68" i="6"/>
  <c r="J74" i="4" s="1"/>
  <c r="X68" i="6"/>
  <c r="O73" i="4"/>
  <c r="H74" i="4"/>
  <c r="T67" i="6"/>
  <c r="L73" i="4"/>
  <c r="R67" i="6"/>
  <c r="M73" i="4" s="1"/>
  <c r="G74" i="3"/>
  <c r="F75" i="5"/>
  <c r="C75" i="5"/>
  <c r="J75" i="5"/>
  <c r="D75" i="5"/>
  <c r="K76" i="5"/>
  <c r="E75" i="5"/>
  <c r="F75" i="3"/>
  <c r="F75" i="4"/>
  <c r="N76" i="3"/>
  <c r="C75" i="4"/>
  <c r="U76" i="4"/>
  <c r="C75" i="3"/>
  <c r="P73" i="4"/>
  <c r="S76" i="4"/>
  <c r="E75" i="3"/>
  <c r="D75" i="4"/>
  <c r="G75" i="4"/>
  <c r="D75" i="3"/>
  <c r="Q73" i="4"/>
  <c r="Y68" i="6" l="1"/>
  <c r="J74" i="3" s="1"/>
  <c r="I69" i="6"/>
  <c r="E74" i="4"/>
  <c r="J69" i="6"/>
  <c r="H75" i="5"/>
  <c r="G75" i="5"/>
  <c r="I75" i="5"/>
  <c r="L74" i="3"/>
  <c r="W76" i="4"/>
  <c r="B76" i="4" s="1"/>
  <c r="Q68" i="6"/>
  <c r="I74" i="3"/>
  <c r="K74" i="4"/>
  <c r="V69" i="6"/>
  <c r="N69" i="6"/>
  <c r="E69" i="6"/>
  <c r="A76" i="5"/>
  <c r="B77" i="3"/>
  <c r="X76" i="4"/>
  <c r="B77" i="5"/>
  <c r="A76" i="3"/>
  <c r="A76" i="4"/>
  <c r="V77" i="4"/>
  <c r="Z68" i="6" l="1"/>
  <c r="K74" i="3" s="1"/>
  <c r="L75" i="5"/>
  <c r="H71" i="6"/>
  <c r="R77" i="4"/>
  <c r="AB77" i="4" s="1"/>
  <c r="F70" i="6"/>
  <c r="G75" i="3"/>
  <c r="H75" i="4"/>
  <c r="W69" i="6"/>
  <c r="H75" i="3" s="1"/>
  <c r="O69" i="6"/>
  <c r="I75" i="4" s="1"/>
  <c r="O74" i="4"/>
  <c r="U68" i="6"/>
  <c r="L74" i="4"/>
  <c r="L68" i="6"/>
  <c r="R68" i="6"/>
  <c r="M74" i="4" s="1"/>
  <c r="T68" i="6"/>
  <c r="P69" i="6"/>
  <c r="J75" i="4" s="1"/>
  <c r="X69" i="6"/>
  <c r="S68" i="6"/>
  <c r="M68" i="6"/>
  <c r="K68" i="6"/>
  <c r="N74" i="4"/>
  <c r="E76" i="5"/>
  <c r="D76" i="5"/>
  <c r="F76" i="5"/>
  <c r="J76" i="5"/>
  <c r="K77" i="5"/>
  <c r="C76" i="5"/>
  <c r="U77" i="4"/>
  <c r="E76" i="3"/>
  <c r="S77" i="4"/>
  <c r="G76" i="4"/>
  <c r="C76" i="4"/>
  <c r="C76" i="3"/>
  <c r="N77" i="3"/>
  <c r="F76" i="4"/>
  <c r="D76" i="3"/>
  <c r="Q74" i="4"/>
  <c r="F76" i="3"/>
  <c r="D76" i="4"/>
  <c r="P74" i="4"/>
  <c r="I70" i="6" l="1"/>
  <c r="J70" i="6"/>
  <c r="L75" i="3"/>
  <c r="E75" i="4"/>
  <c r="N75" i="4" s="1"/>
  <c r="W77" i="4"/>
  <c r="B77" i="4" s="1"/>
  <c r="G76" i="5"/>
  <c r="H76" i="5"/>
  <c r="I76" i="5"/>
  <c r="K75" i="4"/>
  <c r="I75" i="3"/>
  <c r="V70" i="6"/>
  <c r="N70" i="6"/>
  <c r="E70" i="6"/>
  <c r="Y69" i="6"/>
  <c r="J75" i="3" s="1"/>
  <c r="Q69" i="6"/>
  <c r="L69" i="6" s="1"/>
  <c r="A77" i="5"/>
  <c r="A77" i="3"/>
  <c r="B78" i="5"/>
  <c r="X77" i="4"/>
  <c r="A77" i="4"/>
  <c r="V78" i="4"/>
  <c r="B78" i="3"/>
  <c r="R69" i="6" l="1"/>
  <c r="M75" i="4" s="1"/>
  <c r="F71" i="6"/>
  <c r="R78" i="4"/>
  <c r="AB78" i="4" s="1"/>
  <c r="H72" i="6"/>
  <c r="O70" i="6"/>
  <c r="I76" i="4" s="1"/>
  <c r="W70" i="6"/>
  <c r="H76" i="3" s="1"/>
  <c r="T69" i="6"/>
  <c r="M69" i="6"/>
  <c r="S69" i="6"/>
  <c r="Z69" i="6"/>
  <c r="K75" i="3" s="1"/>
  <c r="P70" i="6"/>
  <c r="J76" i="4" s="1"/>
  <c r="X70" i="6"/>
  <c r="O75" i="4"/>
  <c r="G76" i="3"/>
  <c r="L75" i="4"/>
  <c r="U69" i="6"/>
  <c r="K69" i="6"/>
  <c r="H76" i="4"/>
  <c r="L76" i="5"/>
  <c r="C77" i="5"/>
  <c r="J77" i="5"/>
  <c r="D77" i="5"/>
  <c r="F77" i="5"/>
  <c r="K78" i="5"/>
  <c r="E77" i="5"/>
  <c r="U78" i="4"/>
  <c r="C77" i="4"/>
  <c r="G77" i="4"/>
  <c r="D77" i="3"/>
  <c r="Q75" i="4"/>
  <c r="C77" i="3"/>
  <c r="S78" i="4"/>
  <c r="N78" i="3"/>
  <c r="P75" i="4"/>
  <c r="F77" i="4"/>
  <c r="E77" i="3"/>
  <c r="F77" i="3"/>
  <c r="D77" i="4"/>
  <c r="J71" i="6" l="1"/>
  <c r="L76" i="3"/>
  <c r="H77" i="5"/>
  <c r="G77" i="5"/>
  <c r="I77" i="5"/>
  <c r="W78" i="4"/>
  <c r="B78" i="4" s="1"/>
  <c r="I71" i="6"/>
  <c r="E76" i="4"/>
  <c r="N76" i="4" s="1"/>
  <c r="Y70" i="6"/>
  <c r="K76" i="4"/>
  <c r="I76" i="3"/>
  <c r="Q70" i="6"/>
  <c r="M70" i="6" s="1"/>
  <c r="V71" i="6"/>
  <c r="N71" i="6"/>
  <c r="E71" i="6"/>
  <c r="T70" i="6"/>
  <c r="A78" i="5"/>
  <c r="B79" i="3"/>
  <c r="X78" i="4"/>
  <c r="A78" i="3"/>
  <c r="A78" i="4"/>
  <c r="B79" i="5"/>
  <c r="V79" i="4"/>
  <c r="L70" i="6" l="1"/>
  <c r="U70" i="6"/>
  <c r="R79" i="4"/>
  <c r="AB79" i="4" s="1"/>
  <c r="H73" i="6"/>
  <c r="F72" i="6"/>
  <c r="W71" i="6"/>
  <c r="H77" i="3" s="1"/>
  <c r="O71" i="6"/>
  <c r="I77" i="4" s="1"/>
  <c r="L76" i="4"/>
  <c r="R70" i="6"/>
  <c r="M76" i="4" s="1"/>
  <c r="K70" i="6"/>
  <c r="S70" i="6"/>
  <c r="J76" i="3"/>
  <c r="Z70" i="6"/>
  <c r="K76" i="3" s="1"/>
  <c r="G77" i="3"/>
  <c r="L77" i="5"/>
  <c r="P71" i="6"/>
  <c r="J77" i="4" s="1"/>
  <c r="X71" i="6"/>
  <c r="H77" i="4"/>
  <c r="O76" i="4"/>
  <c r="E78" i="5"/>
  <c r="K79" i="5"/>
  <c r="D78" i="5"/>
  <c r="C78" i="5"/>
  <c r="F78" i="5"/>
  <c r="J78" i="5"/>
  <c r="P76" i="4"/>
  <c r="E78" i="3"/>
  <c r="D78" i="4"/>
  <c r="F78" i="3"/>
  <c r="F78" i="4"/>
  <c r="Q76" i="4"/>
  <c r="C78" i="3"/>
  <c r="C78" i="4"/>
  <c r="N79" i="3"/>
  <c r="S79" i="4"/>
  <c r="D78" i="3"/>
  <c r="U79" i="4"/>
  <c r="G78" i="4"/>
  <c r="Q71" i="6" l="1"/>
  <c r="M71" i="6" s="1"/>
  <c r="Y71" i="6"/>
  <c r="J77" i="3" s="1"/>
  <c r="I72" i="6"/>
  <c r="E77" i="4"/>
  <c r="N77" i="4" s="1"/>
  <c r="W79" i="4"/>
  <c r="B79" i="4" s="1"/>
  <c r="J72" i="6"/>
  <c r="L77" i="3"/>
  <c r="H78" i="5"/>
  <c r="G78" i="5"/>
  <c r="I78" i="5"/>
  <c r="K77" i="4"/>
  <c r="I77" i="3"/>
  <c r="V72" i="6"/>
  <c r="N72" i="6"/>
  <c r="E72" i="6"/>
  <c r="A79" i="5"/>
  <c r="B80" i="3"/>
  <c r="B80" i="5"/>
  <c r="A79" i="3"/>
  <c r="A79" i="4"/>
  <c r="V80" i="4"/>
  <c r="X79" i="4"/>
  <c r="K71" i="6" l="1"/>
  <c r="Z71" i="6"/>
  <c r="K77" i="3" s="1"/>
  <c r="L71" i="6"/>
  <c r="T71" i="6"/>
  <c r="S71" i="6"/>
  <c r="R71" i="6"/>
  <c r="M77" i="4" s="1"/>
  <c r="U71" i="6"/>
  <c r="L77" i="4"/>
  <c r="F73" i="6"/>
  <c r="R80" i="4"/>
  <c r="AB80" i="4" s="1"/>
  <c r="H74" i="6"/>
  <c r="P72" i="6"/>
  <c r="J78" i="4" s="1"/>
  <c r="X72" i="6"/>
  <c r="L78" i="5"/>
  <c r="H78" i="4"/>
  <c r="G78" i="3"/>
  <c r="W72" i="6"/>
  <c r="H78" i="3" s="1"/>
  <c r="O72" i="6"/>
  <c r="I78" i="4" s="1"/>
  <c r="O77" i="4"/>
  <c r="E79" i="5"/>
  <c r="J79" i="5"/>
  <c r="D79" i="5"/>
  <c r="C79" i="5"/>
  <c r="K80" i="5"/>
  <c r="F79" i="5"/>
  <c r="C79" i="4"/>
  <c r="U80" i="4"/>
  <c r="D79" i="4"/>
  <c r="E79" i="3"/>
  <c r="F79" i="4"/>
  <c r="G79" i="4"/>
  <c r="C79" i="3"/>
  <c r="P77" i="4"/>
  <c r="D79" i="3"/>
  <c r="F79" i="3"/>
  <c r="N80" i="3"/>
  <c r="S80" i="4"/>
  <c r="Q77" i="4"/>
  <c r="J73" i="6" l="1"/>
  <c r="L78" i="3"/>
  <c r="H79" i="5"/>
  <c r="I79" i="5"/>
  <c r="G79" i="5"/>
  <c r="W80" i="4"/>
  <c r="B80" i="4" s="1"/>
  <c r="I73" i="6"/>
  <c r="E78" i="4"/>
  <c r="K78" i="4"/>
  <c r="I78" i="3"/>
  <c r="Y72" i="6"/>
  <c r="J78" i="3" s="1"/>
  <c r="N73" i="6"/>
  <c r="H79" i="4" s="1"/>
  <c r="V73" i="6"/>
  <c r="E73" i="6"/>
  <c r="Q72" i="6"/>
  <c r="S72" i="6" s="1"/>
  <c r="A80" i="5"/>
  <c r="B81" i="3"/>
  <c r="A80" i="4"/>
  <c r="X80" i="4"/>
  <c r="A80" i="3"/>
  <c r="B81" i="5"/>
  <c r="V81" i="4"/>
  <c r="M72" i="6" l="1"/>
  <c r="Z72" i="6"/>
  <c r="K78" i="3" s="1"/>
  <c r="H75" i="6"/>
  <c r="R81" i="4"/>
  <c r="AB81" i="4" s="1"/>
  <c r="F74" i="6"/>
  <c r="K72" i="6"/>
  <c r="L72" i="6"/>
  <c r="T72" i="6"/>
  <c r="L78" i="4"/>
  <c r="G79" i="3"/>
  <c r="N78" i="4"/>
  <c r="O78" i="4"/>
  <c r="P73" i="6"/>
  <c r="J79" i="4" s="1"/>
  <c r="X73" i="6"/>
  <c r="L79" i="5"/>
  <c r="W73" i="6"/>
  <c r="H79" i="3" s="1"/>
  <c r="O73" i="6"/>
  <c r="I79" i="4" s="1"/>
  <c r="R72" i="6"/>
  <c r="M78" i="4" s="1"/>
  <c r="U72" i="6"/>
  <c r="E80" i="5"/>
  <c r="K81" i="5"/>
  <c r="J80" i="5"/>
  <c r="F80" i="5"/>
  <c r="D80" i="5"/>
  <c r="C80" i="5"/>
  <c r="Q78" i="4"/>
  <c r="F80" i="4"/>
  <c r="G80" i="4"/>
  <c r="C80" i="3"/>
  <c r="U81" i="4"/>
  <c r="S81" i="4"/>
  <c r="D80" i="4"/>
  <c r="P78" i="4"/>
  <c r="E80" i="3"/>
  <c r="N81" i="3"/>
  <c r="D80" i="3"/>
  <c r="F80" i="3"/>
  <c r="C80" i="4"/>
  <c r="I80" i="5" l="1"/>
  <c r="G80" i="5"/>
  <c r="H80" i="5"/>
  <c r="E79" i="4"/>
  <c r="J74" i="6"/>
  <c r="I74" i="6"/>
  <c r="L79" i="3"/>
  <c r="W81" i="4"/>
  <c r="B81" i="4" s="1"/>
  <c r="Q73" i="6"/>
  <c r="L73" i="6" s="1"/>
  <c r="Y73" i="6"/>
  <c r="J79" i="3" s="1"/>
  <c r="N74" i="6"/>
  <c r="V74" i="6"/>
  <c r="E74" i="6"/>
  <c r="K79" i="4"/>
  <c r="I79" i="3"/>
  <c r="A81" i="5"/>
  <c r="V82" i="4"/>
  <c r="A81" i="3"/>
  <c r="A81" i="4"/>
  <c r="X81" i="4"/>
  <c r="B82" i="3"/>
  <c r="B82" i="5"/>
  <c r="T73" i="6" l="1"/>
  <c r="K73" i="6"/>
  <c r="L80" i="5"/>
  <c r="F75" i="6"/>
  <c r="H76" i="6"/>
  <c r="R82" i="4"/>
  <c r="AB82" i="4" s="1"/>
  <c r="O79" i="4"/>
  <c r="M73" i="6"/>
  <c r="H80" i="4"/>
  <c r="Z73" i="6"/>
  <c r="K79" i="3" s="1"/>
  <c r="P74" i="6"/>
  <c r="J80" i="4" s="1"/>
  <c r="X74" i="6"/>
  <c r="G80" i="3"/>
  <c r="O74" i="6"/>
  <c r="I80" i="4" s="1"/>
  <c r="W74" i="6"/>
  <c r="H80" i="3" s="1"/>
  <c r="R73" i="6"/>
  <c r="M79" i="4" s="1"/>
  <c r="L79" i="4"/>
  <c r="U73" i="6"/>
  <c r="S73" i="6"/>
  <c r="N79" i="4"/>
  <c r="J81" i="5"/>
  <c r="D81" i="5"/>
  <c r="E81" i="5"/>
  <c r="C81" i="5"/>
  <c r="F81" i="5"/>
  <c r="K82" i="5"/>
  <c r="D81" i="3"/>
  <c r="G81" i="4"/>
  <c r="D81" i="4"/>
  <c r="E81" i="3"/>
  <c r="C81" i="4"/>
  <c r="F81" i="3"/>
  <c r="C81" i="3"/>
  <c r="P79" i="4"/>
  <c r="F81" i="4"/>
  <c r="Q79" i="4"/>
  <c r="U82" i="4"/>
  <c r="S82" i="4"/>
  <c r="N82" i="3"/>
  <c r="Q74" i="6" l="1"/>
  <c r="T74" i="6" s="1"/>
  <c r="W82" i="4"/>
  <c r="B82" i="4" s="1"/>
  <c r="L80" i="3"/>
  <c r="H81" i="5"/>
  <c r="I81" i="5"/>
  <c r="G81" i="5"/>
  <c r="J75" i="6"/>
  <c r="I75" i="6"/>
  <c r="E80" i="4"/>
  <c r="V75" i="6"/>
  <c r="N75" i="6"/>
  <c r="E75" i="6"/>
  <c r="K80" i="4"/>
  <c r="I80" i="3"/>
  <c r="K74" i="6"/>
  <c r="Y74" i="6"/>
  <c r="J80" i="3" s="1"/>
  <c r="A82" i="5"/>
  <c r="A82" i="4"/>
  <c r="B83" i="5"/>
  <c r="V83" i="4"/>
  <c r="X82" i="4"/>
  <c r="A82" i="3"/>
  <c r="B83" i="3"/>
  <c r="L74" i="6" l="1"/>
  <c r="S74" i="6"/>
  <c r="U74" i="6"/>
  <c r="M74" i="6"/>
  <c r="L80" i="4"/>
  <c r="R74" i="6"/>
  <c r="M80" i="4" s="1"/>
  <c r="Z74" i="6"/>
  <c r="K80" i="3" s="1"/>
  <c r="R83" i="4"/>
  <c r="AB83" i="4" s="1"/>
  <c r="H77" i="6"/>
  <c r="F76" i="6"/>
  <c r="H81" i="4"/>
  <c r="G81" i="3"/>
  <c r="O80" i="4"/>
  <c r="L81" i="5"/>
  <c r="O75" i="6"/>
  <c r="I81" i="4" s="1"/>
  <c r="W75" i="6"/>
  <c r="H81" i="3" s="1"/>
  <c r="P75" i="6"/>
  <c r="J81" i="4" s="1"/>
  <c r="X75" i="6"/>
  <c r="N80" i="4"/>
  <c r="C82" i="5"/>
  <c r="J82" i="5"/>
  <c r="E82" i="5"/>
  <c r="D82" i="5"/>
  <c r="F82" i="5"/>
  <c r="K83" i="5"/>
  <c r="D82" i="4"/>
  <c r="N83" i="3"/>
  <c r="S83" i="4"/>
  <c r="U83" i="4"/>
  <c r="C82" i="4"/>
  <c r="E82" i="3"/>
  <c r="G82" i="4"/>
  <c r="F82" i="3"/>
  <c r="Q80" i="4"/>
  <c r="D82" i="3"/>
  <c r="F82" i="4"/>
  <c r="C82" i="3"/>
  <c r="P80" i="4"/>
  <c r="I82" i="5" l="1"/>
  <c r="H82" i="5"/>
  <c r="G82" i="5"/>
  <c r="E81" i="4"/>
  <c r="I76" i="6"/>
  <c r="J76" i="6"/>
  <c r="L81" i="3"/>
  <c r="W83" i="4"/>
  <c r="B83" i="4" s="1"/>
  <c r="I81" i="3"/>
  <c r="K81" i="4"/>
  <c r="V76" i="6"/>
  <c r="N76" i="6"/>
  <c r="E76" i="6"/>
  <c r="Y75" i="6"/>
  <c r="J81" i="3" s="1"/>
  <c r="Q75" i="6"/>
  <c r="L81" i="4" s="1"/>
  <c r="L75" i="6"/>
  <c r="A83" i="5"/>
  <c r="A83" i="3"/>
  <c r="X83" i="4"/>
  <c r="B84" i="3"/>
  <c r="B84" i="5"/>
  <c r="V84" i="4"/>
  <c r="A83" i="4"/>
  <c r="R84" i="4" l="1"/>
  <c r="AB84" i="4" s="1"/>
  <c r="H78" i="6"/>
  <c r="F77" i="6"/>
  <c r="G82" i="3"/>
  <c r="M75" i="6"/>
  <c r="P76" i="6"/>
  <c r="J82" i="4" s="1"/>
  <c r="X76" i="6"/>
  <c r="R75" i="6"/>
  <c r="M81" i="4" s="1"/>
  <c r="Z75" i="6"/>
  <c r="K81" i="3" s="1"/>
  <c r="S75" i="6"/>
  <c r="L82" i="5"/>
  <c r="W76" i="6"/>
  <c r="H82" i="3" s="1"/>
  <c r="O76" i="6"/>
  <c r="I82" i="4" s="1"/>
  <c r="K75" i="6"/>
  <c r="U75" i="6"/>
  <c r="N81" i="4"/>
  <c r="O81" i="4"/>
  <c r="T75" i="6"/>
  <c r="H82" i="4"/>
  <c r="F83" i="5"/>
  <c r="E83" i="5"/>
  <c r="K84" i="5"/>
  <c r="J83" i="5"/>
  <c r="D83" i="5"/>
  <c r="C83" i="5"/>
  <c r="D83" i="4"/>
  <c r="F83" i="3"/>
  <c r="C83" i="3"/>
  <c r="D83" i="3"/>
  <c r="C83" i="4"/>
  <c r="E83" i="3"/>
  <c r="U84" i="4"/>
  <c r="F83" i="4"/>
  <c r="N84" i="3"/>
  <c r="Q81" i="4"/>
  <c r="S84" i="4"/>
  <c r="G83" i="4"/>
  <c r="P81" i="4"/>
  <c r="Y76" i="6" l="1"/>
  <c r="J82" i="3" s="1"/>
  <c r="Q76" i="6"/>
  <c r="S76" i="6" s="1"/>
  <c r="G83" i="5"/>
  <c r="H83" i="5"/>
  <c r="I83" i="5"/>
  <c r="W84" i="4"/>
  <c r="B84" i="4" s="1"/>
  <c r="E82" i="4"/>
  <c r="N82" i="4" s="1"/>
  <c r="J77" i="6"/>
  <c r="L82" i="3"/>
  <c r="I77" i="6"/>
  <c r="Z76" i="6"/>
  <c r="K82" i="3" s="1"/>
  <c r="I82" i="3"/>
  <c r="K82" i="4"/>
  <c r="N77" i="6"/>
  <c r="V77" i="6"/>
  <c r="E77" i="6"/>
  <c r="A84" i="5"/>
  <c r="A84" i="4"/>
  <c r="V85" i="4"/>
  <c r="X84" i="4"/>
  <c r="B85" i="5"/>
  <c r="B85" i="3"/>
  <c r="A84" i="3"/>
  <c r="U76" i="6" l="1"/>
  <c r="L76" i="6"/>
  <c r="T76" i="6"/>
  <c r="L82" i="4"/>
  <c r="R76" i="6"/>
  <c r="M82" i="4" s="1"/>
  <c r="M76" i="6"/>
  <c r="K76" i="6"/>
  <c r="F78" i="6"/>
  <c r="H79" i="6"/>
  <c r="R85" i="4"/>
  <c r="AB85" i="4" s="1"/>
  <c r="H83" i="4"/>
  <c r="P77" i="6"/>
  <c r="J83" i="4" s="1"/>
  <c r="X77" i="6"/>
  <c r="O77" i="6"/>
  <c r="I83" i="4" s="1"/>
  <c r="W77" i="6"/>
  <c r="H83" i="3" s="1"/>
  <c r="L83" i="5"/>
  <c r="G83" i="3"/>
  <c r="O82" i="4"/>
  <c r="D84" i="5"/>
  <c r="C84" i="5"/>
  <c r="F84" i="5"/>
  <c r="E84" i="5"/>
  <c r="K85" i="5"/>
  <c r="J84" i="5"/>
  <c r="G84" i="4"/>
  <c r="C84" i="3"/>
  <c r="P82" i="4"/>
  <c r="N85" i="3"/>
  <c r="E84" i="3"/>
  <c r="F84" i="4"/>
  <c r="D84" i="4"/>
  <c r="U85" i="4"/>
  <c r="S85" i="4"/>
  <c r="D84" i="3"/>
  <c r="C84" i="4"/>
  <c r="F84" i="3"/>
  <c r="Q82" i="4"/>
  <c r="L83" i="3" l="1"/>
  <c r="E83" i="4"/>
  <c r="J78" i="6"/>
  <c r="W85" i="4"/>
  <c r="B85" i="4" s="1"/>
  <c r="I78" i="6"/>
  <c r="I84" i="5"/>
  <c r="H84" i="5"/>
  <c r="G84" i="5"/>
  <c r="I83" i="3"/>
  <c r="K83" i="4"/>
  <c r="Q77" i="6"/>
  <c r="V78" i="6"/>
  <c r="N78" i="6"/>
  <c r="H84" i="4" s="1"/>
  <c r="E78" i="6"/>
  <c r="Y77" i="6"/>
  <c r="J83" i="3" s="1"/>
  <c r="A85" i="5"/>
  <c r="X85" i="4"/>
  <c r="B86" i="5"/>
  <c r="B86" i="3"/>
  <c r="A85" i="3"/>
  <c r="V86" i="4"/>
  <c r="A85" i="4"/>
  <c r="Z77" i="6" l="1"/>
  <c r="K83" i="3" s="1"/>
  <c r="H80" i="6"/>
  <c r="R86" i="4"/>
  <c r="AB86" i="4" s="1"/>
  <c r="F79" i="6"/>
  <c r="L83" i="4"/>
  <c r="U77" i="6"/>
  <c r="T77" i="6"/>
  <c r="S77" i="6"/>
  <c r="M77" i="6"/>
  <c r="O83" i="4"/>
  <c r="L77" i="6"/>
  <c r="P78" i="6"/>
  <c r="J84" i="4" s="1"/>
  <c r="X78" i="6"/>
  <c r="R77" i="6"/>
  <c r="M83" i="4" s="1"/>
  <c r="O78" i="6"/>
  <c r="I84" i="4" s="1"/>
  <c r="W78" i="6"/>
  <c r="H84" i="3" s="1"/>
  <c r="G84" i="3"/>
  <c r="K77" i="6"/>
  <c r="L84" i="5"/>
  <c r="N83" i="4"/>
  <c r="J85" i="5"/>
  <c r="K86" i="5"/>
  <c r="C85" i="5"/>
  <c r="E85" i="5"/>
  <c r="D85" i="5"/>
  <c r="F85" i="5"/>
  <c r="F85" i="3"/>
  <c r="C85" i="4"/>
  <c r="C85" i="3"/>
  <c r="N86" i="3"/>
  <c r="S86" i="4"/>
  <c r="G85" i="4"/>
  <c r="E85" i="3"/>
  <c r="U86" i="4"/>
  <c r="P83" i="4"/>
  <c r="D85" i="3"/>
  <c r="F85" i="4"/>
  <c r="D85" i="4"/>
  <c r="Q83" i="4"/>
  <c r="I79" i="6" l="1"/>
  <c r="E84" i="4"/>
  <c r="G85" i="5"/>
  <c r="I85" i="5"/>
  <c r="H85" i="5"/>
  <c r="J79" i="6"/>
  <c r="W86" i="4"/>
  <c r="B86" i="4" s="1"/>
  <c r="L84" i="3"/>
  <c r="Q78" i="6"/>
  <c r="T78" i="6" s="1"/>
  <c r="I84" i="3"/>
  <c r="K84" i="4"/>
  <c r="V79" i="6"/>
  <c r="N79" i="6"/>
  <c r="E79" i="6"/>
  <c r="Y78" i="6"/>
  <c r="J84" i="3" s="1"/>
  <c r="A86" i="5"/>
  <c r="B87" i="5"/>
  <c r="A86" i="3"/>
  <c r="B87" i="3"/>
  <c r="A86" i="4"/>
  <c r="X86" i="4"/>
  <c r="V87" i="4"/>
  <c r="L85" i="5" l="1"/>
  <c r="S78" i="6"/>
  <c r="Z78" i="6"/>
  <c r="K84" i="3" s="1"/>
  <c r="K78" i="6"/>
  <c r="U78" i="6"/>
  <c r="M78" i="6"/>
  <c r="R87" i="4"/>
  <c r="AB87" i="4" s="1"/>
  <c r="H81" i="6"/>
  <c r="F80" i="6"/>
  <c r="H85" i="4"/>
  <c r="N84" i="4"/>
  <c r="O84" i="4"/>
  <c r="G85" i="3"/>
  <c r="O79" i="6"/>
  <c r="I85" i="4" s="1"/>
  <c r="W79" i="6"/>
  <c r="H85" i="3" s="1"/>
  <c r="R78" i="6"/>
  <c r="M84" i="4" s="1"/>
  <c r="L84" i="4"/>
  <c r="L78" i="6"/>
  <c r="P79" i="6"/>
  <c r="J85" i="4" s="1"/>
  <c r="X79" i="6"/>
  <c r="E86" i="5"/>
  <c r="D86" i="5"/>
  <c r="J86" i="5"/>
  <c r="F86" i="5"/>
  <c r="K87" i="5"/>
  <c r="C86" i="5"/>
  <c r="C86" i="3"/>
  <c r="G86" i="4"/>
  <c r="P84" i="4"/>
  <c r="S87" i="4"/>
  <c r="D86" i="3"/>
  <c r="D86" i="4"/>
  <c r="N87" i="3"/>
  <c r="U87" i="4"/>
  <c r="C86" i="4"/>
  <c r="F86" i="3"/>
  <c r="E86" i="3"/>
  <c r="Q84" i="4"/>
  <c r="F86" i="4"/>
  <c r="Q79" i="6" l="1"/>
  <c r="M79" i="6" s="1"/>
  <c r="E85" i="4"/>
  <c r="N85" i="4" s="1"/>
  <c r="I80" i="6"/>
  <c r="J80" i="6"/>
  <c r="L85" i="3"/>
  <c r="I86" i="5"/>
  <c r="H86" i="5"/>
  <c r="G86" i="5"/>
  <c r="W87" i="4"/>
  <c r="B87" i="4" s="1"/>
  <c r="N80" i="6"/>
  <c r="H86" i="4" s="1"/>
  <c r="V80" i="6"/>
  <c r="E80" i="6"/>
  <c r="Y79" i="6"/>
  <c r="L79" i="6"/>
  <c r="K85" i="4"/>
  <c r="I85" i="3"/>
  <c r="U79" i="6"/>
  <c r="A87" i="5"/>
  <c r="B88" i="3"/>
  <c r="A87" i="3"/>
  <c r="A87" i="4"/>
  <c r="X87" i="4"/>
  <c r="V88" i="4"/>
  <c r="B88" i="5"/>
  <c r="K79" i="6" l="1"/>
  <c r="R79" i="6"/>
  <c r="M85" i="4" s="1"/>
  <c r="L85" i="4"/>
  <c r="T79" i="6"/>
  <c r="L86" i="5"/>
  <c r="S79" i="6"/>
  <c r="R88" i="4"/>
  <c r="AB88" i="4" s="1"/>
  <c r="H82" i="6"/>
  <c r="F81" i="6"/>
  <c r="P80" i="6"/>
  <c r="J86" i="4" s="1"/>
  <c r="X80" i="6"/>
  <c r="J85" i="3"/>
  <c r="Z79" i="6"/>
  <c r="K85" i="3" s="1"/>
  <c r="G86" i="3"/>
  <c r="W80" i="6"/>
  <c r="H86" i="3" s="1"/>
  <c r="O80" i="6"/>
  <c r="I86" i="4" s="1"/>
  <c r="O85" i="4"/>
  <c r="D87" i="5"/>
  <c r="E87" i="5"/>
  <c r="J87" i="5"/>
  <c r="C87" i="5"/>
  <c r="K88" i="5"/>
  <c r="F87" i="5"/>
  <c r="D87" i="4"/>
  <c r="N88" i="3"/>
  <c r="Q85" i="4"/>
  <c r="U88" i="4"/>
  <c r="C87" i="4"/>
  <c r="G87" i="4"/>
  <c r="C87" i="3"/>
  <c r="F87" i="3"/>
  <c r="D87" i="3"/>
  <c r="F87" i="4"/>
  <c r="P85" i="4"/>
  <c r="E87" i="3"/>
  <c r="S88" i="4"/>
  <c r="L86" i="3" l="1"/>
  <c r="G8" i="4"/>
  <c r="J81" i="6"/>
  <c r="W88" i="4"/>
  <c r="B88" i="4" s="1"/>
  <c r="H87" i="5"/>
  <c r="I87" i="5"/>
  <c r="G87" i="5"/>
  <c r="I81" i="6"/>
  <c r="E86" i="4"/>
  <c r="N86" i="4" s="1"/>
  <c r="N81" i="6"/>
  <c r="V81" i="6"/>
  <c r="E81" i="6"/>
  <c r="I86" i="3"/>
  <c r="K86" i="4"/>
  <c r="Q80" i="6"/>
  <c r="Y80" i="6"/>
  <c r="J86" i="3" s="1"/>
  <c r="A88" i="5"/>
  <c r="A88" i="4"/>
  <c r="A88" i="3"/>
  <c r="X88" i="4"/>
  <c r="B89" i="5"/>
  <c r="V89" i="4"/>
  <c r="B89" i="3"/>
  <c r="Z80" i="6" l="1"/>
  <c r="K86" i="3" s="1"/>
  <c r="F82" i="6"/>
  <c r="R89" i="4"/>
  <c r="AB89" i="4" s="1"/>
  <c r="H83" i="6"/>
  <c r="P81" i="6"/>
  <c r="J87" i="4" s="1"/>
  <c r="X81" i="6"/>
  <c r="R80" i="6"/>
  <c r="M86" i="4" s="1"/>
  <c r="L86" i="4"/>
  <c r="K80" i="6"/>
  <c r="L80" i="6"/>
  <c r="S80" i="6"/>
  <c r="O81" i="6"/>
  <c r="I87" i="4" s="1"/>
  <c r="W81" i="6"/>
  <c r="H87" i="3" s="1"/>
  <c r="M80" i="6"/>
  <c r="T80" i="6"/>
  <c r="G87" i="3"/>
  <c r="U80" i="6"/>
  <c r="L87" i="5"/>
  <c r="H87" i="4"/>
  <c r="O86" i="4"/>
  <c r="F88" i="5"/>
  <c r="C88" i="5"/>
  <c r="E88" i="5"/>
  <c r="D88" i="5"/>
  <c r="K89" i="5"/>
  <c r="J88" i="5"/>
  <c r="E88" i="3"/>
  <c r="C88" i="4"/>
  <c r="N89" i="3"/>
  <c r="C88" i="3"/>
  <c r="D88" i="3"/>
  <c r="U89" i="4"/>
  <c r="D88" i="4"/>
  <c r="S89" i="4"/>
  <c r="F88" i="3"/>
  <c r="P86" i="4"/>
  <c r="Q86" i="4"/>
  <c r="G88" i="4"/>
  <c r="F88" i="4"/>
  <c r="L87" i="3" l="1"/>
  <c r="W89" i="4"/>
  <c r="B89" i="4" s="1"/>
  <c r="J82" i="6"/>
  <c r="I88" i="5"/>
  <c r="H88" i="5"/>
  <c r="G88" i="5"/>
  <c r="I82" i="6"/>
  <c r="E87" i="4"/>
  <c r="I87" i="3"/>
  <c r="K87" i="4"/>
  <c r="Q81" i="6"/>
  <c r="R81" i="6" s="1"/>
  <c r="M87" i="4" s="1"/>
  <c r="Y81" i="6"/>
  <c r="J87" i="3" s="1"/>
  <c r="V82" i="6"/>
  <c r="N82" i="6"/>
  <c r="E82" i="6"/>
  <c r="A89" i="5"/>
  <c r="A89" i="3"/>
  <c r="X89" i="4"/>
  <c r="B90" i="3"/>
  <c r="A89" i="4"/>
  <c r="B90" i="5"/>
  <c r="V90" i="4"/>
  <c r="T81" i="6" l="1"/>
  <c r="S81" i="6"/>
  <c r="U81" i="6"/>
  <c r="L88" i="5"/>
  <c r="F83" i="6"/>
  <c r="R90" i="4"/>
  <c r="AB90" i="4" s="1"/>
  <c r="H84" i="6"/>
  <c r="O87" i="4"/>
  <c r="M81" i="6"/>
  <c r="L87" i="4"/>
  <c r="L81" i="6"/>
  <c r="Z81" i="6"/>
  <c r="K87" i="3" s="1"/>
  <c r="H88" i="4"/>
  <c r="K81" i="6"/>
  <c r="P82" i="6"/>
  <c r="J88" i="4" s="1"/>
  <c r="X82" i="6"/>
  <c r="W82" i="6"/>
  <c r="H88" i="3" s="1"/>
  <c r="O82" i="6"/>
  <c r="I88" i="4" s="1"/>
  <c r="G88" i="3"/>
  <c r="D89" i="5"/>
  <c r="K90" i="5"/>
  <c r="C89" i="5"/>
  <c r="E89" i="5"/>
  <c r="J89" i="5"/>
  <c r="F89" i="5"/>
  <c r="D89" i="3"/>
  <c r="D89" i="4"/>
  <c r="G89" i="4"/>
  <c r="N90" i="3"/>
  <c r="F89" i="3"/>
  <c r="E89" i="3"/>
  <c r="S90" i="4"/>
  <c r="U90" i="4"/>
  <c r="C89" i="4"/>
  <c r="P87" i="4"/>
  <c r="C89" i="3"/>
  <c r="Q87" i="4"/>
  <c r="F89" i="4"/>
  <c r="J83" i="6" l="1"/>
  <c r="W90" i="4"/>
  <c r="B90" i="4" s="1"/>
  <c r="L88" i="3"/>
  <c r="I83" i="6"/>
  <c r="E88" i="4"/>
  <c r="N87" i="4" s="1"/>
  <c r="H89" i="5"/>
  <c r="I89" i="5"/>
  <c r="G89" i="5"/>
  <c r="I88" i="3"/>
  <c r="K88" i="4"/>
  <c r="Y82" i="6"/>
  <c r="J88" i="3" s="1"/>
  <c r="Q82" i="6"/>
  <c r="R82" i="6" s="1"/>
  <c r="M88" i="4" s="1"/>
  <c r="V83" i="6"/>
  <c r="N83" i="6"/>
  <c r="E83" i="6"/>
  <c r="M82" i="6"/>
  <c r="A90" i="5"/>
  <c r="B91" i="5"/>
  <c r="B91" i="3"/>
  <c r="V91" i="4"/>
  <c r="A90" i="4"/>
  <c r="A90" i="3"/>
  <c r="X90" i="4"/>
  <c r="Z82" i="6" l="1"/>
  <c r="K88" i="3" s="1"/>
  <c r="L89" i="5"/>
  <c r="N88" i="4"/>
  <c r="F84" i="6"/>
  <c r="H85" i="6"/>
  <c r="R91" i="4"/>
  <c r="AB91" i="4" s="1"/>
  <c r="W83" i="6"/>
  <c r="H89" i="3" s="1"/>
  <c r="O83" i="6"/>
  <c r="I89" i="4" s="1"/>
  <c r="G89" i="3"/>
  <c r="O88" i="4"/>
  <c r="H89" i="4"/>
  <c r="L88" i="4"/>
  <c r="K82" i="6"/>
  <c r="S82" i="6"/>
  <c r="L82" i="6"/>
  <c r="P83" i="6"/>
  <c r="J89" i="4" s="1"/>
  <c r="X83" i="6"/>
  <c r="T82" i="6"/>
  <c r="U82" i="6"/>
  <c r="C90" i="5"/>
  <c r="J90" i="5"/>
  <c r="K91" i="5"/>
  <c r="D90" i="5"/>
  <c r="E90" i="5"/>
  <c r="F90" i="5"/>
  <c r="D90" i="4"/>
  <c r="Q88" i="4"/>
  <c r="N91" i="3"/>
  <c r="U91" i="4"/>
  <c r="F90" i="4"/>
  <c r="C90" i="4"/>
  <c r="P88" i="4"/>
  <c r="E90" i="3"/>
  <c r="C90" i="3"/>
  <c r="F90" i="3"/>
  <c r="G90" i="4"/>
  <c r="D90" i="3"/>
  <c r="S91" i="4"/>
  <c r="W91" i="4" l="1"/>
  <c r="B91" i="4" s="1"/>
  <c r="I84" i="6"/>
  <c r="E89" i="4"/>
  <c r="I90" i="5"/>
  <c r="H90" i="5"/>
  <c r="G90" i="5"/>
  <c r="L89" i="3"/>
  <c r="J84" i="6"/>
  <c r="K89" i="4"/>
  <c r="I89" i="3"/>
  <c r="Y83" i="6"/>
  <c r="J89" i="3" s="1"/>
  <c r="Q83" i="6"/>
  <c r="L89" i="4" s="1"/>
  <c r="S83" i="6"/>
  <c r="N84" i="6"/>
  <c r="V84" i="6"/>
  <c r="E84" i="6"/>
  <c r="A91" i="5"/>
  <c r="B92" i="3"/>
  <c r="A91" i="3"/>
  <c r="X91" i="4"/>
  <c r="B92" i="5"/>
  <c r="A91" i="4"/>
  <c r="V92" i="4"/>
  <c r="F85" i="6" l="1"/>
  <c r="H86" i="6"/>
  <c r="R92" i="4"/>
  <c r="AB92" i="4" s="1"/>
  <c r="M83" i="6"/>
  <c r="R83" i="6"/>
  <c r="M89" i="4" s="1"/>
  <c r="O89" i="4"/>
  <c r="U83" i="6"/>
  <c r="P84" i="6"/>
  <c r="J90" i="4" s="1"/>
  <c r="X84" i="6"/>
  <c r="Z83" i="6"/>
  <c r="K89" i="3" s="1"/>
  <c r="K83" i="6"/>
  <c r="H90" i="4"/>
  <c r="G90" i="3"/>
  <c r="W84" i="6"/>
  <c r="H90" i="3" s="1"/>
  <c r="O84" i="6"/>
  <c r="I90" i="4" s="1"/>
  <c r="L83" i="6"/>
  <c r="T83" i="6"/>
  <c r="L90" i="5"/>
  <c r="D91" i="5"/>
  <c r="C91" i="5"/>
  <c r="F91" i="5"/>
  <c r="J91" i="5"/>
  <c r="E91" i="5"/>
  <c r="K92" i="5"/>
  <c r="C91" i="4"/>
  <c r="D91" i="4"/>
  <c r="F91" i="3"/>
  <c r="U92" i="4"/>
  <c r="N92" i="3"/>
  <c r="D91" i="3"/>
  <c r="G91" i="4"/>
  <c r="F91" i="4"/>
  <c r="S92" i="4"/>
  <c r="C91" i="3"/>
  <c r="E91" i="3"/>
  <c r="P89" i="4"/>
  <c r="Q89" i="4"/>
  <c r="W92" i="4" l="1"/>
  <c r="B92" i="4" s="1"/>
  <c r="J85" i="6"/>
  <c r="E90" i="4"/>
  <c r="N89" i="4" s="1"/>
  <c r="I85" i="6"/>
  <c r="I91" i="5"/>
  <c r="H91" i="5"/>
  <c r="G91" i="5"/>
  <c r="L90" i="3"/>
  <c r="I90" i="3"/>
  <c r="K90" i="4"/>
  <c r="Y84" i="6"/>
  <c r="J90" i="3" s="1"/>
  <c r="Q84" i="6"/>
  <c r="U84" i="6" s="1"/>
  <c r="V85" i="6"/>
  <c r="N85" i="6"/>
  <c r="E85" i="6"/>
  <c r="A92" i="5"/>
  <c r="A92" i="3"/>
  <c r="V93" i="4"/>
  <c r="A92" i="4"/>
  <c r="B93" i="5"/>
  <c r="X92" i="4"/>
  <c r="B93" i="3"/>
  <c r="M84" i="6" l="1"/>
  <c r="K84" i="6"/>
  <c r="L91" i="5"/>
  <c r="N90" i="4"/>
  <c r="H87" i="6"/>
  <c r="R93" i="4"/>
  <c r="AB93" i="4" s="1"/>
  <c r="F86" i="6"/>
  <c r="H91" i="4"/>
  <c r="O85" i="6"/>
  <c r="I91" i="4" s="1"/>
  <c r="W85" i="6"/>
  <c r="H91" i="3" s="1"/>
  <c r="G91" i="3"/>
  <c r="S84" i="6"/>
  <c r="L90" i="4"/>
  <c r="L84" i="6"/>
  <c r="P85" i="6"/>
  <c r="J91" i="4" s="1"/>
  <c r="X85" i="6"/>
  <c r="Z84" i="6"/>
  <c r="K90" i="3" s="1"/>
  <c r="O90" i="4"/>
  <c r="T84" i="6"/>
  <c r="R84" i="6"/>
  <c r="M90" i="4" s="1"/>
  <c r="K93" i="5"/>
  <c r="C92" i="5"/>
  <c r="J92" i="5"/>
  <c r="F92" i="5"/>
  <c r="E92" i="5"/>
  <c r="D92" i="5"/>
  <c r="N93" i="3"/>
  <c r="D92" i="3"/>
  <c r="C92" i="3"/>
  <c r="F92" i="3"/>
  <c r="Q90" i="4"/>
  <c r="F92" i="4"/>
  <c r="S93" i="4"/>
  <c r="E92" i="3"/>
  <c r="P90" i="4"/>
  <c r="U93" i="4"/>
  <c r="G92" i="4"/>
  <c r="C92" i="4"/>
  <c r="D92" i="4"/>
  <c r="H92" i="5" l="1"/>
  <c r="G92" i="5"/>
  <c r="I92" i="5"/>
  <c r="J86" i="6"/>
  <c r="L91" i="3"/>
  <c r="W93" i="4"/>
  <c r="B93" i="4" s="1"/>
  <c r="E91" i="4"/>
  <c r="N91" i="4" s="1"/>
  <c r="I86" i="6"/>
  <c r="Q85" i="6"/>
  <c r="T85" i="6" s="1"/>
  <c r="V86" i="6"/>
  <c r="N86" i="6"/>
  <c r="E86" i="6"/>
  <c r="I91" i="3"/>
  <c r="K91" i="4"/>
  <c r="Y85" i="6"/>
  <c r="J91" i="3" s="1"/>
  <c r="A93" i="5"/>
  <c r="A93" i="3"/>
  <c r="X93" i="4"/>
  <c r="B94" i="3"/>
  <c r="V94" i="4"/>
  <c r="A93" i="4"/>
  <c r="B94" i="5"/>
  <c r="R94" i="4" l="1"/>
  <c r="AB94" i="4" s="1"/>
  <c r="H88" i="6"/>
  <c r="F87" i="6"/>
  <c r="H92" i="4"/>
  <c r="O86" i="6"/>
  <c r="I92" i="4" s="1"/>
  <c r="W86" i="6"/>
  <c r="H92" i="3" s="1"/>
  <c r="G92" i="3"/>
  <c r="L91" i="4"/>
  <c r="R85" i="6"/>
  <c r="M91" i="4" s="1"/>
  <c r="M85" i="6"/>
  <c r="L85" i="6"/>
  <c r="U85" i="6"/>
  <c r="O91" i="4"/>
  <c r="K85" i="6"/>
  <c r="S85" i="6"/>
  <c r="P86" i="6"/>
  <c r="J92" i="4" s="1"/>
  <c r="X86" i="6"/>
  <c r="Z85" i="6"/>
  <c r="K91" i="3" s="1"/>
  <c r="L92" i="5"/>
  <c r="K94" i="5"/>
  <c r="D93" i="5"/>
  <c r="E93" i="5"/>
  <c r="J93" i="5"/>
  <c r="F93" i="5"/>
  <c r="C93" i="5"/>
  <c r="C93" i="3"/>
  <c r="D93" i="3"/>
  <c r="F93" i="3"/>
  <c r="E93" i="3"/>
  <c r="N94" i="3"/>
  <c r="Q91" i="4"/>
  <c r="D93" i="4"/>
  <c r="C93" i="4"/>
  <c r="U94" i="4"/>
  <c r="G93" i="4"/>
  <c r="F93" i="4"/>
  <c r="S94" i="4"/>
  <c r="P91" i="4"/>
  <c r="J87" i="6" l="1"/>
  <c r="I87" i="6"/>
  <c r="H93" i="5"/>
  <c r="G93" i="5"/>
  <c r="I93" i="5"/>
  <c r="W94" i="4"/>
  <c r="B94" i="4" s="1"/>
  <c r="E92" i="4"/>
  <c r="N92" i="4" s="1"/>
  <c r="L92" i="3"/>
  <c r="V87" i="6"/>
  <c r="N87" i="6"/>
  <c r="E87" i="6"/>
  <c r="K92" i="4"/>
  <c r="I92" i="3"/>
  <c r="Y86" i="6"/>
  <c r="Q86" i="6"/>
  <c r="R86" i="6" s="1"/>
  <c r="M92" i="4" s="1"/>
  <c r="A94" i="5"/>
  <c r="A94" i="3"/>
  <c r="B95" i="3"/>
  <c r="V95" i="4"/>
  <c r="X94" i="4"/>
  <c r="A94" i="4"/>
  <c r="B95" i="5"/>
  <c r="L86" i="6" l="1"/>
  <c r="U86" i="6"/>
  <c r="K86" i="6"/>
  <c r="L93" i="5"/>
  <c r="F88" i="6"/>
  <c r="H89" i="6"/>
  <c r="R95" i="4"/>
  <c r="AB95" i="4" s="1"/>
  <c r="L92" i="4"/>
  <c r="M86" i="6"/>
  <c r="S86" i="6"/>
  <c r="T86" i="6"/>
  <c r="H93" i="4"/>
  <c r="O92" i="4"/>
  <c r="G93" i="3"/>
  <c r="P87" i="6"/>
  <c r="J93" i="4" s="1"/>
  <c r="X87" i="6"/>
  <c r="J92" i="3"/>
  <c r="Z86" i="6"/>
  <c r="K92" i="3" s="1"/>
  <c r="O87" i="6"/>
  <c r="I93" i="4" s="1"/>
  <c r="W87" i="6"/>
  <c r="H93" i="3" s="1"/>
  <c r="D94" i="5"/>
  <c r="K95" i="5"/>
  <c r="J94" i="5"/>
  <c r="F94" i="5"/>
  <c r="C94" i="5"/>
  <c r="E94" i="5"/>
  <c r="F94" i="4"/>
  <c r="C94" i="4"/>
  <c r="D94" i="4"/>
  <c r="E94" i="3"/>
  <c r="D94" i="3"/>
  <c r="G94" i="4"/>
  <c r="S95" i="4"/>
  <c r="F94" i="3"/>
  <c r="C94" i="3"/>
  <c r="U95" i="4"/>
  <c r="Q92" i="4"/>
  <c r="N95" i="3"/>
  <c r="P92" i="4"/>
  <c r="W95" i="4" l="1"/>
  <c r="B95" i="4" s="1"/>
  <c r="L93" i="3"/>
  <c r="J88" i="6"/>
  <c r="I88" i="6"/>
  <c r="E93" i="4"/>
  <c r="H94" i="5"/>
  <c r="I94" i="5"/>
  <c r="G94" i="5"/>
  <c r="I93" i="3"/>
  <c r="K93" i="4"/>
  <c r="V88" i="6"/>
  <c r="N88" i="6"/>
  <c r="E88" i="6"/>
  <c r="Q87" i="6"/>
  <c r="Y87" i="6"/>
  <c r="J93" i="3" s="1"/>
  <c r="A95" i="5"/>
  <c r="X95" i="4"/>
  <c r="V96" i="4"/>
  <c r="A95" i="3"/>
  <c r="B96" i="5"/>
  <c r="B96" i="3"/>
  <c r="A95" i="4"/>
  <c r="L94" i="5" l="1"/>
  <c r="R96" i="4"/>
  <c r="AB96" i="4" s="1"/>
  <c r="H90" i="6"/>
  <c r="F89" i="6"/>
  <c r="H94" i="4"/>
  <c r="O93" i="4"/>
  <c r="S87" i="6"/>
  <c r="L93" i="4"/>
  <c r="L87" i="6"/>
  <c r="T87" i="6"/>
  <c r="G94" i="3"/>
  <c r="N93" i="4"/>
  <c r="W88" i="6"/>
  <c r="H94" i="3" s="1"/>
  <c r="O88" i="6"/>
  <c r="I94" i="4" s="1"/>
  <c r="Z87" i="6"/>
  <c r="K93" i="3" s="1"/>
  <c r="U87" i="6"/>
  <c r="P88" i="6"/>
  <c r="J94" i="4" s="1"/>
  <c r="X88" i="6"/>
  <c r="K87" i="6"/>
  <c r="R87" i="6"/>
  <c r="M93" i="4" s="1"/>
  <c r="M87" i="6"/>
  <c r="F95" i="5"/>
  <c r="K96" i="5"/>
  <c r="E95" i="5"/>
  <c r="D95" i="5"/>
  <c r="C95" i="5"/>
  <c r="J95" i="5"/>
  <c r="F95" i="4"/>
  <c r="C95" i="3"/>
  <c r="G95" i="4"/>
  <c r="D95" i="3"/>
  <c r="E95" i="3"/>
  <c r="C95" i="4"/>
  <c r="Q93" i="4"/>
  <c r="U96" i="4"/>
  <c r="P93" i="4"/>
  <c r="N96" i="3"/>
  <c r="F95" i="3"/>
  <c r="S96" i="4"/>
  <c r="D95" i="4"/>
  <c r="Y88" i="6" l="1"/>
  <c r="J94" i="3" s="1"/>
  <c r="E94" i="4"/>
  <c r="N94" i="4" s="1"/>
  <c r="J89" i="6"/>
  <c r="L94" i="3"/>
  <c r="I95" i="5"/>
  <c r="G95" i="5"/>
  <c r="H95" i="5"/>
  <c r="I89" i="6"/>
  <c r="W96" i="4"/>
  <c r="B96" i="4" s="1"/>
  <c r="N89" i="6"/>
  <c r="V89" i="6"/>
  <c r="E89" i="6"/>
  <c r="K94" i="4"/>
  <c r="I94" i="3"/>
  <c r="Q88" i="6"/>
  <c r="A96" i="5"/>
  <c r="B97" i="5"/>
  <c r="B97" i="3"/>
  <c r="X96" i="4"/>
  <c r="A96" i="3"/>
  <c r="V97" i="4"/>
  <c r="A96" i="4"/>
  <c r="Z88" i="6" l="1"/>
  <c r="K94" i="3" s="1"/>
  <c r="F90" i="6"/>
  <c r="R97" i="4"/>
  <c r="AB97" i="4" s="1"/>
  <c r="H91" i="6"/>
  <c r="K88" i="6"/>
  <c r="L94" i="4"/>
  <c r="L88" i="6"/>
  <c r="S88" i="6"/>
  <c r="M88" i="6"/>
  <c r="R88" i="6"/>
  <c r="M94" i="4" s="1"/>
  <c r="G95" i="3"/>
  <c r="L95" i="5"/>
  <c r="U88" i="6"/>
  <c r="P89" i="6"/>
  <c r="J95" i="4" s="1"/>
  <c r="X89" i="6"/>
  <c r="O89" i="6"/>
  <c r="I95" i="4" s="1"/>
  <c r="W89" i="6"/>
  <c r="H95" i="3" s="1"/>
  <c r="T88" i="6"/>
  <c r="O94" i="4"/>
  <c r="H95" i="4"/>
  <c r="J96" i="5"/>
  <c r="E96" i="5"/>
  <c r="F96" i="5"/>
  <c r="C96" i="5"/>
  <c r="K97" i="5"/>
  <c r="D96" i="5"/>
  <c r="D96" i="4"/>
  <c r="S97" i="4"/>
  <c r="U97" i="4"/>
  <c r="C96" i="3"/>
  <c r="F96" i="4"/>
  <c r="P94" i="4"/>
  <c r="E96" i="3"/>
  <c r="D96" i="3"/>
  <c r="G96" i="4"/>
  <c r="F96" i="3"/>
  <c r="Q94" i="4"/>
  <c r="N97" i="3"/>
  <c r="C96" i="4"/>
  <c r="I96" i="5" l="1"/>
  <c r="H96" i="5"/>
  <c r="G96" i="5"/>
  <c r="I90" i="6"/>
  <c r="J90" i="6"/>
  <c r="W97" i="4"/>
  <c r="B97" i="4" s="1"/>
  <c r="L95" i="3"/>
  <c r="E95" i="4"/>
  <c r="K95" i="4"/>
  <c r="I95" i="3"/>
  <c r="Y89" i="6"/>
  <c r="Q89" i="6"/>
  <c r="N90" i="6"/>
  <c r="V90" i="6"/>
  <c r="E90" i="6"/>
  <c r="A97" i="5"/>
  <c r="A97" i="4"/>
  <c r="A97" i="3"/>
  <c r="B98" i="5"/>
  <c r="B98" i="3"/>
  <c r="V98" i="4"/>
  <c r="X97" i="4"/>
  <c r="R98" i="4" l="1"/>
  <c r="AB98" i="4" s="1"/>
  <c r="H92" i="6"/>
  <c r="F91" i="6"/>
  <c r="L89" i="6"/>
  <c r="L95" i="4"/>
  <c r="O95" i="4"/>
  <c r="M89" i="6"/>
  <c r="J95" i="3"/>
  <c r="Z89" i="6"/>
  <c r="K95" i="3" s="1"/>
  <c r="N95" i="4"/>
  <c r="T89" i="6"/>
  <c r="S89" i="6"/>
  <c r="U89" i="6"/>
  <c r="G96" i="3"/>
  <c r="P90" i="6"/>
  <c r="J96" i="4" s="1"/>
  <c r="X90" i="6"/>
  <c r="L96" i="5"/>
  <c r="R89" i="6"/>
  <c r="M95" i="4" s="1"/>
  <c r="K89" i="6"/>
  <c r="W90" i="6"/>
  <c r="H96" i="3" s="1"/>
  <c r="O90" i="6"/>
  <c r="I96" i="4" s="1"/>
  <c r="H96" i="4"/>
  <c r="C97" i="5"/>
  <c r="J97" i="5"/>
  <c r="D97" i="5"/>
  <c r="E97" i="5"/>
  <c r="K98" i="5"/>
  <c r="F97" i="5"/>
  <c r="F97" i="3"/>
  <c r="P95" i="4"/>
  <c r="U98" i="4"/>
  <c r="C97" i="4"/>
  <c r="E97" i="3"/>
  <c r="G97" i="4"/>
  <c r="Q95" i="4"/>
  <c r="S98" i="4"/>
  <c r="F97" i="4"/>
  <c r="D97" i="3"/>
  <c r="N98" i="3"/>
  <c r="C97" i="3"/>
  <c r="D97" i="4"/>
  <c r="E96" i="4" l="1"/>
  <c r="I97" i="5"/>
  <c r="G97" i="5"/>
  <c r="H97" i="5"/>
  <c r="L96" i="3"/>
  <c r="J91" i="6"/>
  <c r="I91" i="6"/>
  <c r="W98" i="4"/>
  <c r="B98" i="4" s="1"/>
  <c r="K96" i="4"/>
  <c r="I96" i="3"/>
  <c r="Y90" i="6"/>
  <c r="V91" i="6"/>
  <c r="N91" i="6"/>
  <c r="E91" i="6"/>
  <c r="Q90" i="6"/>
  <c r="L96" i="4" s="1"/>
  <c r="A98" i="5"/>
  <c r="B99" i="5"/>
  <c r="B99" i="3"/>
  <c r="V99" i="4"/>
  <c r="A98" i="4"/>
  <c r="A98" i="3"/>
  <c r="X98" i="4"/>
  <c r="F92" i="6" l="1"/>
  <c r="R99" i="4"/>
  <c r="AB99" i="4" s="1"/>
  <c r="H93" i="6"/>
  <c r="G97" i="3"/>
  <c r="O91" i="6"/>
  <c r="I97" i="4" s="1"/>
  <c r="W91" i="6"/>
  <c r="H97" i="3" s="1"/>
  <c r="M90" i="6"/>
  <c r="U90" i="6"/>
  <c r="S90" i="6"/>
  <c r="P91" i="6"/>
  <c r="J97" i="4" s="1"/>
  <c r="X91" i="6"/>
  <c r="R90" i="6"/>
  <c r="M96" i="4" s="1"/>
  <c r="L90" i="6"/>
  <c r="N96" i="4"/>
  <c r="O96" i="4"/>
  <c r="K90" i="6"/>
  <c r="H97" i="4"/>
  <c r="L97" i="5"/>
  <c r="J96" i="3"/>
  <c r="Z90" i="6"/>
  <c r="K96" i="3" s="1"/>
  <c r="T90" i="6"/>
  <c r="D98" i="5"/>
  <c r="F98" i="5"/>
  <c r="J98" i="5"/>
  <c r="K99" i="5"/>
  <c r="C98" i="5"/>
  <c r="E98" i="5"/>
  <c r="D98" i="3"/>
  <c r="G98" i="4"/>
  <c r="C98" i="3"/>
  <c r="C98" i="4"/>
  <c r="F98" i="3"/>
  <c r="P96" i="4"/>
  <c r="D98" i="4"/>
  <c r="F98" i="4"/>
  <c r="E98" i="3"/>
  <c r="S99" i="4"/>
  <c r="N99" i="3"/>
  <c r="U99" i="4"/>
  <c r="Q96" i="4"/>
  <c r="Q91" i="6" l="1"/>
  <c r="U91" i="6" s="1"/>
  <c r="Y91" i="6"/>
  <c r="J97" i="3" s="1"/>
  <c r="J92" i="6"/>
  <c r="L97" i="3"/>
  <c r="I98" i="5"/>
  <c r="G98" i="5"/>
  <c r="H98" i="5"/>
  <c r="I92" i="6"/>
  <c r="E97" i="4"/>
  <c r="N97" i="4" s="1"/>
  <c r="W99" i="4"/>
  <c r="B99" i="4" s="1"/>
  <c r="I97" i="3"/>
  <c r="K97" i="4"/>
  <c r="V92" i="6"/>
  <c r="N92" i="6"/>
  <c r="E92" i="6"/>
  <c r="A99" i="5"/>
  <c r="B100" i="3"/>
  <c r="V100" i="4"/>
  <c r="X99" i="4"/>
  <c r="A99" i="3"/>
  <c r="B100" i="5"/>
  <c r="A99" i="4"/>
  <c r="L91" i="6" l="1"/>
  <c r="T91" i="6"/>
  <c r="Z91" i="6"/>
  <c r="K97" i="3" s="1"/>
  <c r="S91" i="6"/>
  <c r="M91" i="6"/>
  <c r="L97" i="4"/>
  <c r="K91" i="6"/>
  <c r="L98" i="5"/>
  <c r="R91" i="6"/>
  <c r="M97" i="4" s="1"/>
  <c r="F93" i="6"/>
  <c r="H94" i="6"/>
  <c r="R100" i="4"/>
  <c r="AB100" i="4" s="1"/>
  <c r="H98" i="4"/>
  <c r="P92" i="6"/>
  <c r="J98" i="4" s="1"/>
  <c r="X92" i="6"/>
  <c r="G98" i="3"/>
  <c r="W92" i="6"/>
  <c r="H98" i="3" s="1"/>
  <c r="O92" i="6"/>
  <c r="I98" i="4" s="1"/>
  <c r="O97" i="4"/>
  <c r="F99" i="5"/>
  <c r="K100" i="5"/>
  <c r="J99" i="5"/>
  <c r="C99" i="5"/>
  <c r="E99" i="5"/>
  <c r="D99" i="5"/>
  <c r="F99" i="3"/>
  <c r="F99" i="4"/>
  <c r="S100" i="4"/>
  <c r="C99" i="3"/>
  <c r="Q97" i="4"/>
  <c r="D99" i="4"/>
  <c r="G99" i="4"/>
  <c r="N100" i="3"/>
  <c r="E99" i="3"/>
  <c r="D99" i="3"/>
  <c r="C99" i="4"/>
  <c r="P97" i="4"/>
  <c r="U100" i="4"/>
  <c r="Y92" i="6" l="1"/>
  <c r="J98" i="3" s="1"/>
  <c r="L98" i="3"/>
  <c r="I99" i="5"/>
  <c r="G99" i="5"/>
  <c r="H99" i="5"/>
  <c r="E98" i="4"/>
  <c r="N98" i="4" s="1"/>
  <c r="W100" i="4"/>
  <c r="B100" i="4" s="1"/>
  <c r="J93" i="6"/>
  <c r="I93" i="6"/>
  <c r="Q92" i="6"/>
  <c r="R92" i="6" s="1"/>
  <c r="M98" i="4" s="1"/>
  <c r="V93" i="6"/>
  <c r="N93" i="6"/>
  <c r="E93" i="6"/>
  <c r="K98" i="4"/>
  <c r="I98" i="3"/>
  <c r="L92" i="6"/>
  <c r="A100" i="5"/>
  <c r="B101" i="3"/>
  <c r="V101" i="4"/>
  <c r="A100" i="4"/>
  <c r="B101" i="5"/>
  <c r="X100" i="4"/>
  <c r="A100" i="3"/>
  <c r="Z92" i="6" l="1"/>
  <c r="K98" i="3" s="1"/>
  <c r="L99" i="5"/>
  <c r="M92" i="6"/>
  <c r="U92" i="6"/>
  <c r="F94" i="6"/>
  <c r="H95" i="6"/>
  <c r="R101" i="4"/>
  <c r="AB101" i="4" s="1"/>
  <c r="P93" i="6"/>
  <c r="J99" i="4" s="1"/>
  <c r="X93" i="6"/>
  <c r="L98" i="4"/>
  <c r="T92" i="6"/>
  <c r="S92" i="6"/>
  <c r="O98" i="4"/>
  <c r="H99" i="4"/>
  <c r="G99" i="3"/>
  <c r="O93" i="6"/>
  <c r="I99" i="4" s="1"/>
  <c r="W93" i="6"/>
  <c r="H99" i="3" s="1"/>
  <c r="K92" i="6"/>
  <c r="E100" i="5"/>
  <c r="F100" i="5"/>
  <c r="J100" i="5"/>
  <c r="K101" i="5"/>
  <c r="C100" i="5"/>
  <c r="D100" i="5"/>
  <c r="Q98" i="4"/>
  <c r="C100" i="3"/>
  <c r="D100" i="3"/>
  <c r="D100" i="4"/>
  <c r="F100" i="3"/>
  <c r="E100" i="3"/>
  <c r="S101" i="4"/>
  <c r="P98" i="4"/>
  <c r="N101" i="3"/>
  <c r="F100" i="4"/>
  <c r="U101" i="4"/>
  <c r="G100" i="4"/>
  <c r="C100" i="4"/>
  <c r="I100" i="5" l="1"/>
  <c r="H100" i="5"/>
  <c r="G100" i="5"/>
  <c r="E99" i="4"/>
  <c r="J94" i="6"/>
  <c r="W101" i="4"/>
  <c r="B101" i="4" s="1"/>
  <c r="L99" i="3"/>
  <c r="N99" i="4"/>
  <c r="I94" i="6"/>
  <c r="Q93" i="6"/>
  <c r="M93" i="6" s="1"/>
  <c r="Y93" i="6"/>
  <c r="J99" i="3" s="1"/>
  <c r="I99" i="3"/>
  <c r="K99" i="4"/>
  <c r="V94" i="6"/>
  <c r="N94" i="6"/>
  <c r="E94" i="6"/>
  <c r="A101" i="5"/>
  <c r="V102" i="4"/>
  <c r="B102" i="5"/>
  <c r="A101" i="3"/>
  <c r="A101" i="4"/>
  <c r="X101" i="4"/>
  <c r="B102" i="3"/>
  <c r="U93" i="6" l="1"/>
  <c r="L100" i="5"/>
  <c r="H96" i="6"/>
  <c r="R102" i="4"/>
  <c r="AB102" i="4" s="1"/>
  <c r="F95" i="6"/>
  <c r="H100" i="4"/>
  <c r="W94" i="6"/>
  <c r="H100" i="3" s="1"/>
  <c r="O94" i="6"/>
  <c r="I100" i="4" s="1"/>
  <c r="G100" i="3"/>
  <c r="Z93" i="6"/>
  <c r="K99" i="3" s="1"/>
  <c r="T93" i="6"/>
  <c r="L99" i="4"/>
  <c r="K93" i="6"/>
  <c r="S93" i="6"/>
  <c r="R93" i="6"/>
  <c r="M99" i="4" s="1"/>
  <c r="L93" i="6"/>
  <c r="P94" i="6"/>
  <c r="J100" i="4" s="1"/>
  <c r="X94" i="6"/>
  <c r="O99" i="4"/>
  <c r="F101" i="5"/>
  <c r="E101" i="5"/>
  <c r="J101" i="5"/>
  <c r="K102" i="5"/>
  <c r="C101" i="5"/>
  <c r="D101" i="5"/>
  <c r="Q99" i="4"/>
  <c r="S102" i="4"/>
  <c r="C101" i="4"/>
  <c r="E101" i="3"/>
  <c r="D101" i="4"/>
  <c r="F101" i="4"/>
  <c r="U102" i="4"/>
  <c r="D101" i="3"/>
  <c r="F101" i="3"/>
  <c r="P99" i="4"/>
  <c r="N102" i="3"/>
  <c r="G101" i="4"/>
  <c r="C101" i="3"/>
  <c r="Y94" i="6" l="1"/>
  <c r="J100" i="3" s="1"/>
  <c r="I95" i="6"/>
  <c r="I101" i="5"/>
  <c r="H101" i="5"/>
  <c r="G101" i="5"/>
  <c r="J95" i="6"/>
  <c r="W102" i="4"/>
  <c r="B102" i="4" s="1"/>
  <c r="L100" i="3"/>
  <c r="E100" i="4"/>
  <c r="N95" i="6"/>
  <c r="V95" i="6"/>
  <c r="E95" i="6"/>
  <c r="Q94" i="6"/>
  <c r="M94" i="6" s="1"/>
  <c r="I100" i="3"/>
  <c r="K100" i="4"/>
  <c r="A102" i="5"/>
  <c r="V103" i="4"/>
  <c r="A102" i="4"/>
  <c r="B103" i="5"/>
  <c r="B103" i="3"/>
  <c r="X102" i="4"/>
  <c r="A102" i="3"/>
  <c r="L101" i="5" l="1"/>
  <c r="Z94" i="6"/>
  <c r="K100" i="3" s="1"/>
  <c r="H97" i="6"/>
  <c r="R103" i="4"/>
  <c r="AB103" i="4" s="1"/>
  <c r="F96" i="6"/>
  <c r="T94" i="6"/>
  <c r="P95" i="6"/>
  <c r="J101" i="4" s="1"/>
  <c r="X95" i="6"/>
  <c r="L100" i="4"/>
  <c r="L94" i="6"/>
  <c r="U94" i="6"/>
  <c r="S94" i="6"/>
  <c r="G101" i="3"/>
  <c r="H101" i="4"/>
  <c r="R94" i="6"/>
  <c r="M100" i="4" s="1"/>
  <c r="K94" i="6"/>
  <c r="W95" i="6"/>
  <c r="H101" i="3" s="1"/>
  <c r="O95" i="6"/>
  <c r="I101" i="4" s="1"/>
  <c r="O100" i="4"/>
  <c r="N100" i="4"/>
  <c r="E102" i="5"/>
  <c r="K103" i="5"/>
  <c r="C102" i="5"/>
  <c r="F102" i="5"/>
  <c r="D102" i="5"/>
  <c r="J102" i="5"/>
  <c r="S103" i="4"/>
  <c r="P100" i="4"/>
  <c r="Q100" i="4"/>
  <c r="C102" i="4"/>
  <c r="C102" i="3"/>
  <c r="F102" i="3"/>
  <c r="F102" i="4"/>
  <c r="G102" i="4"/>
  <c r="U103" i="4"/>
  <c r="E102" i="3"/>
  <c r="N103" i="3"/>
  <c r="D102" i="3"/>
  <c r="D102" i="4"/>
  <c r="W103" i="4" l="1"/>
  <c r="B103" i="4" s="1"/>
  <c r="J96" i="6"/>
  <c r="H102" i="5"/>
  <c r="G102" i="5"/>
  <c r="I102" i="5"/>
  <c r="E101" i="4"/>
  <c r="I96" i="6"/>
  <c r="L101" i="3"/>
  <c r="Y95" i="6"/>
  <c r="J101" i="3" s="1"/>
  <c r="Q95" i="6"/>
  <c r="T95" i="6" s="1"/>
  <c r="K101" i="4"/>
  <c r="I101" i="3"/>
  <c r="N96" i="6"/>
  <c r="V96" i="6"/>
  <c r="E96" i="6"/>
  <c r="A103" i="5"/>
  <c r="B104" i="5"/>
  <c r="B104" i="3"/>
  <c r="V104" i="4"/>
  <c r="X103" i="4"/>
  <c r="A103" i="4"/>
  <c r="A103" i="3"/>
  <c r="S95" i="6" l="1"/>
  <c r="M95" i="6"/>
  <c r="L95" i="6"/>
  <c r="F97" i="6"/>
  <c r="R104" i="4"/>
  <c r="AB104" i="4" s="1"/>
  <c r="H98" i="6"/>
  <c r="L102" i="5"/>
  <c r="O101" i="4"/>
  <c r="N101" i="4"/>
  <c r="H102" i="4"/>
  <c r="W96" i="6"/>
  <c r="H102" i="3" s="1"/>
  <c r="O96" i="6"/>
  <c r="I102" i="4" s="1"/>
  <c r="K95" i="6"/>
  <c r="L101" i="4"/>
  <c r="U95" i="6"/>
  <c r="R95" i="6"/>
  <c r="M101" i="4" s="1"/>
  <c r="P96" i="6"/>
  <c r="J102" i="4" s="1"/>
  <c r="X96" i="6"/>
  <c r="Z95" i="6"/>
  <c r="K101" i="3" s="1"/>
  <c r="G102" i="3"/>
  <c r="K104" i="5"/>
  <c r="D103" i="5"/>
  <c r="E103" i="5"/>
  <c r="F103" i="5"/>
  <c r="J103" i="5"/>
  <c r="C103" i="5"/>
  <c r="U104" i="4"/>
  <c r="D103" i="4"/>
  <c r="P101" i="4"/>
  <c r="F103" i="3"/>
  <c r="C103" i="4"/>
  <c r="G103" i="4"/>
  <c r="D103" i="3"/>
  <c r="C103" i="3"/>
  <c r="F103" i="4"/>
  <c r="N104" i="3"/>
  <c r="E103" i="3"/>
  <c r="S104" i="4"/>
  <c r="Q101" i="4"/>
  <c r="Y96" i="6" l="1"/>
  <c r="J102" i="3" s="1"/>
  <c r="W104" i="4"/>
  <c r="B104" i="4" s="1"/>
  <c r="I97" i="6"/>
  <c r="L102" i="3"/>
  <c r="E102" i="4"/>
  <c r="N102" i="4" s="1"/>
  <c r="J97" i="6"/>
  <c r="H103" i="5"/>
  <c r="I103" i="5"/>
  <c r="G103" i="5"/>
  <c r="K102" i="4"/>
  <c r="I102" i="3"/>
  <c r="Q96" i="6"/>
  <c r="N97" i="6"/>
  <c r="V97" i="6"/>
  <c r="E97" i="6"/>
  <c r="A104" i="5"/>
  <c r="V105" i="4"/>
  <c r="B105" i="5"/>
  <c r="A104" i="3"/>
  <c r="B105" i="3"/>
  <c r="X104" i="4"/>
  <c r="A104" i="4"/>
  <c r="Z96" i="6" l="1"/>
  <c r="K102" i="3" s="1"/>
  <c r="F98" i="6"/>
  <c r="R105" i="4"/>
  <c r="AB105" i="4" s="1"/>
  <c r="H99" i="6"/>
  <c r="P97" i="6"/>
  <c r="J103" i="4" s="1"/>
  <c r="X97" i="6"/>
  <c r="L103" i="5"/>
  <c r="G103" i="3"/>
  <c r="W97" i="6"/>
  <c r="H103" i="3" s="1"/>
  <c r="O97" i="6"/>
  <c r="I103" i="4" s="1"/>
  <c r="H103" i="4"/>
  <c r="S96" i="6"/>
  <c r="L102" i="4"/>
  <c r="L96" i="6"/>
  <c r="K96" i="6"/>
  <c r="M96" i="6"/>
  <c r="U96" i="6"/>
  <c r="T96" i="6"/>
  <c r="R96" i="6"/>
  <c r="M102" i="4" s="1"/>
  <c r="O102" i="4"/>
  <c r="F104" i="5"/>
  <c r="C104" i="5"/>
  <c r="E104" i="5"/>
  <c r="D104" i="5"/>
  <c r="K105" i="5"/>
  <c r="J104" i="5"/>
  <c r="N105" i="3"/>
  <c r="G104" i="4"/>
  <c r="C104" i="3"/>
  <c r="D104" i="4"/>
  <c r="E104" i="3"/>
  <c r="C104" i="4"/>
  <c r="Q102" i="4"/>
  <c r="S105" i="4"/>
  <c r="D104" i="3"/>
  <c r="P102" i="4"/>
  <c r="U105" i="4"/>
  <c r="F104" i="4"/>
  <c r="F104" i="3"/>
  <c r="Y97" i="6" l="1"/>
  <c r="J103" i="3" s="1"/>
  <c r="E103" i="4"/>
  <c r="I98" i="6"/>
  <c r="I104" i="5"/>
  <c r="H104" i="5"/>
  <c r="G104" i="5"/>
  <c r="W105" i="4"/>
  <c r="B105" i="4" s="1"/>
  <c r="L103" i="3"/>
  <c r="J98" i="6"/>
  <c r="K103" i="4"/>
  <c r="I103" i="3"/>
  <c r="Q97" i="6"/>
  <c r="K97" i="6" s="1"/>
  <c r="V98" i="6"/>
  <c r="N98" i="6"/>
  <c r="E98" i="6"/>
  <c r="A105" i="5"/>
  <c r="B106" i="5"/>
  <c r="B106" i="3"/>
  <c r="V106" i="4"/>
  <c r="A105" i="3"/>
  <c r="A105" i="4"/>
  <c r="X105" i="4"/>
  <c r="S97" i="6" l="1"/>
  <c r="Z97" i="6"/>
  <c r="K103" i="3" s="1"/>
  <c r="F99" i="6"/>
  <c r="R106" i="4"/>
  <c r="AB106" i="4" s="1"/>
  <c r="H100" i="6"/>
  <c r="H104" i="4"/>
  <c r="G104" i="3"/>
  <c r="O103" i="4"/>
  <c r="N103" i="4"/>
  <c r="O98" i="6"/>
  <c r="I104" i="4" s="1"/>
  <c r="W98" i="6"/>
  <c r="H104" i="3" s="1"/>
  <c r="L97" i="6"/>
  <c r="L103" i="4"/>
  <c r="T97" i="6"/>
  <c r="R97" i="6"/>
  <c r="M103" i="4" s="1"/>
  <c r="M97" i="6"/>
  <c r="U97" i="6"/>
  <c r="L104" i="5"/>
  <c r="P98" i="6"/>
  <c r="J104" i="4" s="1"/>
  <c r="X98" i="6"/>
  <c r="J105" i="5"/>
  <c r="D105" i="5"/>
  <c r="F105" i="5"/>
  <c r="C105" i="5"/>
  <c r="E105" i="5"/>
  <c r="K106" i="5"/>
  <c r="P103" i="4"/>
  <c r="D105" i="3"/>
  <c r="D105" i="4"/>
  <c r="S106" i="4"/>
  <c r="N106" i="3"/>
  <c r="E105" i="3"/>
  <c r="C105" i="3"/>
  <c r="G105" i="4"/>
  <c r="Q103" i="4"/>
  <c r="C105" i="4"/>
  <c r="U106" i="4"/>
  <c r="F105" i="3"/>
  <c r="F105" i="4"/>
  <c r="J99" i="6" l="1"/>
  <c r="L104" i="3"/>
  <c r="H105" i="5"/>
  <c r="G105" i="5"/>
  <c r="I105" i="5"/>
  <c r="I99" i="6"/>
  <c r="W106" i="4"/>
  <c r="B106" i="4" s="1"/>
  <c r="E104" i="4"/>
  <c r="K104" i="4"/>
  <c r="I104" i="3"/>
  <c r="Q98" i="6"/>
  <c r="R98" i="6" s="1"/>
  <c r="M104" i="4" s="1"/>
  <c r="Y98" i="6"/>
  <c r="J104" i="3" s="1"/>
  <c r="V99" i="6"/>
  <c r="N99" i="6"/>
  <c r="E99" i="6"/>
  <c r="A106" i="5"/>
  <c r="X106" i="4"/>
  <c r="B107" i="3"/>
  <c r="B107" i="5"/>
  <c r="A106" i="4"/>
  <c r="A106" i="3"/>
  <c r="V107" i="4"/>
  <c r="K98" i="6" l="1"/>
  <c r="F100" i="6"/>
  <c r="R107" i="4"/>
  <c r="AB107" i="4" s="1"/>
  <c r="H101" i="6"/>
  <c r="H105" i="4"/>
  <c r="G105" i="3"/>
  <c r="P99" i="6"/>
  <c r="J105" i="4" s="1"/>
  <c r="X99" i="6"/>
  <c r="O99" i="6"/>
  <c r="I105" i="4" s="1"/>
  <c r="W99" i="6"/>
  <c r="H105" i="3" s="1"/>
  <c r="L104" i="4"/>
  <c r="M98" i="6"/>
  <c r="U98" i="6"/>
  <c r="L98" i="6"/>
  <c r="Z98" i="6"/>
  <c r="K104" i="3" s="1"/>
  <c r="S98" i="6"/>
  <c r="T98" i="6"/>
  <c r="N104" i="4"/>
  <c r="O104" i="4"/>
  <c r="L105" i="5"/>
  <c r="F106" i="5"/>
  <c r="C106" i="5"/>
  <c r="J106" i="5"/>
  <c r="D106" i="5"/>
  <c r="E106" i="5"/>
  <c r="K107" i="5"/>
  <c r="S107" i="4"/>
  <c r="F106" i="3"/>
  <c r="Q104" i="4"/>
  <c r="U107" i="4"/>
  <c r="D106" i="3"/>
  <c r="C106" i="4"/>
  <c r="D106" i="4"/>
  <c r="G106" i="4"/>
  <c r="P104" i="4"/>
  <c r="C106" i="3"/>
  <c r="F106" i="4"/>
  <c r="E106" i="3"/>
  <c r="N107" i="3"/>
  <c r="J100" i="6" l="1"/>
  <c r="I106" i="5"/>
  <c r="G106" i="5"/>
  <c r="H106" i="5"/>
  <c r="E105" i="4"/>
  <c r="I100" i="6"/>
  <c r="W107" i="4"/>
  <c r="B107" i="4" s="1"/>
  <c r="L105" i="3"/>
  <c r="K105" i="4"/>
  <c r="I105" i="3"/>
  <c r="Y99" i="6"/>
  <c r="J105" i="3" s="1"/>
  <c r="N100" i="6"/>
  <c r="V100" i="6"/>
  <c r="E100" i="6"/>
  <c r="Q99" i="6"/>
  <c r="L99" i="6" s="1"/>
  <c r="A107" i="5"/>
  <c r="B108" i="3"/>
  <c r="A107" i="4"/>
  <c r="B108" i="5"/>
  <c r="V108" i="4"/>
  <c r="A107" i="3"/>
  <c r="X107" i="4"/>
  <c r="K99" i="6" l="1"/>
  <c r="R99" i="6"/>
  <c r="M105" i="4" s="1"/>
  <c r="M99" i="6"/>
  <c r="U99" i="6"/>
  <c r="Z99" i="6"/>
  <c r="K105" i="3" s="1"/>
  <c r="F101" i="6"/>
  <c r="H102" i="6"/>
  <c r="R108" i="4"/>
  <c r="AB108" i="4" s="1"/>
  <c r="S99" i="6"/>
  <c r="P100" i="6"/>
  <c r="J106" i="4" s="1"/>
  <c r="X100" i="6"/>
  <c r="N105" i="4"/>
  <c r="O105" i="4"/>
  <c r="L106" i="5"/>
  <c r="O100" i="6"/>
  <c r="I106" i="4" s="1"/>
  <c r="W100" i="6"/>
  <c r="H106" i="3" s="1"/>
  <c r="G106" i="3"/>
  <c r="T99" i="6"/>
  <c r="L105" i="4"/>
  <c r="H106" i="4"/>
  <c r="C107" i="5"/>
  <c r="E107" i="5"/>
  <c r="K108" i="5"/>
  <c r="F107" i="5"/>
  <c r="J107" i="5"/>
  <c r="D107" i="5"/>
  <c r="G107" i="4"/>
  <c r="F107" i="3"/>
  <c r="C107" i="3"/>
  <c r="N108" i="3"/>
  <c r="D107" i="4"/>
  <c r="C107" i="4"/>
  <c r="D107" i="3"/>
  <c r="P105" i="4"/>
  <c r="Q105" i="4"/>
  <c r="F107" i="4"/>
  <c r="U108" i="4"/>
  <c r="E107" i="3"/>
  <c r="S108" i="4"/>
  <c r="H107" i="5" l="1"/>
  <c r="I107" i="5"/>
  <c r="G107" i="5"/>
  <c r="E106" i="4"/>
  <c r="N106" i="4" s="1"/>
  <c r="J101" i="6"/>
  <c r="W108" i="4"/>
  <c r="B108" i="4" s="1"/>
  <c r="L106" i="3"/>
  <c r="I101" i="6"/>
  <c r="Y100" i="6"/>
  <c r="I106" i="3"/>
  <c r="K106" i="4"/>
  <c r="Q100" i="6"/>
  <c r="U100" i="6" s="1"/>
  <c r="N101" i="6"/>
  <c r="V101" i="6"/>
  <c r="E101" i="6"/>
  <c r="A108" i="5"/>
  <c r="B109" i="3"/>
  <c r="A108" i="3"/>
  <c r="B109" i="5"/>
  <c r="V109" i="4"/>
  <c r="A108" i="4"/>
  <c r="X108" i="4"/>
  <c r="F102" i="6" l="1"/>
  <c r="H103" i="6"/>
  <c r="R109" i="4"/>
  <c r="AB109" i="4" s="1"/>
  <c r="H107" i="4"/>
  <c r="W101" i="6"/>
  <c r="H107" i="3" s="1"/>
  <c r="O101" i="6"/>
  <c r="I107" i="4" s="1"/>
  <c r="J106" i="3"/>
  <c r="Z100" i="6"/>
  <c r="K106" i="3" s="1"/>
  <c r="G107" i="3"/>
  <c r="L100" i="6"/>
  <c r="L106" i="4"/>
  <c r="R100" i="6"/>
  <c r="M106" i="4" s="1"/>
  <c r="T100" i="6"/>
  <c r="K100" i="6"/>
  <c r="M100" i="6"/>
  <c r="O106" i="4"/>
  <c r="P101" i="6"/>
  <c r="J107" i="4" s="1"/>
  <c r="X101" i="6"/>
  <c r="S100" i="6"/>
  <c r="L107" i="5"/>
  <c r="F108" i="5"/>
  <c r="E108" i="5"/>
  <c r="D108" i="5"/>
  <c r="K109" i="5"/>
  <c r="C108" i="5"/>
  <c r="J108" i="5"/>
  <c r="F108" i="4"/>
  <c r="E108" i="3"/>
  <c r="C108" i="3"/>
  <c r="S109" i="4"/>
  <c r="C108" i="4"/>
  <c r="D108" i="4"/>
  <c r="D108" i="3"/>
  <c r="G108" i="4"/>
  <c r="Q106" i="4"/>
  <c r="N109" i="3"/>
  <c r="U109" i="4"/>
  <c r="F108" i="3"/>
  <c r="P106" i="4"/>
  <c r="L107" i="3" l="1"/>
  <c r="W109" i="4"/>
  <c r="B109" i="4" s="1"/>
  <c r="E107" i="4"/>
  <c r="N107" i="4" s="1"/>
  <c r="J102" i="6"/>
  <c r="I108" i="5"/>
  <c r="G108" i="5"/>
  <c r="H108" i="5"/>
  <c r="I102" i="6"/>
  <c r="K107" i="4"/>
  <c r="I107" i="3"/>
  <c r="Q101" i="6"/>
  <c r="U101" i="6" s="1"/>
  <c r="Y101" i="6"/>
  <c r="J107" i="3" s="1"/>
  <c r="Z101" i="6"/>
  <c r="K107" i="3" s="1"/>
  <c r="N102" i="6"/>
  <c r="V102" i="6"/>
  <c r="E102" i="6"/>
  <c r="A109" i="5"/>
  <c r="X109" i="4"/>
  <c r="B110" i="3"/>
  <c r="A109" i="3"/>
  <c r="B110" i="5"/>
  <c r="V110" i="4"/>
  <c r="A109" i="4"/>
  <c r="F103" i="6" l="1"/>
  <c r="H104" i="6"/>
  <c r="R110" i="4"/>
  <c r="AB110" i="4" s="1"/>
  <c r="T101" i="6"/>
  <c r="L107" i="4"/>
  <c r="R101" i="6"/>
  <c r="M107" i="4" s="1"/>
  <c r="M101" i="6"/>
  <c r="H108" i="4"/>
  <c r="L101" i="6"/>
  <c r="P102" i="6"/>
  <c r="J108" i="4" s="1"/>
  <c r="X102" i="6"/>
  <c r="G108" i="3"/>
  <c r="O102" i="6"/>
  <c r="I108" i="4" s="1"/>
  <c r="W102" i="6"/>
  <c r="H108" i="3" s="1"/>
  <c r="K101" i="6"/>
  <c r="S101" i="6"/>
  <c r="L108" i="5"/>
  <c r="O107" i="4"/>
  <c r="E109" i="5"/>
  <c r="C109" i="5"/>
  <c r="D109" i="5"/>
  <c r="J109" i="5"/>
  <c r="F109" i="5"/>
  <c r="K110" i="5"/>
  <c r="F109" i="4"/>
  <c r="S110" i="4"/>
  <c r="C109" i="4"/>
  <c r="D109" i="4"/>
  <c r="C109" i="3"/>
  <c r="Q107" i="4"/>
  <c r="U110" i="4"/>
  <c r="G109" i="4"/>
  <c r="N110" i="3"/>
  <c r="P107" i="4"/>
  <c r="E109" i="3"/>
  <c r="F109" i="3"/>
  <c r="D109" i="3"/>
  <c r="Q102" i="6" l="1"/>
  <c r="K102" i="6" s="1"/>
  <c r="J103" i="6"/>
  <c r="I109" i="5"/>
  <c r="G109" i="5"/>
  <c r="H109" i="5"/>
  <c r="I103" i="6"/>
  <c r="L108" i="3"/>
  <c r="W110" i="4"/>
  <c r="B110" i="4" s="1"/>
  <c r="E108" i="4"/>
  <c r="N108" i="4" s="1"/>
  <c r="Y102" i="6"/>
  <c r="J108" i="3" s="1"/>
  <c r="I108" i="3"/>
  <c r="K108" i="4"/>
  <c r="M102" i="6"/>
  <c r="N103" i="6"/>
  <c r="V103" i="6"/>
  <c r="E103" i="6"/>
  <c r="A110" i="5"/>
  <c r="A110" i="4"/>
  <c r="X110" i="4"/>
  <c r="B111" i="5"/>
  <c r="V111" i="4"/>
  <c r="A110" i="3"/>
  <c r="B111" i="3"/>
  <c r="S102" i="6" l="1"/>
  <c r="T102" i="6"/>
  <c r="L102" i="6"/>
  <c r="L109" i="5"/>
  <c r="U102" i="6"/>
  <c r="R102" i="6"/>
  <c r="M108" i="4" s="1"/>
  <c r="L108" i="4"/>
  <c r="F104" i="6"/>
  <c r="R111" i="4"/>
  <c r="AB111" i="4" s="1"/>
  <c r="H105" i="6"/>
  <c r="G109" i="3"/>
  <c r="O103" i="6"/>
  <c r="I109" i="4" s="1"/>
  <c r="W103" i="6"/>
  <c r="H109" i="3" s="1"/>
  <c r="P103" i="6"/>
  <c r="J109" i="4" s="1"/>
  <c r="X103" i="6"/>
  <c r="H109" i="4"/>
  <c r="Z102" i="6"/>
  <c r="K108" i="3" s="1"/>
  <c r="O108" i="4"/>
  <c r="C110" i="5"/>
  <c r="J110" i="5"/>
  <c r="D110" i="5"/>
  <c r="F110" i="5"/>
  <c r="E110" i="5"/>
  <c r="K111" i="5"/>
  <c r="P108" i="4"/>
  <c r="C110" i="4"/>
  <c r="S111" i="4"/>
  <c r="U111" i="4"/>
  <c r="D110" i="3"/>
  <c r="G110" i="4"/>
  <c r="E110" i="3"/>
  <c r="C110" i="3"/>
  <c r="F110" i="3"/>
  <c r="F110" i="4"/>
  <c r="D110" i="4"/>
  <c r="N111" i="3"/>
  <c r="Q108" i="4"/>
  <c r="Q103" i="6" l="1"/>
  <c r="L109" i="4" s="1"/>
  <c r="W111" i="4"/>
  <c r="B111" i="4" s="1"/>
  <c r="L109" i="3"/>
  <c r="I110" i="5"/>
  <c r="G110" i="5"/>
  <c r="H110" i="5"/>
  <c r="J104" i="6"/>
  <c r="I104" i="6"/>
  <c r="E109" i="4"/>
  <c r="I109" i="3"/>
  <c r="K109" i="4"/>
  <c r="L103" i="6"/>
  <c r="S103" i="6"/>
  <c r="Y103" i="6"/>
  <c r="J109" i="3" s="1"/>
  <c r="V104" i="6"/>
  <c r="N104" i="6"/>
  <c r="E104" i="6"/>
  <c r="A111" i="5"/>
  <c r="V112" i="4"/>
  <c r="A111" i="4"/>
  <c r="B112" i="3"/>
  <c r="X111" i="4"/>
  <c r="B112" i="5"/>
  <c r="A111" i="3"/>
  <c r="M103" i="6" l="1"/>
  <c r="K103" i="6"/>
  <c r="R103" i="6"/>
  <c r="M109" i="4" s="1"/>
  <c r="U103" i="6"/>
  <c r="T103" i="6"/>
  <c r="L110" i="5"/>
  <c r="Z103" i="6"/>
  <c r="K109" i="3" s="1"/>
  <c r="R112" i="4"/>
  <c r="AB112" i="4" s="1"/>
  <c r="H106" i="6"/>
  <c r="F105" i="6"/>
  <c r="H110" i="4"/>
  <c r="W104" i="6"/>
  <c r="H110" i="3" s="1"/>
  <c r="O104" i="6"/>
  <c r="I110" i="4" s="1"/>
  <c r="P104" i="6"/>
  <c r="J110" i="4" s="1"/>
  <c r="X104" i="6"/>
  <c r="G110" i="3"/>
  <c r="N109" i="4"/>
  <c r="O109" i="4"/>
  <c r="F111" i="5"/>
  <c r="C111" i="5"/>
  <c r="E111" i="5"/>
  <c r="D111" i="5"/>
  <c r="K112" i="5"/>
  <c r="J111" i="5"/>
  <c r="D111" i="3"/>
  <c r="F111" i="3"/>
  <c r="S112" i="4"/>
  <c r="C111" i="3"/>
  <c r="E111" i="3"/>
  <c r="F111" i="4"/>
  <c r="N112" i="3"/>
  <c r="Q109" i="4"/>
  <c r="U112" i="4"/>
  <c r="G111" i="4"/>
  <c r="C111" i="4"/>
  <c r="D111" i="4"/>
  <c r="P109" i="4"/>
  <c r="Y104" i="6" l="1"/>
  <c r="J110" i="3" s="1"/>
  <c r="L110" i="3"/>
  <c r="J105" i="6"/>
  <c r="I111" i="5"/>
  <c r="H111" i="5"/>
  <c r="G111" i="5"/>
  <c r="I105" i="6"/>
  <c r="E110" i="4"/>
  <c r="W112" i="4"/>
  <c r="B112" i="4" s="1"/>
  <c r="V105" i="6"/>
  <c r="N105" i="6"/>
  <c r="E105" i="6"/>
  <c r="I110" i="3"/>
  <c r="K110" i="4"/>
  <c r="Q104" i="6"/>
  <c r="R104" i="6" s="1"/>
  <c r="M110" i="4" s="1"/>
  <c r="A112" i="5"/>
  <c r="B113" i="5"/>
  <c r="A112" i="4"/>
  <c r="V113" i="4"/>
  <c r="A112" i="3"/>
  <c r="X112" i="4"/>
  <c r="B113" i="3"/>
  <c r="T104" i="6" l="1"/>
  <c r="Z104" i="6"/>
  <c r="K110" i="3" s="1"/>
  <c r="F106" i="6"/>
  <c r="H107" i="6"/>
  <c r="R113" i="4"/>
  <c r="AB113" i="4" s="1"/>
  <c r="O110" i="4"/>
  <c r="G111" i="3"/>
  <c r="L110" i="4"/>
  <c r="S104" i="6"/>
  <c r="M104" i="6"/>
  <c r="L104" i="6"/>
  <c r="K104" i="6"/>
  <c r="U104" i="6"/>
  <c r="O105" i="6"/>
  <c r="I111" i="4" s="1"/>
  <c r="W105" i="6"/>
  <c r="H111" i="3" s="1"/>
  <c r="L111" i="5"/>
  <c r="H111" i="4"/>
  <c r="P105" i="6"/>
  <c r="J111" i="4" s="1"/>
  <c r="X105" i="6"/>
  <c r="N110" i="4"/>
  <c r="E112" i="5"/>
  <c r="C112" i="5"/>
  <c r="D112" i="5"/>
  <c r="J112" i="5"/>
  <c r="F112" i="5"/>
  <c r="K113" i="5"/>
  <c r="U113" i="4"/>
  <c r="D112" i="3"/>
  <c r="C112" i="3"/>
  <c r="P110" i="4"/>
  <c r="D112" i="4"/>
  <c r="E112" i="3"/>
  <c r="F112" i="3"/>
  <c r="Q110" i="4"/>
  <c r="S113" i="4"/>
  <c r="G112" i="4"/>
  <c r="F112" i="4"/>
  <c r="N113" i="3"/>
  <c r="C112" i="4"/>
  <c r="W113" i="4" l="1"/>
  <c r="B113" i="4" s="1"/>
  <c r="Q105" i="6"/>
  <c r="M105" i="6" s="1"/>
  <c r="I106" i="6"/>
  <c r="I112" i="5"/>
  <c r="H112" i="5"/>
  <c r="G112" i="5"/>
  <c r="L111" i="3"/>
  <c r="E111" i="4"/>
  <c r="N111" i="4" s="1"/>
  <c r="J106" i="6"/>
  <c r="R105" i="6"/>
  <c r="M111" i="4" s="1"/>
  <c r="I111" i="3"/>
  <c r="K111" i="4"/>
  <c r="Y105" i="6"/>
  <c r="J111" i="3" s="1"/>
  <c r="N106" i="6"/>
  <c r="H112" i="4" s="1"/>
  <c r="V106" i="6"/>
  <c r="E106" i="6"/>
  <c r="A113" i="5"/>
  <c r="X113" i="4"/>
  <c r="A113" i="4"/>
  <c r="V114" i="4"/>
  <c r="A113" i="3"/>
  <c r="B114" i="3"/>
  <c r="B114" i="5"/>
  <c r="U105" i="6" l="1"/>
  <c r="L105" i="6"/>
  <c r="L112" i="5"/>
  <c r="S105" i="6"/>
  <c r="T105" i="6"/>
  <c r="K105" i="6"/>
  <c r="L111" i="4"/>
  <c r="R114" i="4"/>
  <c r="AB114" i="4" s="1"/>
  <c r="H108" i="6"/>
  <c r="F107" i="6"/>
  <c r="G112" i="3"/>
  <c r="O111" i="4"/>
  <c r="O106" i="6"/>
  <c r="I112" i="4" s="1"/>
  <c r="W106" i="6"/>
  <c r="H112" i="3" s="1"/>
  <c r="P106" i="6"/>
  <c r="J112" i="4" s="1"/>
  <c r="X106" i="6"/>
  <c r="Z105" i="6"/>
  <c r="K111" i="3" s="1"/>
  <c r="F113" i="5"/>
  <c r="J113" i="5"/>
  <c r="E113" i="5"/>
  <c r="D113" i="5"/>
  <c r="K114" i="5"/>
  <c r="C113" i="5"/>
  <c r="F113" i="4"/>
  <c r="N114" i="3"/>
  <c r="G113" i="4"/>
  <c r="C113" i="4"/>
  <c r="D113" i="4"/>
  <c r="E113" i="3"/>
  <c r="P111" i="4"/>
  <c r="Q111" i="4"/>
  <c r="S114" i="4"/>
  <c r="C113" i="3"/>
  <c r="U114" i="4"/>
  <c r="F113" i="3"/>
  <c r="D113" i="3"/>
  <c r="W114" i="4" l="1"/>
  <c r="B114" i="4" s="1"/>
  <c r="J107" i="6"/>
  <c r="I113" i="5"/>
  <c r="H113" i="5"/>
  <c r="G113" i="5"/>
  <c r="I107" i="6"/>
  <c r="E112" i="4"/>
  <c r="L112" i="3"/>
  <c r="I112" i="3"/>
  <c r="K112" i="4"/>
  <c r="N107" i="6"/>
  <c r="V107" i="6"/>
  <c r="E107" i="6"/>
  <c r="Y106" i="6"/>
  <c r="J112" i="3" s="1"/>
  <c r="Q106" i="6"/>
  <c r="S106" i="6" s="1"/>
  <c r="A114" i="5"/>
  <c r="V115" i="4"/>
  <c r="B115" i="5"/>
  <c r="A114" i="4"/>
  <c r="A114" i="3"/>
  <c r="B115" i="3"/>
  <c r="X114" i="4"/>
  <c r="L113" i="5" l="1"/>
  <c r="R115" i="4"/>
  <c r="AB115" i="4" s="1"/>
  <c r="H109" i="6"/>
  <c r="F108" i="6"/>
  <c r="P107" i="6"/>
  <c r="J113" i="4" s="1"/>
  <c r="X107" i="6"/>
  <c r="R106" i="6"/>
  <c r="M112" i="4" s="1"/>
  <c r="L112" i="4"/>
  <c r="M106" i="6"/>
  <c r="T106" i="6"/>
  <c r="K106" i="6"/>
  <c r="L106" i="6"/>
  <c r="G113" i="3"/>
  <c r="O107" i="6"/>
  <c r="I113" i="4" s="1"/>
  <c r="W107" i="6"/>
  <c r="H113" i="3" s="1"/>
  <c r="H113" i="4"/>
  <c r="O112" i="4"/>
  <c r="Z106" i="6"/>
  <c r="K112" i="3" s="1"/>
  <c r="U106" i="6"/>
  <c r="C114" i="5"/>
  <c r="K115" i="5"/>
  <c r="J114" i="5"/>
  <c r="E114" i="5"/>
  <c r="D114" i="5"/>
  <c r="F114" i="5"/>
  <c r="G114" i="4"/>
  <c r="C114" i="4"/>
  <c r="E114" i="3"/>
  <c r="S115" i="4"/>
  <c r="F114" i="4"/>
  <c r="P112" i="4"/>
  <c r="N115" i="3"/>
  <c r="F114" i="3"/>
  <c r="U115" i="4"/>
  <c r="D114" i="4"/>
  <c r="C114" i="3"/>
  <c r="D114" i="3"/>
  <c r="Q112" i="4"/>
  <c r="W115" i="4" l="1"/>
  <c r="B115" i="4" s="1"/>
  <c r="I108" i="6"/>
  <c r="E113" i="4"/>
  <c r="N112" i="4" s="1"/>
  <c r="H114" i="5"/>
  <c r="G114" i="5"/>
  <c r="I114" i="5"/>
  <c r="J108" i="6"/>
  <c r="L113" i="3"/>
  <c r="Q107" i="6"/>
  <c r="S107" i="6" s="1"/>
  <c r="I113" i="3"/>
  <c r="K113" i="4"/>
  <c r="Y107" i="6"/>
  <c r="J113" i="3" s="1"/>
  <c r="N108" i="6"/>
  <c r="V108" i="6"/>
  <c r="E108" i="6"/>
  <c r="A115" i="5"/>
  <c r="V116" i="4"/>
  <c r="A115" i="3"/>
  <c r="A115" i="4"/>
  <c r="B116" i="5"/>
  <c r="X115" i="4"/>
  <c r="B116" i="3"/>
  <c r="Z107" i="6" l="1"/>
  <c r="K113" i="3" s="1"/>
  <c r="M107" i="6"/>
  <c r="R107" i="6"/>
  <c r="M113" i="4" s="1"/>
  <c r="L114" i="5"/>
  <c r="R116" i="4"/>
  <c r="AB116" i="4" s="1"/>
  <c r="H110" i="6"/>
  <c r="F109" i="6"/>
  <c r="H114" i="4"/>
  <c r="N113" i="4"/>
  <c r="O113" i="4"/>
  <c r="W108" i="6"/>
  <c r="H114" i="3" s="1"/>
  <c r="O108" i="6"/>
  <c r="I114" i="4" s="1"/>
  <c r="L113" i="4"/>
  <c r="K107" i="6"/>
  <c r="U107" i="6"/>
  <c r="L107" i="6"/>
  <c r="T107" i="6"/>
  <c r="P108" i="6"/>
  <c r="J114" i="4" s="1"/>
  <c r="X108" i="6"/>
  <c r="Y108" i="6" s="1"/>
  <c r="J114" i="3" s="1"/>
  <c r="G114" i="3"/>
  <c r="K116" i="5"/>
  <c r="J115" i="5"/>
  <c r="F115" i="5"/>
  <c r="D115" i="5"/>
  <c r="C115" i="5"/>
  <c r="E115" i="5"/>
  <c r="C115" i="3"/>
  <c r="Q113" i="4"/>
  <c r="U116" i="4"/>
  <c r="G115" i="4"/>
  <c r="F115" i="4"/>
  <c r="S116" i="4"/>
  <c r="E115" i="3"/>
  <c r="D115" i="3"/>
  <c r="N116" i="3"/>
  <c r="F115" i="3"/>
  <c r="C115" i="4"/>
  <c r="D115" i="4"/>
  <c r="P113" i="4"/>
  <c r="W116" i="4" l="1"/>
  <c r="B116" i="4" s="1"/>
  <c r="Q108" i="6"/>
  <c r="U108" i="6" s="1"/>
  <c r="E114" i="4"/>
  <c r="L114" i="3"/>
  <c r="J109" i="6"/>
  <c r="G115" i="5"/>
  <c r="H115" i="5"/>
  <c r="I115" i="5"/>
  <c r="I109" i="6"/>
  <c r="L108" i="6"/>
  <c r="Z108" i="6"/>
  <c r="K114" i="3" s="1"/>
  <c r="K114" i="4"/>
  <c r="I114" i="3"/>
  <c r="S108" i="6"/>
  <c r="R108" i="6"/>
  <c r="M114" i="4" s="1"/>
  <c r="M108" i="6"/>
  <c r="N109" i="6"/>
  <c r="V109" i="6"/>
  <c r="E109" i="6"/>
  <c r="A116" i="5"/>
  <c r="B117" i="5"/>
  <c r="B117" i="3"/>
  <c r="V117" i="4"/>
  <c r="A116" i="3"/>
  <c r="X116" i="4"/>
  <c r="A116" i="4"/>
  <c r="T108" i="6" l="1"/>
  <c r="K108" i="6"/>
  <c r="L114" i="4"/>
  <c r="L115" i="5"/>
  <c r="H111" i="6"/>
  <c r="R117" i="4"/>
  <c r="AB117" i="4" s="1"/>
  <c r="F110" i="6"/>
  <c r="O114" i="4"/>
  <c r="P109" i="6"/>
  <c r="J115" i="4" s="1"/>
  <c r="X109" i="6"/>
  <c r="N114" i="4"/>
  <c r="G115" i="3"/>
  <c r="H115" i="4"/>
  <c r="W109" i="6"/>
  <c r="H115" i="3" s="1"/>
  <c r="O109" i="6"/>
  <c r="I115" i="4" s="1"/>
  <c r="C116" i="5"/>
  <c r="D116" i="5"/>
  <c r="E116" i="5"/>
  <c r="F116" i="5"/>
  <c r="J116" i="5"/>
  <c r="K117" i="5"/>
  <c r="N117" i="3"/>
  <c r="C116" i="3"/>
  <c r="D116" i="3"/>
  <c r="E116" i="3"/>
  <c r="P114" i="4"/>
  <c r="F116" i="4"/>
  <c r="F116" i="3"/>
  <c r="S117" i="4"/>
  <c r="Q114" i="4"/>
  <c r="U117" i="4"/>
  <c r="C116" i="4"/>
  <c r="G116" i="4"/>
  <c r="D116" i="4"/>
  <c r="W117" i="4" l="1"/>
  <c r="B117" i="4" s="1"/>
  <c r="I110" i="6"/>
  <c r="E115" i="4"/>
  <c r="N115" i="4" s="1"/>
  <c r="J110" i="6"/>
  <c r="I116" i="5"/>
  <c r="G116" i="5"/>
  <c r="H116" i="5"/>
  <c r="L115" i="3"/>
  <c r="Y109" i="6"/>
  <c r="J115" i="3" s="1"/>
  <c r="V110" i="6"/>
  <c r="N110" i="6"/>
  <c r="E110" i="6"/>
  <c r="I115" i="3"/>
  <c r="K115" i="4"/>
  <c r="Q109" i="6"/>
  <c r="U109" i="6" s="1"/>
  <c r="L109" i="6"/>
  <c r="A117" i="5"/>
  <c r="X117" i="4"/>
  <c r="A117" i="3"/>
  <c r="B118" i="5"/>
  <c r="V118" i="4"/>
  <c r="B118" i="3"/>
  <c r="A117" i="4"/>
  <c r="K109" i="6" l="1"/>
  <c r="M109" i="6"/>
  <c r="Z109" i="6"/>
  <c r="K115" i="3" s="1"/>
  <c r="S109" i="6"/>
  <c r="L116" i="5"/>
  <c r="H112" i="6"/>
  <c r="R118" i="4"/>
  <c r="AB118" i="4" s="1"/>
  <c r="F111" i="6"/>
  <c r="H116" i="4"/>
  <c r="P110" i="6"/>
  <c r="J116" i="4" s="1"/>
  <c r="X110" i="6"/>
  <c r="G116" i="3"/>
  <c r="L115" i="4"/>
  <c r="R109" i="6"/>
  <c r="M115" i="4" s="1"/>
  <c r="O110" i="6"/>
  <c r="I116" i="4" s="1"/>
  <c r="W110" i="6"/>
  <c r="H116" i="3" s="1"/>
  <c r="T109" i="6"/>
  <c r="O115" i="4"/>
  <c r="F117" i="5"/>
  <c r="E117" i="5"/>
  <c r="C117" i="5"/>
  <c r="J117" i="5"/>
  <c r="K118" i="5"/>
  <c r="D117" i="5"/>
  <c r="F117" i="4"/>
  <c r="N118" i="3"/>
  <c r="P115" i="4"/>
  <c r="C117" i="3"/>
  <c r="Q115" i="4"/>
  <c r="D117" i="4"/>
  <c r="G117" i="4"/>
  <c r="C117" i="4"/>
  <c r="F117" i="3"/>
  <c r="E117" i="3"/>
  <c r="D117" i="3"/>
  <c r="U118" i="4"/>
  <c r="S118" i="4"/>
  <c r="W118" i="4" l="1"/>
  <c r="B118" i="4" s="1"/>
  <c r="I117" i="5"/>
  <c r="H117" i="5"/>
  <c r="G117" i="5"/>
  <c r="J111" i="6"/>
  <c r="L116" i="3"/>
  <c r="I111" i="6"/>
  <c r="E116" i="4"/>
  <c r="N116" i="4" s="1"/>
  <c r="I116" i="3"/>
  <c r="K116" i="4"/>
  <c r="Q110" i="6"/>
  <c r="S110" i="6" s="1"/>
  <c r="N111" i="6"/>
  <c r="V111" i="6"/>
  <c r="E111" i="6"/>
  <c r="Y110" i="6"/>
  <c r="J116" i="3" s="1"/>
  <c r="A118" i="5"/>
  <c r="A118" i="4"/>
  <c r="V119" i="4"/>
  <c r="B119" i="5"/>
  <c r="X118" i="4"/>
  <c r="B119" i="3"/>
  <c r="A118" i="3"/>
  <c r="Z110" i="6" l="1"/>
  <c r="K116" i="3" s="1"/>
  <c r="F112" i="6"/>
  <c r="R119" i="4"/>
  <c r="AB119" i="4" s="1"/>
  <c r="H113" i="6"/>
  <c r="L110" i="6"/>
  <c r="T110" i="6"/>
  <c r="P111" i="6"/>
  <c r="J117" i="4" s="1"/>
  <c r="X111" i="6"/>
  <c r="U110" i="6"/>
  <c r="L116" i="4"/>
  <c r="R110" i="6"/>
  <c r="M116" i="4" s="1"/>
  <c r="K110" i="6"/>
  <c r="M110" i="6"/>
  <c r="G117" i="3"/>
  <c r="L117" i="5"/>
  <c r="O111" i="6"/>
  <c r="I117" i="4" s="1"/>
  <c r="W111" i="6"/>
  <c r="H117" i="3" s="1"/>
  <c r="H117" i="4"/>
  <c r="O116" i="4"/>
  <c r="C118" i="5"/>
  <c r="D118" i="5"/>
  <c r="J118" i="5"/>
  <c r="K119" i="5"/>
  <c r="E118" i="5"/>
  <c r="F118" i="5"/>
  <c r="C118" i="4"/>
  <c r="C118" i="3"/>
  <c r="U119" i="4"/>
  <c r="D118" i="4"/>
  <c r="D118" i="3"/>
  <c r="N119" i="3"/>
  <c r="G118" i="4"/>
  <c r="F118" i="4"/>
  <c r="P116" i="4"/>
  <c r="E118" i="3"/>
  <c r="F118" i="3"/>
  <c r="Q116" i="4"/>
  <c r="S119" i="4"/>
  <c r="W119" i="4" l="1"/>
  <c r="B119" i="4" s="1"/>
  <c r="E117" i="4"/>
  <c r="N117" i="4" s="1"/>
  <c r="I112" i="6"/>
  <c r="J112" i="6"/>
  <c r="H118" i="5"/>
  <c r="G118" i="5"/>
  <c r="I118" i="5"/>
  <c r="L117" i="3"/>
  <c r="Y111" i="6"/>
  <c r="J117" i="3" s="1"/>
  <c r="Q111" i="6"/>
  <c r="L111" i="6" s="1"/>
  <c r="V112" i="6"/>
  <c r="N112" i="6"/>
  <c r="E112" i="6"/>
  <c r="K117" i="4"/>
  <c r="I117" i="3"/>
  <c r="A119" i="5"/>
  <c r="B120" i="5"/>
  <c r="A119" i="4"/>
  <c r="V120" i="4"/>
  <c r="X119" i="4"/>
  <c r="B120" i="3"/>
  <c r="A119" i="3"/>
  <c r="T111" i="6" l="1"/>
  <c r="S111" i="6"/>
  <c r="Z111" i="6"/>
  <c r="K117" i="3" s="1"/>
  <c r="R120" i="4"/>
  <c r="AB120" i="4" s="1"/>
  <c r="H114" i="6"/>
  <c r="F113" i="6"/>
  <c r="W112" i="6"/>
  <c r="H118" i="3" s="1"/>
  <c r="O112" i="6"/>
  <c r="I118" i="4" s="1"/>
  <c r="G118" i="3"/>
  <c r="H118" i="4"/>
  <c r="L118" i="5"/>
  <c r="P112" i="6"/>
  <c r="J118" i="4" s="1"/>
  <c r="X112" i="6"/>
  <c r="M111" i="6"/>
  <c r="L117" i="4"/>
  <c r="U111" i="6"/>
  <c r="R111" i="6"/>
  <c r="M117" i="4" s="1"/>
  <c r="K111" i="6"/>
  <c r="O117" i="4"/>
  <c r="C119" i="5"/>
  <c r="E119" i="5"/>
  <c r="J119" i="5"/>
  <c r="K120" i="5"/>
  <c r="D119" i="5"/>
  <c r="F119" i="5"/>
  <c r="P117" i="4"/>
  <c r="E119" i="3"/>
  <c r="D119" i="4"/>
  <c r="D119" i="3"/>
  <c r="Q117" i="4"/>
  <c r="G119" i="4"/>
  <c r="C119" i="3"/>
  <c r="N120" i="3"/>
  <c r="S120" i="4"/>
  <c r="U120" i="4"/>
  <c r="C119" i="4"/>
  <c r="F119" i="4"/>
  <c r="F119" i="3"/>
  <c r="W120" i="4" l="1"/>
  <c r="B120" i="4" s="1"/>
  <c r="Y112" i="6"/>
  <c r="J118" i="3" s="1"/>
  <c r="J113" i="6"/>
  <c r="H119" i="5"/>
  <c r="I119" i="5"/>
  <c r="G119" i="5"/>
  <c r="E118" i="4"/>
  <c r="L118" i="3"/>
  <c r="I113" i="6"/>
  <c r="K118" i="4"/>
  <c r="I118" i="3"/>
  <c r="V113" i="6"/>
  <c r="N113" i="6"/>
  <c r="E113" i="6"/>
  <c r="Q112" i="6"/>
  <c r="S112" i="6" s="1"/>
  <c r="A120" i="5"/>
  <c r="B121" i="3"/>
  <c r="X120" i="4"/>
  <c r="B121" i="5"/>
  <c r="A120" i="4"/>
  <c r="V121" i="4"/>
  <c r="U121" i="4"/>
  <c r="A120" i="3"/>
  <c r="Z112" i="6" l="1"/>
  <c r="K118" i="3" s="1"/>
  <c r="F114" i="6"/>
  <c r="H115" i="6"/>
  <c r="W121" i="4"/>
  <c r="B121" i="4" s="1"/>
  <c r="R121" i="4"/>
  <c r="AB121" i="4" s="1"/>
  <c r="P113" i="6"/>
  <c r="J119" i="4" s="1"/>
  <c r="X113" i="6"/>
  <c r="L118" i="4"/>
  <c r="M112" i="6"/>
  <c r="T112" i="6"/>
  <c r="R112" i="6"/>
  <c r="M118" i="4" s="1"/>
  <c r="G119" i="3"/>
  <c r="O118" i="4"/>
  <c r="L119" i="5"/>
  <c r="H119" i="4"/>
  <c r="W113" i="6"/>
  <c r="H119" i="3" s="1"/>
  <c r="O113" i="6"/>
  <c r="I119" i="4" s="1"/>
  <c r="L112" i="6"/>
  <c r="U112" i="6"/>
  <c r="K112" i="6"/>
  <c r="K121" i="5"/>
  <c r="C120" i="5"/>
  <c r="J120" i="5"/>
  <c r="E120" i="5"/>
  <c r="D120" i="5"/>
  <c r="F120" i="5"/>
  <c r="D120" i="4"/>
  <c r="S121" i="4"/>
  <c r="C120" i="3"/>
  <c r="E120" i="3"/>
  <c r="Q118" i="4"/>
  <c r="F120" i="4"/>
  <c r="F120" i="3"/>
  <c r="C120" i="4"/>
  <c r="P118" i="4"/>
  <c r="D120" i="3"/>
  <c r="N121" i="3"/>
  <c r="G120" i="4"/>
  <c r="I120" i="5" l="1"/>
  <c r="H120" i="5"/>
  <c r="G120" i="5"/>
  <c r="L119" i="3"/>
  <c r="I114" i="6"/>
  <c r="E119" i="4"/>
  <c r="N118" i="4" s="1"/>
  <c r="J114" i="6"/>
  <c r="Q113" i="6"/>
  <c r="U113" i="6" s="1"/>
  <c r="K119" i="4"/>
  <c r="I119" i="3"/>
  <c r="Y113" i="6"/>
  <c r="J119" i="3" s="1"/>
  <c r="V114" i="6"/>
  <c r="N114" i="6"/>
  <c r="E114" i="6"/>
  <c r="A121" i="5"/>
  <c r="A121" i="4"/>
  <c r="V122" i="4"/>
  <c r="B122" i="5"/>
  <c r="U122" i="4"/>
  <c r="X121" i="4"/>
  <c r="A121" i="3"/>
  <c r="B122" i="3"/>
  <c r="Z113" i="6" l="1"/>
  <c r="K119" i="3" s="1"/>
  <c r="T113" i="6"/>
  <c r="K113" i="6"/>
  <c r="L120" i="5"/>
  <c r="L113" i="6"/>
  <c r="S113" i="6"/>
  <c r="R113" i="6"/>
  <c r="M119" i="4" s="1"/>
  <c r="H116" i="6"/>
  <c r="R122" i="4"/>
  <c r="AB122" i="4" s="1"/>
  <c r="W122" i="4"/>
  <c r="B122" i="4" s="1"/>
  <c r="F115" i="6"/>
  <c r="H120" i="4"/>
  <c r="L119" i="4"/>
  <c r="M113" i="6"/>
  <c r="P114" i="6"/>
  <c r="J120" i="4" s="1"/>
  <c r="X114" i="6"/>
  <c r="O119" i="4"/>
  <c r="G120" i="3"/>
  <c r="O114" i="6"/>
  <c r="I120" i="4" s="1"/>
  <c r="W114" i="6"/>
  <c r="H120" i="3" s="1"/>
  <c r="K122" i="5"/>
  <c r="E121" i="5"/>
  <c r="C121" i="5"/>
  <c r="F121" i="5"/>
  <c r="J121" i="5"/>
  <c r="D121" i="5"/>
  <c r="D121" i="3"/>
  <c r="Q119" i="4"/>
  <c r="G121" i="4"/>
  <c r="F121" i="3"/>
  <c r="D121" i="4"/>
  <c r="F121" i="4"/>
  <c r="S122" i="4"/>
  <c r="C121" i="4"/>
  <c r="C121" i="3"/>
  <c r="E121" i="3"/>
  <c r="N122" i="3"/>
  <c r="P119" i="4"/>
  <c r="Y114" i="6" l="1"/>
  <c r="J120" i="3" s="1"/>
  <c r="H121" i="5"/>
  <c r="G121" i="5"/>
  <c r="I121" i="5"/>
  <c r="I115" i="6"/>
  <c r="L120" i="3"/>
  <c r="E120" i="4"/>
  <c r="N119" i="4" s="1"/>
  <c r="J115" i="6"/>
  <c r="I120" i="3"/>
  <c r="K120" i="4"/>
  <c r="Q114" i="6"/>
  <c r="S114" i="6" s="1"/>
  <c r="N115" i="6"/>
  <c r="V115" i="6"/>
  <c r="E115" i="6"/>
  <c r="A122" i="5"/>
  <c r="A122" i="4"/>
  <c r="X122" i="4"/>
  <c r="A122" i="3"/>
  <c r="B123" i="3"/>
  <c r="B123" i="5"/>
  <c r="V123" i="4"/>
  <c r="U123" i="4" s="1"/>
  <c r="Z114" i="6" l="1"/>
  <c r="K120" i="3" s="1"/>
  <c r="R114" i="6"/>
  <c r="M120" i="4" s="1"/>
  <c r="T114" i="6"/>
  <c r="M114" i="6"/>
  <c r="L114" i="6"/>
  <c r="F116" i="6"/>
  <c r="R123" i="4"/>
  <c r="AB123" i="4" s="1"/>
  <c r="W123" i="4"/>
  <c r="B123" i="4" s="1"/>
  <c r="H117" i="6"/>
  <c r="O120" i="4"/>
  <c r="G121" i="3"/>
  <c r="H121" i="4"/>
  <c r="L121" i="5"/>
  <c r="W115" i="6"/>
  <c r="H121" i="3" s="1"/>
  <c r="O115" i="6"/>
  <c r="I121" i="4" s="1"/>
  <c r="U114" i="6"/>
  <c r="L120" i="4"/>
  <c r="K114" i="6"/>
  <c r="P115" i="6"/>
  <c r="J121" i="4" s="1"/>
  <c r="X115" i="6"/>
  <c r="C122" i="5"/>
  <c r="E122" i="5"/>
  <c r="K123" i="5"/>
  <c r="D122" i="5"/>
  <c r="F122" i="5"/>
  <c r="J122" i="5"/>
  <c r="D122" i="4"/>
  <c r="D122" i="3"/>
  <c r="G122" i="4"/>
  <c r="F122" i="3"/>
  <c r="F122" i="4"/>
  <c r="C122" i="3"/>
  <c r="E122" i="3"/>
  <c r="N123" i="3"/>
  <c r="S123" i="4"/>
  <c r="P120" i="4"/>
  <c r="C122" i="4"/>
  <c r="Q120" i="4"/>
  <c r="L121" i="3" l="1"/>
  <c r="I116" i="6"/>
  <c r="E121" i="4"/>
  <c r="N121" i="4" s="1"/>
  <c r="H122" i="5"/>
  <c r="G122" i="5"/>
  <c r="I122" i="5"/>
  <c r="J116" i="6"/>
  <c r="N116" i="6"/>
  <c r="V116" i="6"/>
  <c r="E116" i="6"/>
  <c r="I121" i="3"/>
  <c r="K121" i="4"/>
  <c r="Q115" i="6"/>
  <c r="Y115" i="6"/>
  <c r="A123" i="5"/>
  <c r="A123" i="4"/>
  <c r="B124" i="3"/>
  <c r="A123" i="3"/>
  <c r="V124" i="4"/>
  <c r="U124" i="4" s="1"/>
  <c r="X123" i="4"/>
  <c r="B124" i="5"/>
  <c r="R124" i="4" l="1"/>
  <c r="AB124" i="4" s="1"/>
  <c r="W124" i="4"/>
  <c r="B124" i="4" s="1"/>
  <c r="H118" i="6"/>
  <c r="F117" i="6"/>
  <c r="G122" i="3"/>
  <c r="U115" i="6"/>
  <c r="L121" i="4"/>
  <c r="R115" i="6"/>
  <c r="M121" i="4" s="1"/>
  <c r="K115" i="6"/>
  <c r="P116" i="6"/>
  <c r="J122" i="4" s="1"/>
  <c r="X116" i="6"/>
  <c r="J121" i="3"/>
  <c r="Z115" i="6"/>
  <c r="K121" i="3" s="1"/>
  <c r="S115" i="6"/>
  <c r="L115" i="6"/>
  <c r="T115" i="6"/>
  <c r="M115" i="6"/>
  <c r="O116" i="6"/>
  <c r="I122" i="4" s="1"/>
  <c r="W116" i="6"/>
  <c r="H122" i="3" s="1"/>
  <c r="H122" i="4"/>
  <c r="L122" i="5"/>
  <c r="O121" i="4"/>
  <c r="N120" i="4"/>
  <c r="C123" i="5"/>
  <c r="F123" i="5"/>
  <c r="J123" i="5"/>
  <c r="K124" i="5"/>
  <c r="D123" i="5"/>
  <c r="E123" i="5"/>
  <c r="D123" i="3"/>
  <c r="C123" i="4"/>
  <c r="F123" i="3"/>
  <c r="Q121" i="4"/>
  <c r="N124" i="3"/>
  <c r="G123" i="4"/>
  <c r="C123" i="3"/>
  <c r="D123" i="4"/>
  <c r="S124" i="4"/>
  <c r="F123" i="4"/>
  <c r="E123" i="3"/>
  <c r="P121" i="4"/>
  <c r="J117" i="6" l="1"/>
  <c r="L122" i="3"/>
  <c r="I117" i="6"/>
  <c r="I123" i="5"/>
  <c r="H123" i="5"/>
  <c r="G123" i="5"/>
  <c r="E122" i="4"/>
  <c r="Y116" i="6"/>
  <c r="J122" i="3" s="1"/>
  <c r="I122" i="3"/>
  <c r="K122" i="4"/>
  <c r="Q116" i="6"/>
  <c r="M116" i="6" s="1"/>
  <c r="V117" i="6"/>
  <c r="N117" i="6"/>
  <c r="E117" i="6"/>
  <c r="A124" i="5"/>
  <c r="V125" i="4"/>
  <c r="U125" i="4"/>
  <c r="A124" i="3"/>
  <c r="B125" i="5"/>
  <c r="A124" i="4"/>
  <c r="X124" i="4"/>
  <c r="B125" i="3"/>
  <c r="L116" i="6" l="1"/>
  <c r="K116" i="6"/>
  <c r="U116" i="6"/>
  <c r="L123" i="5"/>
  <c r="F118" i="6"/>
  <c r="H119" i="6"/>
  <c r="W125" i="4"/>
  <c r="B125" i="4" s="1"/>
  <c r="R125" i="4"/>
  <c r="AB125" i="4" s="1"/>
  <c r="H123" i="4"/>
  <c r="N122" i="4"/>
  <c r="O122" i="4"/>
  <c r="Z116" i="6"/>
  <c r="K122" i="3" s="1"/>
  <c r="P117" i="6"/>
  <c r="J123" i="4" s="1"/>
  <c r="X117" i="6"/>
  <c r="O117" i="6"/>
  <c r="I123" i="4" s="1"/>
  <c r="W117" i="6"/>
  <c r="H123" i="3" s="1"/>
  <c r="G123" i="3"/>
  <c r="L122" i="4"/>
  <c r="R116" i="6"/>
  <c r="M122" i="4" s="1"/>
  <c r="T116" i="6"/>
  <c r="S116" i="6"/>
  <c r="K125" i="5"/>
  <c r="E124" i="5"/>
  <c r="J124" i="5"/>
  <c r="C124" i="5"/>
  <c r="F124" i="5"/>
  <c r="D124" i="5"/>
  <c r="N125" i="3"/>
  <c r="C124" i="3"/>
  <c r="C124" i="4"/>
  <c r="F124" i="3"/>
  <c r="S125" i="4"/>
  <c r="D124" i="3"/>
  <c r="E124" i="3"/>
  <c r="Q122" i="4"/>
  <c r="D124" i="4"/>
  <c r="P122" i="4"/>
  <c r="G124" i="4"/>
  <c r="F124" i="4"/>
  <c r="I124" i="5" l="1"/>
  <c r="H124" i="5"/>
  <c r="G124" i="5"/>
  <c r="J118" i="6"/>
  <c r="I118" i="6"/>
  <c r="L123" i="3"/>
  <c r="E123" i="4"/>
  <c r="I123" i="3"/>
  <c r="K123" i="4"/>
  <c r="Y117" i="6"/>
  <c r="J123" i="3" s="1"/>
  <c r="Q117" i="6"/>
  <c r="R117" i="6" s="1"/>
  <c r="M123" i="4" s="1"/>
  <c r="N118" i="6"/>
  <c r="V118" i="6"/>
  <c r="E118" i="6"/>
  <c r="A125" i="5"/>
  <c r="A125" i="3"/>
  <c r="B126" i="5"/>
  <c r="V126" i="4"/>
  <c r="X125" i="4"/>
  <c r="A125" i="4"/>
  <c r="B126" i="3"/>
  <c r="U117" i="6" l="1"/>
  <c r="T117" i="6"/>
  <c r="M117" i="6"/>
  <c r="Z117" i="6"/>
  <c r="K123" i="3" s="1"/>
  <c r="L124" i="5"/>
  <c r="F119" i="6"/>
  <c r="H120" i="6"/>
  <c r="R126" i="4"/>
  <c r="AB126" i="4" s="1"/>
  <c r="O123" i="4"/>
  <c r="P118" i="6"/>
  <c r="J124" i="4" s="1"/>
  <c r="X118" i="6"/>
  <c r="G124" i="3"/>
  <c r="L123" i="4"/>
  <c r="K117" i="6"/>
  <c r="L117" i="6"/>
  <c r="S117" i="6"/>
  <c r="W118" i="6"/>
  <c r="H124" i="3" s="1"/>
  <c r="O118" i="6"/>
  <c r="I124" i="4" s="1"/>
  <c r="H124" i="4"/>
  <c r="J125" i="5"/>
  <c r="E125" i="5"/>
  <c r="D125" i="5"/>
  <c r="F125" i="5"/>
  <c r="C125" i="5"/>
  <c r="K126" i="5"/>
  <c r="U126" i="4"/>
  <c r="N126" i="3"/>
  <c r="C125" i="4"/>
  <c r="P123" i="4"/>
  <c r="S126" i="4"/>
  <c r="E125" i="3"/>
  <c r="F125" i="3"/>
  <c r="C125" i="3"/>
  <c r="D125" i="4"/>
  <c r="G125" i="4"/>
  <c r="D125" i="3"/>
  <c r="F125" i="4"/>
  <c r="Q123" i="4"/>
  <c r="W126" i="4" l="1"/>
  <c r="B126" i="4" s="1"/>
  <c r="L124" i="3"/>
  <c r="E124" i="4"/>
  <c r="N123" i="4" s="1"/>
  <c r="J119" i="6"/>
  <c r="I125" i="5"/>
  <c r="G125" i="5"/>
  <c r="H125" i="5"/>
  <c r="I119" i="6"/>
  <c r="Y118" i="6"/>
  <c r="J124" i="3" s="1"/>
  <c r="K124" i="4"/>
  <c r="I124" i="3"/>
  <c r="Q118" i="6"/>
  <c r="N119" i="6"/>
  <c r="V119" i="6"/>
  <c r="E119" i="6"/>
  <c r="A126" i="5"/>
  <c r="X126" i="4"/>
  <c r="B127" i="3"/>
  <c r="A126" i="4"/>
  <c r="V127" i="4"/>
  <c r="B127" i="5"/>
  <c r="A126" i="3"/>
  <c r="L125" i="5" l="1"/>
  <c r="Z118" i="6"/>
  <c r="K124" i="3" s="1"/>
  <c r="F120" i="6"/>
  <c r="H121" i="6"/>
  <c r="R127" i="4"/>
  <c r="AB127" i="4" s="1"/>
  <c r="T118" i="6"/>
  <c r="L124" i="4"/>
  <c r="U118" i="6"/>
  <c r="M118" i="6"/>
  <c r="O124" i="4"/>
  <c r="P119" i="6"/>
  <c r="J125" i="4" s="1"/>
  <c r="X119" i="6"/>
  <c r="L118" i="6"/>
  <c r="H125" i="4"/>
  <c r="K118" i="6"/>
  <c r="G125" i="3"/>
  <c r="R118" i="6"/>
  <c r="M124" i="4" s="1"/>
  <c r="W119" i="6"/>
  <c r="H125" i="3" s="1"/>
  <c r="O119" i="6"/>
  <c r="I125" i="4" s="1"/>
  <c r="S118" i="6"/>
  <c r="F126" i="5"/>
  <c r="K127" i="5"/>
  <c r="C126" i="5"/>
  <c r="J126" i="5"/>
  <c r="E126" i="5"/>
  <c r="D126" i="5"/>
  <c r="U127" i="4"/>
  <c r="S127" i="4"/>
  <c r="Q124" i="4"/>
  <c r="F126" i="4"/>
  <c r="P124" i="4"/>
  <c r="C126" i="3"/>
  <c r="E126" i="3"/>
  <c r="D126" i="3"/>
  <c r="G126" i="4"/>
  <c r="C126" i="4"/>
  <c r="F126" i="3"/>
  <c r="N127" i="3"/>
  <c r="D126" i="4"/>
  <c r="W127" i="4" l="1"/>
  <c r="B127" i="4" s="1"/>
  <c r="G126" i="5"/>
  <c r="I126" i="5"/>
  <c r="H126" i="5"/>
  <c r="J120" i="6"/>
  <c r="E125" i="4"/>
  <c r="N124" i="4" s="1"/>
  <c r="I120" i="6"/>
  <c r="L125" i="3"/>
  <c r="I125" i="3"/>
  <c r="K125" i="4"/>
  <c r="Y119" i="6"/>
  <c r="N120" i="6"/>
  <c r="V120" i="6"/>
  <c r="E120" i="6"/>
  <c r="Q119" i="6"/>
  <c r="R119" i="6" s="1"/>
  <c r="M125" i="4" s="1"/>
  <c r="A127" i="5"/>
  <c r="B128" i="5"/>
  <c r="X127" i="4"/>
  <c r="A127" i="4"/>
  <c r="B128" i="3"/>
  <c r="A127" i="3"/>
  <c r="V128" i="4"/>
  <c r="U128" i="4"/>
  <c r="L126" i="5" l="1"/>
  <c r="T119" i="6"/>
  <c r="M119" i="6"/>
  <c r="F121" i="6"/>
  <c r="R128" i="4"/>
  <c r="AB128" i="4" s="1"/>
  <c r="H122" i="6"/>
  <c r="W128" i="4"/>
  <c r="B128" i="4" s="1"/>
  <c r="S119" i="6"/>
  <c r="L119" i="6"/>
  <c r="O125" i="4"/>
  <c r="K119" i="6"/>
  <c r="U119" i="6"/>
  <c r="L125" i="4"/>
  <c r="H126" i="4"/>
  <c r="G126" i="3"/>
  <c r="W120" i="6"/>
  <c r="H126" i="3" s="1"/>
  <c r="O120" i="6"/>
  <c r="I126" i="4" s="1"/>
  <c r="J125" i="3"/>
  <c r="Z119" i="6"/>
  <c r="K125" i="3" s="1"/>
  <c r="P120" i="6"/>
  <c r="J126" i="4" s="1"/>
  <c r="X120" i="6"/>
  <c r="J127" i="5"/>
  <c r="D127" i="5"/>
  <c r="E127" i="5"/>
  <c r="F127" i="5"/>
  <c r="C127" i="5"/>
  <c r="K128" i="5"/>
  <c r="F127" i="3"/>
  <c r="D127" i="3"/>
  <c r="C127" i="3"/>
  <c r="S128" i="4"/>
  <c r="C127" i="4"/>
  <c r="F127" i="4"/>
  <c r="D127" i="4"/>
  <c r="Q125" i="4"/>
  <c r="G127" i="4"/>
  <c r="E127" i="3"/>
  <c r="P125" i="4"/>
  <c r="N128" i="3"/>
  <c r="J121" i="6" l="1"/>
  <c r="E126" i="4"/>
  <c r="I127" i="5"/>
  <c r="H127" i="5"/>
  <c r="G127" i="5"/>
  <c r="I121" i="6"/>
  <c r="L126" i="3"/>
  <c r="K126" i="4"/>
  <c r="I126" i="3"/>
  <c r="Y120" i="6"/>
  <c r="J126" i="3" s="1"/>
  <c r="Q120" i="6"/>
  <c r="V121" i="6"/>
  <c r="N121" i="6"/>
  <c r="E121" i="6"/>
  <c r="A128" i="5"/>
  <c r="X128" i="4"/>
  <c r="A128" i="3"/>
  <c r="A128" i="4"/>
  <c r="V129" i="4"/>
  <c r="U129" i="4"/>
  <c r="B129" i="3"/>
  <c r="B129" i="5"/>
  <c r="N126" i="4" l="1"/>
  <c r="N125" i="4"/>
  <c r="L127" i="5"/>
  <c r="F122" i="6"/>
  <c r="W129" i="4"/>
  <c r="B129" i="4" s="1"/>
  <c r="R129" i="4"/>
  <c r="AB129" i="4" s="1"/>
  <c r="H123" i="6"/>
  <c r="G127" i="3"/>
  <c r="L126" i="4"/>
  <c r="K120" i="6"/>
  <c r="M120" i="6"/>
  <c r="O121" i="6"/>
  <c r="I127" i="4" s="1"/>
  <c r="W121" i="6"/>
  <c r="H127" i="3" s="1"/>
  <c r="T120" i="6"/>
  <c r="P121" i="6"/>
  <c r="J127" i="4" s="1"/>
  <c r="X121" i="6"/>
  <c r="L120" i="6"/>
  <c r="S120" i="6"/>
  <c r="H127" i="4"/>
  <c r="Z120" i="6"/>
  <c r="K126" i="3" s="1"/>
  <c r="U120" i="6"/>
  <c r="O126" i="4"/>
  <c r="R120" i="6"/>
  <c r="M126" i="4" s="1"/>
  <c r="J128" i="5"/>
  <c r="K129" i="5"/>
  <c r="E128" i="5"/>
  <c r="F128" i="5"/>
  <c r="C128" i="5"/>
  <c r="D128" i="5"/>
  <c r="N129" i="3"/>
  <c r="F128" i="4"/>
  <c r="S129" i="4"/>
  <c r="Q126" i="4"/>
  <c r="F128" i="3"/>
  <c r="C128" i="4"/>
  <c r="D128" i="3"/>
  <c r="E128" i="3"/>
  <c r="P126" i="4"/>
  <c r="C128" i="3"/>
  <c r="D128" i="4"/>
  <c r="G128" i="4"/>
  <c r="J122" i="6" l="1"/>
  <c r="E127" i="4"/>
  <c r="N127" i="4" s="1"/>
  <c r="I128" i="5"/>
  <c r="H128" i="5"/>
  <c r="G128" i="5"/>
  <c r="L127" i="3"/>
  <c r="I122" i="6"/>
  <c r="K127" i="4"/>
  <c r="I127" i="3"/>
  <c r="Y121" i="6"/>
  <c r="J127" i="3" s="1"/>
  <c r="Q121" i="6"/>
  <c r="K121" i="6"/>
  <c r="L121" i="6"/>
  <c r="N122" i="6"/>
  <c r="V122" i="6"/>
  <c r="E122" i="6"/>
  <c r="A129" i="5"/>
  <c r="B130" i="3"/>
  <c r="V130" i="4"/>
  <c r="B130" i="5"/>
  <c r="A129" i="4"/>
  <c r="A129" i="3"/>
  <c r="X129" i="4"/>
  <c r="Z121" i="6" l="1"/>
  <c r="K127" i="3" s="1"/>
  <c r="F123" i="6"/>
  <c r="H124" i="6"/>
  <c r="R130" i="4"/>
  <c r="AB130" i="4" s="1"/>
  <c r="H128" i="4"/>
  <c r="L128" i="5"/>
  <c r="O122" i="6"/>
  <c r="I128" i="4" s="1"/>
  <c r="W122" i="6"/>
  <c r="H128" i="3" s="1"/>
  <c r="S121" i="6"/>
  <c r="L127" i="4"/>
  <c r="T121" i="6"/>
  <c r="U121" i="6"/>
  <c r="R121" i="6"/>
  <c r="M127" i="4" s="1"/>
  <c r="O127" i="4"/>
  <c r="G128" i="3"/>
  <c r="M121" i="6"/>
  <c r="P122" i="6"/>
  <c r="J128" i="4" s="1"/>
  <c r="X122" i="6"/>
  <c r="E129" i="5"/>
  <c r="C129" i="5"/>
  <c r="F129" i="5"/>
  <c r="D129" i="5"/>
  <c r="K130" i="5"/>
  <c r="J129" i="5"/>
  <c r="U130" i="4"/>
  <c r="N130" i="3"/>
  <c r="C129" i="3"/>
  <c r="C129" i="4"/>
  <c r="G129" i="4"/>
  <c r="S130" i="4"/>
  <c r="P127" i="4"/>
  <c r="F129" i="3"/>
  <c r="D129" i="4"/>
  <c r="F129" i="4"/>
  <c r="D129" i="3"/>
  <c r="E129" i="3"/>
  <c r="Q127" i="4"/>
  <c r="W130" i="4" l="1"/>
  <c r="B130" i="4" s="1"/>
  <c r="Q122" i="6"/>
  <c r="K122" i="6" s="1"/>
  <c r="E128" i="4"/>
  <c r="N128" i="4" s="1"/>
  <c r="G129" i="5"/>
  <c r="I129" i="5"/>
  <c r="H129" i="5"/>
  <c r="L128" i="3"/>
  <c r="I123" i="6"/>
  <c r="J123" i="6"/>
  <c r="K128" i="4"/>
  <c r="I128" i="3"/>
  <c r="Y122" i="6"/>
  <c r="J128" i="3" s="1"/>
  <c r="V123" i="6"/>
  <c r="N123" i="6"/>
  <c r="E123" i="6"/>
  <c r="A130" i="5"/>
  <c r="B131" i="5"/>
  <c r="V131" i="4"/>
  <c r="U131" i="4"/>
  <c r="B131" i="3"/>
  <c r="A130" i="4"/>
  <c r="A130" i="3"/>
  <c r="X130" i="4"/>
  <c r="R122" i="6" l="1"/>
  <c r="M128" i="4" s="1"/>
  <c r="M122" i="6"/>
  <c r="S122" i="6"/>
  <c r="U122" i="6"/>
  <c r="L128" i="4"/>
  <c r="L122" i="6"/>
  <c r="T122" i="6"/>
  <c r="L129" i="5"/>
  <c r="H125" i="6"/>
  <c r="R131" i="4"/>
  <c r="AB131" i="4" s="1"/>
  <c r="W131" i="4"/>
  <c r="B131" i="4" s="1"/>
  <c r="F124" i="6"/>
  <c r="H129" i="4"/>
  <c r="W123" i="6"/>
  <c r="H129" i="3" s="1"/>
  <c r="O123" i="6"/>
  <c r="I129" i="4" s="1"/>
  <c r="Z122" i="6"/>
  <c r="K128" i="3" s="1"/>
  <c r="P123" i="6"/>
  <c r="J129" i="4" s="1"/>
  <c r="X123" i="6"/>
  <c r="G129" i="3"/>
  <c r="O128" i="4"/>
  <c r="F130" i="5"/>
  <c r="E130" i="5"/>
  <c r="D130" i="5"/>
  <c r="K131" i="5"/>
  <c r="C130" i="5"/>
  <c r="J130" i="5"/>
  <c r="P128" i="4"/>
  <c r="F130" i="3"/>
  <c r="Q128" i="4"/>
  <c r="D130" i="4"/>
  <c r="D130" i="3"/>
  <c r="C130" i="3"/>
  <c r="C130" i="4"/>
  <c r="F130" i="4"/>
  <c r="N131" i="3"/>
  <c r="S131" i="4"/>
  <c r="E130" i="3"/>
  <c r="G130" i="4"/>
  <c r="J124" i="6" l="1"/>
  <c r="I124" i="6"/>
  <c r="E129" i="4"/>
  <c r="N129" i="4" s="1"/>
  <c r="H130" i="5"/>
  <c r="G130" i="5"/>
  <c r="I130" i="5"/>
  <c r="L129" i="3"/>
  <c r="Y123" i="6"/>
  <c r="I129" i="3"/>
  <c r="K129" i="4"/>
  <c r="K123" i="6"/>
  <c r="Q123" i="6"/>
  <c r="R123" i="6" s="1"/>
  <c r="M129" i="4" s="1"/>
  <c r="V124" i="6"/>
  <c r="N124" i="6"/>
  <c r="E124" i="6"/>
  <c r="A131" i="5"/>
  <c r="X131" i="4"/>
  <c r="A131" i="3"/>
  <c r="A131" i="4"/>
  <c r="B132" i="3"/>
  <c r="B132" i="5"/>
  <c r="V132" i="4"/>
  <c r="R132" i="4" l="1"/>
  <c r="AB132" i="4" s="1"/>
  <c r="H126" i="6"/>
  <c r="F125" i="6"/>
  <c r="O129" i="4"/>
  <c r="H130" i="4"/>
  <c r="W124" i="6"/>
  <c r="H130" i="3" s="1"/>
  <c r="O124" i="6"/>
  <c r="I130" i="4" s="1"/>
  <c r="G130" i="3"/>
  <c r="P124" i="6"/>
  <c r="J130" i="4" s="1"/>
  <c r="X124" i="6"/>
  <c r="J129" i="3"/>
  <c r="Z123" i="6"/>
  <c r="K129" i="3" s="1"/>
  <c r="L129" i="4"/>
  <c r="L123" i="6"/>
  <c r="T123" i="6"/>
  <c r="U123" i="6"/>
  <c r="M123" i="6"/>
  <c r="S123" i="6"/>
  <c r="L130" i="5"/>
  <c r="C131" i="5"/>
  <c r="K132" i="5"/>
  <c r="J131" i="5"/>
  <c r="D131" i="5"/>
  <c r="E131" i="5"/>
  <c r="F131" i="5"/>
  <c r="U132" i="4"/>
  <c r="N132" i="3"/>
  <c r="E131" i="3"/>
  <c r="F131" i="4"/>
  <c r="F131" i="3"/>
  <c r="G131" i="4"/>
  <c r="S132" i="4"/>
  <c r="D131" i="3"/>
  <c r="C131" i="4"/>
  <c r="C131" i="3"/>
  <c r="D131" i="4"/>
  <c r="P129" i="4"/>
  <c r="Q129" i="4"/>
  <c r="W132" i="4" l="1"/>
  <c r="B132" i="4" s="1"/>
  <c r="I131" i="5"/>
  <c r="G131" i="5"/>
  <c r="H131" i="5"/>
  <c r="J125" i="6"/>
  <c r="E130" i="4"/>
  <c r="L130" i="3"/>
  <c r="I125" i="6"/>
  <c r="Y124" i="6"/>
  <c r="J130" i="3" s="1"/>
  <c r="V125" i="6"/>
  <c r="N125" i="6"/>
  <c r="E125" i="6"/>
  <c r="K130" i="4"/>
  <c r="I130" i="3"/>
  <c r="Q124" i="6"/>
  <c r="S124" i="6" s="1"/>
  <c r="A132" i="5"/>
  <c r="B133" i="3"/>
  <c r="X132" i="4"/>
  <c r="V133" i="4"/>
  <c r="A132" i="3"/>
  <c r="B133" i="5"/>
  <c r="A132" i="4"/>
  <c r="T124" i="6" l="1"/>
  <c r="Z124" i="6"/>
  <c r="K130" i="3" s="1"/>
  <c r="F126" i="6"/>
  <c r="H127" i="6"/>
  <c r="R133" i="4"/>
  <c r="AB133" i="4" s="1"/>
  <c r="H131" i="4"/>
  <c r="O130" i="4"/>
  <c r="G131" i="3"/>
  <c r="O125" i="6"/>
  <c r="I131" i="4" s="1"/>
  <c r="W125" i="6"/>
  <c r="H131" i="3" s="1"/>
  <c r="L130" i="4"/>
  <c r="R124" i="6"/>
  <c r="M130" i="4" s="1"/>
  <c r="K124" i="6"/>
  <c r="L124" i="6"/>
  <c r="L131" i="5"/>
  <c r="M124" i="6"/>
  <c r="U124" i="6"/>
  <c r="P125" i="6"/>
  <c r="J131" i="4" s="1"/>
  <c r="X125" i="6"/>
  <c r="N130" i="4"/>
  <c r="C132" i="5"/>
  <c r="D132" i="5"/>
  <c r="F132" i="5"/>
  <c r="K133" i="5"/>
  <c r="J132" i="5"/>
  <c r="E132" i="5"/>
  <c r="U133" i="4"/>
  <c r="C132" i="4"/>
  <c r="P130" i="4"/>
  <c r="F132" i="3"/>
  <c r="D132" i="4"/>
  <c r="N133" i="3"/>
  <c r="F132" i="4"/>
  <c r="S133" i="4"/>
  <c r="E132" i="3"/>
  <c r="C132" i="3"/>
  <c r="G132" i="4"/>
  <c r="D132" i="3"/>
  <c r="Q130" i="4"/>
  <c r="W133" i="4" l="1"/>
  <c r="B133" i="4" s="1"/>
  <c r="Y125" i="6"/>
  <c r="J131" i="3" s="1"/>
  <c r="Q125" i="6"/>
  <c r="M125" i="6" s="1"/>
  <c r="J126" i="6"/>
  <c r="E131" i="4"/>
  <c r="N131" i="4" s="1"/>
  <c r="L131" i="3"/>
  <c r="I126" i="6"/>
  <c r="H132" i="5"/>
  <c r="I132" i="5"/>
  <c r="G132" i="5"/>
  <c r="U125" i="6"/>
  <c r="K131" i="4"/>
  <c r="I131" i="3"/>
  <c r="Z125" i="6"/>
  <c r="K131" i="3" s="1"/>
  <c r="S125" i="6"/>
  <c r="V126" i="6"/>
  <c r="N126" i="6"/>
  <c r="E126" i="6"/>
  <c r="A133" i="5"/>
  <c r="A133" i="4"/>
  <c r="X133" i="4"/>
  <c r="B134" i="5"/>
  <c r="V134" i="4"/>
  <c r="U134" i="4"/>
  <c r="A133" i="3"/>
  <c r="B134" i="3"/>
  <c r="R125" i="6" l="1"/>
  <c r="M131" i="4" s="1"/>
  <c r="L131" i="4"/>
  <c r="L125" i="6"/>
  <c r="K125" i="6"/>
  <c r="T125" i="6"/>
  <c r="F127" i="6"/>
  <c r="H128" i="6"/>
  <c r="R134" i="4"/>
  <c r="AB134" i="4" s="1"/>
  <c r="W134" i="4"/>
  <c r="B134" i="4" s="1"/>
  <c r="L132" i="5"/>
  <c r="P126" i="6"/>
  <c r="J132" i="4" s="1"/>
  <c r="X126" i="6"/>
  <c r="H132" i="4"/>
  <c r="O131" i="4"/>
  <c r="W126" i="6"/>
  <c r="H132" i="3" s="1"/>
  <c r="O126" i="6"/>
  <c r="I132" i="4" s="1"/>
  <c r="G132" i="3"/>
  <c r="C133" i="5"/>
  <c r="E133" i="5"/>
  <c r="K134" i="5"/>
  <c r="J133" i="5"/>
  <c r="D133" i="5"/>
  <c r="F133" i="5"/>
  <c r="S134" i="4"/>
  <c r="Q131" i="4"/>
  <c r="N134" i="3"/>
  <c r="C133" i="3"/>
  <c r="P131" i="4"/>
  <c r="G133" i="4"/>
  <c r="F133" i="4"/>
  <c r="D133" i="3"/>
  <c r="F133" i="3"/>
  <c r="E133" i="3"/>
  <c r="D133" i="4"/>
  <c r="C133" i="4"/>
  <c r="H133" i="5" l="1"/>
  <c r="I133" i="5"/>
  <c r="G133" i="5"/>
  <c r="J127" i="6"/>
  <c r="E132" i="4"/>
  <c r="L132" i="3"/>
  <c r="I127" i="6"/>
  <c r="L126" i="6"/>
  <c r="Y126" i="6"/>
  <c r="J132" i="3" s="1"/>
  <c r="Q126" i="6"/>
  <c r="L132" i="4" s="1"/>
  <c r="K132" i="4"/>
  <c r="I132" i="3"/>
  <c r="N127" i="6"/>
  <c r="V127" i="6"/>
  <c r="E127" i="6"/>
  <c r="A134" i="5"/>
  <c r="V135" i="4"/>
  <c r="A134" i="3"/>
  <c r="U135" i="4"/>
  <c r="A134" i="4"/>
  <c r="B135" i="5"/>
  <c r="X134" i="4"/>
  <c r="B135" i="3"/>
  <c r="Z126" i="6" l="1"/>
  <c r="K132" i="3" s="1"/>
  <c r="K126" i="6"/>
  <c r="M126" i="6"/>
  <c r="T126" i="6"/>
  <c r="S126" i="6"/>
  <c r="U126" i="6"/>
  <c r="W135" i="4"/>
  <c r="B135" i="4" s="1"/>
  <c r="R135" i="4"/>
  <c r="AB135" i="4" s="1"/>
  <c r="H129" i="6"/>
  <c r="F128" i="6"/>
  <c r="G133" i="3"/>
  <c r="L133" i="5"/>
  <c r="W127" i="6"/>
  <c r="H133" i="3" s="1"/>
  <c r="O127" i="6"/>
  <c r="I133" i="4" s="1"/>
  <c r="H133" i="4"/>
  <c r="P127" i="6"/>
  <c r="J133" i="4" s="1"/>
  <c r="X127" i="6"/>
  <c r="R126" i="6"/>
  <c r="M132" i="4" s="1"/>
  <c r="N132" i="4"/>
  <c r="O132" i="4"/>
  <c r="K135" i="5"/>
  <c r="F134" i="5"/>
  <c r="D134" i="5"/>
  <c r="C134" i="5"/>
  <c r="J134" i="5"/>
  <c r="E134" i="5"/>
  <c r="C134" i="4"/>
  <c r="P132" i="4"/>
  <c r="Q132" i="4"/>
  <c r="D134" i="4"/>
  <c r="N135" i="3"/>
  <c r="D134" i="3"/>
  <c r="E134" i="3"/>
  <c r="C134" i="3"/>
  <c r="G134" i="4"/>
  <c r="F134" i="3"/>
  <c r="F134" i="4"/>
  <c r="S135" i="4"/>
  <c r="Y127" i="6" l="1"/>
  <c r="J133" i="3" s="1"/>
  <c r="I128" i="6"/>
  <c r="J128" i="6"/>
  <c r="H134" i="5"/>
  <c r="G134" i="5"/>
  <c r="I134" i="5"/>
  <c r="E133" i="4"/>
  <c r="N133" i="4" s="1"/>
  <c r="L133" i="3"/>
  <c r="K133" i="4"/>
  <c r="I133" i="3"/>
  <c r="Q127" i="6"/>
  <c r="U127" i="6" s="1"/>
  <c r="S127" i="6"/>
  <c r="V128" i="6"/>
  <c r="N128" i="6"/>
  <c r="E128" i="6"/>
  <c r="A135" i="5"/>
  <c r="V136" i="4"/>
  <c r="X135" i="4"/>
  <c r="A135" i="4"/>
  <c r="A135" i="3"/>
  <c r="B136" i="5"/>
  <c r="U136" i="4"/>
  <c r="B136" i="3"/>
  <c r="T127" i="6" l="1"/>
  <c r="Z127" i="6"/>
  <c r="K133" i="3" s="1"/>
  <c r="L134" i="5"/>
  <c r="F129" i="6"/>
  <c r="W136" i="4"/>
  <c r="B136" i="4" s="1"/>
  <c r="R136" i="4"/>
  <c r="AB136" i="4" s="1"/>
  <c r="H130" i="6"/>
  <c r="H134" i="4"/>
  <c r="L133" i="4"/>
  <c r="K127" i="6"/>
  <c r="R127" i="6"/>
  <c r="M133" i="4" s="1"/>
  <c r="M127" i="6"/>
  <c r="O133" i="4"/>
  <c r="W128" i="6"/>
  <c r="H134" i="3" s="1"/>
  <c r="O128" i="6"/>
  <c r="I134" i="4" s="1"/>
  <c r="G134" i="3"/>
  <c r="L127" i="6"/>
  <c r="P128" i="6"/>
  <c r="J134" i="4" s="1"/>
  <c r="X128" i="6"/>
  <c r="C135" i="5"/>
  <c r="K136" i="5"/>
  <c r="J135" i="5"/>
  <c r="E135" i="5"/>
  <c r="F135" i="5"/>
  <c r="D135" i="5"/>
  <c r="Q133" i="4"/>
  <c r="S136" i="4"/>
  <c r="G135" i="4"/>
  <c r="E135" i="3"/>
  <c r="F135" i="3"/>
  <c r="C135" i="4"/>
  <c r="N136" i="3"/>
  <c r="C135" i="3"/>
  <c r="D135" i="4"/>
  <c r="D135" i="3"/>
  <c r="F135" i="4"/>
  <c r="P133" i="4"/>
  <c r="Y128" i="6" l="1"/>
  <c r="J134" i="3" s="1"/>
  <c r="I129" i="6"/>
  <c r="G135" i="5"/>
  <c r="I135" i="5"/>
  <c r="H135" i="5"/>
  <c r="E134" i="4"/>
  <c r="L134" i="3"/>
  <c r="J129" i="6"/>
  <c r="K134" i="4"/>
  <c r="I134" i="3"/>
  <c r="T128" i="6"/>
  <c r="S128" i="6"/>
  <c r="L128" i="6"/>
  <c r="V129" i="6"/>
  <c r="N129" i="6"/>
  <c r="E129" i="6"/>
  <c r="Q128" i="6"/>
  <c r="L134" i="4" s="1"/>
  <c r="A136" i="5"/>
  <c r="V137" i="4"/>
  <c r="A136" i="4"/>
  <c r="B137" i="3"/>
  <c r="B137" i="5"/>
  <c r="X136" i="4"/>
  <c r="A136" i="3"/>
  <c r="R128" i="6" l="1"/>
  <c r="M134" i="4" s="1"/>
  <c r="U128" i="6"/>
  <c r="K128" i="6"/>
  <c r="L135" i="5"/>
  <c r="Z128" i="6"/>
  <c r="K134" i="3" s="1"/>
  <c r="F130" i="6"/>
  <c r="R137" i="4"/>
  <c r="AB137" i="4" s="1"/>
  <c r="H131" i="6"/>
  <c r="M128" i="6"/>
  <c r="O134" i="4"/>
  <c r="H135" i="4"/>
  <c r="W129" i="6"/>
  <c r="H135" i="3" s="1"/>
  <c r="O129" i="6"/>
  <c r="I135" i="4" s="1"/>
  <c r="G135" i="3"/>
  <c r="P129" i="6"/>
  <c r="J135" i="4" s="1"/>
  <c r="X129" i="6"/>
  <c r="K137" i="5"/>
  <c r="E136" i="5"/>
  <c r="F136" i="5"/>
  <c r="D136" i="5"/>
  <c r="J136" i="5"/>
  <c r="C136" i="5"/>
  <c r="U137" i="4"/>
  <c r="F136" i="3"/>
  <c r="C136" i="3"/>
  <c r="F136" i="4"/>
  <c r="D136" i="3"/>
  <c r="C136" i="4"/>
  <c r="E136" i="3"/>
  <c r="N137" i="3"/>
  <c r="G136" i="4"/>
  <c r="S137" i="4"/>
  <c r="P134" i="4"/>
  <c r="D136" i="4"/>
  <c r="Q134" i="4"/>
  <c r="W137" i="4" l="1"/>
  <c r="B137" i="4" s="1"/>
  <c r="I130" i="6"/>
  <c r="E135" i="4"/>
  <c r="J130" i="6"/>
  <c r="G136" i="5"/>
  <c r="I136" i="5"/>
  <c r="H136" i="5"/>
  <c r="L135" i="3"/>
  <c r="Y129" i="6"/>
  <c r="J135" i="3" s="1"/>
  <c r="I135" i="3"/>
  <c r="K135" i="4"/>
  <c r="V130" i="6"/>
  <c r="N130" i="6"/>
  <c r="E130" i="6"/>
  <c r="Q129" i="6"/>
  <c r="L135" i="4" s="1"/>
  <c r="A137" i="5"/>
  <c r="A137" i="3"/>
  <c r="B138" i="5"/>
  <c r="A137" i="4"/>
  <c r="X137" i="4"/>
  <c r="V138" i="4"/>
  <c r="U138" i="4" s="1"/>
  <c r="B138" i="3"/>
  <c r="T129" i="6" l="1"/>
  <c r="L136" i="5"/>
  <c r="M129" i="6"/>
  <c r="N134" i="4"/>
  <c r="R129" i="6"/>
  <c r="M135" i="4" s="1"/>
  <c r="F131" i="6"/>
  <c r="H132" i="6"/>
  <c r="W138" i="4"/>
  <c r="B138" i="4" s="1"/>
  <c r="R138" i="4"/>
  <c r="AB138" i="4" s="1"/>
  <c r="H136" i="4"/>
  <c r="P130" i="6"/>
  <c r="J136" i="4" s="1"/>
  <c r="X130" i="6"/>
  <c r="L129" i="6"/>
  <c r="O130" i="6"/>
  <c r="I136" i="4" s="1"/>
  <c r="W130" i="6"/>
  <c r="H136" i="3" s="1"/>
  <c r="G136" i="3"/>
  <c r="U129" i="6"/>
  <c r="Z129" i="6"/>
  <c r="K135" i="3" s="1"/>
  <c r="O135" i="4"/>
  <c r="K129" i="6"/>
  <c r="S129" i="6"/>
  <c r="K138" i="5"/>
  <c r="D137" i="5"/>
  <c r="C137" i="5"/>
  <c r="J137" i="5"/>
  <c r="E137" i="5"/>
  <c r="F137" i="5"/>
  <c r="P135" i="4"/>
  <c r="G137" i="4"/>
  <c r="S138" i="4"/>
  <c r="F137" i="4"/>
  <c r="D137" i="3"/>
  <c r="E137" i="3"/>
  <c r="C137" i="4"/>
  <c r="C137" i="3"/>
  <c r="F137" i="3"/>
  <c r="D137" i="4"/>
  <c r="N138" i="3"/>
  <c r="Q135" i="4"/>
  <c r="Y130" i="6" l="1"/>
  <c r="J136" i="3" s="1"/>
  <c r="Q130" i="6"/>
  <c r="J131" i="6"/>
  <c r="E136" i="4"/>
  <c r="N135" i="4" s="1"/>
  <c r="H137" i="5"/>
  <c r="G137" i="5"/>
  <c r="I137" i="5"/>
  <c r="I131" i="6"/>
  <c r="L136" i="3"/>
  <c r="R130" i="6"/>
  <c r="M136" i="4" s="1"/>
  <c r="T130" i="6"/>
  <c r="L130" i="6"/>
  <c r="K130" i="6"/>
  <c r="N131" i="6"/>
  <c r="V131" i="6"/>
  <c r="E131" i="6"/>
  <c r="Z130" i="6"/>
  <c r="K136" i="3" s="1"/>
  <c r="U130" i="6"/>
  <c r="K136" i="4"/>
  <c r="I136" i="3"/>
  <c r="S130" i="6"/>
  <c r="A138" i="5"/>
  <c r="X138" i="4"/>
  <c r="B139" i="5"/>
  <c r="B139" i="3"/>
  <c r="A138" i="3"/>
  <c r="V139" i="4"/>
  <c r="U139" i="4" s="1"/>
  <c r="A138" i="4"/>
  <c r="L136" i="4" l="1"/>
  <c r="M130" i="6"/>
  <c r="H133" i="6"/>
  <c r="W139" i="4"/>
  <c r="B139" i="4" s="1"/>
  <c r="R139" i="4"/>
  <c r="AB139" i="4" s="1"/>
  <c r="F132" i="6"/>
  <c r="P131" i="6"/>
  <c r="J137" i="4" s="1"/>
  <c r="X131" i="6"/>
  <c r="O136" i="4"/>
  <c r="L137" i="5"/>
  <c r="G137" i="3"/>
  <c r="H137" i="4"/>
  <c r="W131" i="6"/>
  <c r="H137" i="3" s="1"/>
  <c r="O131" i="6"/>
  <c r="I137" i="4" s="1"/>
  <c r="K139" i="5"/>
  <c r="D138" i="5"/>
  <c r="C138" i="5"/>
  <c r="F138" i="5"/>
  <c r="E138" i="5"/>
  <c r="J138" i="5"/>
  <c r="S139" i="4"/>
  <c r="C138" i="3"/>
  <c r="D138" i="4"/>
  <c r="E138" i="3"/>
  <c r="F138" i="3"/>
  <c r="P136" i="4"/>
  <c r="Q136" i="4"/>
  <c r="F138" i="4"/>
  <c r="D138" i="3"/>
  <c r="N139" i="3"/>
  <c r="G138" i="4"/>
  <c r="C138" i="4"/>
  <c r="E137" i="4" l="1"/>
  <c r="L137" i="3"/>
  <c r="J132" i="6"/>
  <c r="I132" i="6"/>
  <c r="H138" i="5"/>
  <c r="G138" i="5"/>
  <c r="I138" i="5"/>
  <c r="N132" i="6"/>
  <c r="V132" i="6"/>
  <c r="E132" i="6"/>
  <c r="Y131" i="6"/>
  <c r="J137" i="3" s="1"/>
  <c r="K137" i="4"/>
  <c r="I137" i="3"/>
  <c r="Q131" i="6"/>
  <c r="T131" i="6" s="1"/>
  <c r="A139" i="5"/>
  <c r="V140" i="4"/>
  <c r="A139" i="3"/>
  <c r="X139" i="4"/>
  <c r="B140" i="5"/>
  <c r="U140" i="4"/>
  <c r="B140" i="3"/>
  <c r="A139" i="4"/>
  <c r="M131" i="6" l="1"/>
  <c r="N137" i="4"/>
  <c r="N136" i="4"/>
  <c r="K131" i="6"/>
  <c r="F133" i="6"/>
  <c r="H134" i="6"/>
  <c r="W140" i="4"/>
  <c r="B140" i="4" s="1"/>
  <c r="R140" i="4"/>
  <c r="AB140" i="4" s="1"/>
  <c r="G138" i="3"/>
  <c r="P132" i="6"/>
  <c r="J138" i="4" s="1"/>
  <c r="X132" i="6"/>
  <c r="H138" i="4"/>
  <c r="L138" i="5"/>
  <c r="Z131" i="6"/>
  <c r="K137" i="3" s="1"/>
  <c r="W132" i="6"/>
  <c r="H138" i="3" s="1"/>
  <c r="O132" i="6"/>
  <c r="I138" i="4" s="1"/>
  <c r="L131" i="6"/>
  <c r="L137" i="4"/>
  <c r="R131" i="6"/>
  <c r="M137" i="4" s="1"/>
  <c r="S131" i="6"/>
  <c r="U131" i="6"/>
  <c r="O137" i="4"/>
  <c r="K140" i="5"/>
  <c r="J139" i="5"/>
  <c r="D139" i="5"/>
  <c r="F139" i="5"/>
  <c r="C139" i="5"/>
  <c r="E139" i="5"/>
  <c r="C139" i="3"/>
  <c r="N140" i="3"/>
  <c r="G139" i="4"/>
  <c r="Q137" i="4"/>
  <c r="C139" i="4"/>
  <c r="D139" i="4"/>
  <c r="F139" i="4"/>
  <c r="S140" i="4"/>
  <c r="E139" i="3"/>
  <c r="F139" i="3"/>
  <c r="D139" i="3"/>
  <c r="P137" i="4"/>
  <c r="I139" i="5" l="1"/>
  <c r="H139" i="5"/>
  <c r="G139" i="5"/>
  <c r="E138" i="4"/>
  <c r="N138" i="4" s="1"/>
  <c r="I133" i="6"/>
  <c r="J133" i="6"/>
  <c r="L138" i="3"/>
  <c r="M132" i="6"/>
  <c r="V133" i="6"/>
  <c r="N133" i="6"/>
  <c r="E133" i="6"/>
  <c r="Y132" i="6"/>
  <c r="J138" i="3" s="1"/>
  <c r="K138" i="4"/>
  <c r="I138" i="3"/>
  <c r="Q132" i="6"/>
  <c r="S132" i="6" s="1"/>
  <c r="A140" i="5"/>
  <c r="B141" i="5"/>
  <c r="X140" i="4"/>
  <c r="A140" i="3"/>
  <c r="V141" i="4"/>
  <c r="A140" i="4"/>
  <c r="U141" i="4"/>
  <c r="B141" i="3"/>
  <c r="R132" i="6" l="1"/>
  <c r="M138" i="4" s="1"/>
  <c r="U132" i="6"/>
  <c r="T132" i="6"/>
  <c r="F134" i="6"/>
  <c r="W141" i="4"/>
  <c r="B141" i="4" s="1"/>
  <c r="R141" i="4"/>
  <c r="AB141" i="4" s="1"/>
  <c r="H135" i="6"/>
  <c r="Z132" i="6"/>
  <c r="K138" i="3" s="1"/>
  <c r="P133" i="6"/>
  <c r="J139" i="4" s="1"/>
  <c r="X133" i="6"/>
  <c r="O138" i="4"/>
  <c r="H139" i="4"/>
  <c r="W133" i="6"/>
  <c r="H139" i="3" s="1"/>
  <c r="O133" i="6"/>
  <c r="I139" i="4" s="1"/>
  <c r="G139" i="3"/>
  <c r="K132" i="6"/>
  <c r="L138" i="4"/>
  <c r="L132" i="6"/>
  <c r="L139" i="5"/>
  <c r="J140" i="5"/>
  <c r="D140" i="5"/>
  <c r="C140" i="5"/>
  <c r="K141" i="5"/>
  <c r="F140" i="5"/>
  <c r="E140" i="5"/>
  <c r="D140" i="4"/>
  <c r="F140" i="3"/>
  <c r="G140" i="4"/>
  <c r="C140" i="3"/>
  <c r="E140" i="3"/>
  <c r="P138" i="4"/>
  <c r="Q138" i="4"/>
  <c r="C140" i="4"/>
  <c r="S141" i="4"/>
  <c r="N141" i="3"/>
  <c r="D140" i="3"/>
  <c r="F140" i="4"/>
  <c r="Q133" i="6" l="1"/>
  <c r="L139" i="4" s="1"/>
  <c r="E139" i="4"/>
  <c r="I134" i="6"/>
  <c r="J134" i="6"/>
  <c r="G140" i="5"/>
  <c r="I140" i="5"/>
  <c r="H140" i="5"/>
  <c r="L139" i="3"/>
  <c r="L133" i="6"/>
  <c r="K139" i="4"/>
  <c r="I139" i="3"/>
  <c r="V134" i="6"/>
  <c r="N134" i="6"/>
  <c r="E134" i="6"/>
  <c r="Y133" i="6"/>
  <c r="J139" i="3" s="1"/>
  <c r="A141" i="5"/>
  <c r="A141" i="3"/>
  <c r="V142" i="4"/>
  <c r="X141" i="4"/>
  <c r="B142" i="5"/>
  <c r="A141" i="4"/>
  <c r="U142" i="4"/>
  <c r="B142" i="3"/>
  <c r="T133" i="6" l="1"/>
  <c r="K133" i="6"/>
  <c r="S133" i="6"/>
  <c r="R133" i="6"/>
  <c r="M139" i="4" s="1"/>
  <c r="M133" i="6"/>
  <c r="U133" i="6"/>
  <c r="F135" i="6"/>
  <c r="R142" i="4"/>
  <c r="AB142" i="4" s="1"/>
  <c r="W142" i="4"/>
  <c r="B142" i="4" s="1"/>
  <c r="H136" i="6"/>
  <c r="P134" i="6"/>
  <c r="J140" i="4" s="1"/>
  <c r="X134" i="6"/>
  <c r="W134" i="6"/>
  <c r="H140" i="3" s="1"/>
  <c r="O134" i="6"/>
  <c r="I140" i="4" s="1"/>
  <c r="L140" i="5"/>
  <c r="O139" i="4"/>
  <c r="H140" i="4"/>
  <c r="G140" i="3"/>
  <c r="Z133" i="6"/>
  <c r="K139" i="3" s="1"/>
  <c r="N139" i="4"/>
  <c r="K142" i="5"/>
  <c r="C141" i="5"/>
  <c r="D141" i="5"/>
  <c r="F141" i="5"/>
  <c r="J141" i="5"/>
  <c r="E141" i="5"/>
  <c r="N142" i="3"/>
  <c r="D141" i="4"/>
  <c r="C141" i="3"/>
  <c r="F141" i="3"/>
  <c r="P139" i="4"/>
  <c r="Q139" i="4"/>
  <c r="D141" i="3"/>
  <c r="S142" i="4"/>
  <c r="F141" i="4"/>
  <c r="E141" i="3"/>
  <c r="G141" i="4"/>
  <c r="C141" i="4"/>
  <c r="L140" i="3" l="1"/>
  <c r="G141" i="5"/>
  <c r="I141" i="5"/>
  <c r="H141" i="5"/>
  <c r="E140" i="4"/>
  <c r="I135" i="6"/>
  <c r="J135" i="6"/>
  <c r="Z134" i="6"/>
  <c r="K140" i="3" s="1"/>
  <c r="K140" i="4"/>
  <c r="I140" i="3"/>
  <c r="Y134" i="6"/>
  <c r="J140" i="3" s="1"/>
  <c r="Q134" i="6"/>
  <c r="U134" i="6" s="1"/>
  <c r="K134" i="6"/>
  <c r="L134" i="6"/>
  <c r="S134" i="6"/>
  <c r="M134" i="6"/>
  <c r="N135" i="6"/>
  <c r="V135" i="6"/>
  <c r="E135" i="6"/>
  <c r="A142" i="5"/>
  <c r="B143" i="3"/>
  <c r="A142" i="4"/>
  <c r="V143" i="4"/>
  <c r="B143" i="5"/>
  <c r="A142" i="3"/>
  <c r="X142" i="4"/>
  <c r="L141" i="5" l="1"/>
  <c r="F136" i="6"/>
  <c r="R143" i="4"/>
  <c r="AB143" i="4" s="1"/>
  <c r="H137" i="6"/>
  <c r="P135" i="6"/>
  <c r="J141" i="4" s="1"/>
  <c r="X135" i="6"/>
  <c r="O135" i="6"/>
  <c r="I141" i="4" s="1"/>
  <c r="W135" i="6"/>
  <c r="H141" i="3" s="1"/>
  <c r="G141" i="3"/>
  <c r="O140" i="4"/>
  <c r="H141" i="4"/>
  <c r="L140" i="4"/>
  <c r="R134" i="6"/>
  <c r="M140" i="4" s="1"/>
  <c r="T134" i="6"/>
  <c r="N140" i="4"/>
  <c r="J142" i="5"/>
  <c r="C142" i="5"/>
  <c r="E142" i="5"/>
  <c r="D142" i="5"/>
  <c r="F142" i="5"/>
  <c r="K143" i="5"/>
  <c r="U143" i="4"/>
  <c r="P140" i="4"/>
  <c r="C142" i="3"/>
  <c r="C142" i="4"/>
  <c r="D142" i="3"/>
  <c r="F142" i="3"/>
  <c r="F142" i="4"/>
  <c r="D142" i="4"/>
  <c r="G142" i="4"/>
  <c r="E142" i="3"/>
  <c r="S143" i="4"/>
  <c r="N143" i="3"/>
  <c r="Q140" i="4"/>
  <c r="W143" i="4" l="1"/>
  <c r="B143" i="4" s="1"/>
  <c r="Q135" i="6"/>
  <c r="K135" i="6" s="1"/>
  <c r="I136" i="6"/>
  <c r="G142" i="5"/>
  <c r="I142" i="5"/>
  <c r="H142" i="5"/>
  <c r="J136" i="6"/>
  <c r="L141" i="3"/>
  <c r="E141" i="4"/>
  <c r="N141" i="4" s="1"/>
  <c r="I141" i="3"/>
  <c r="K141" i="4"/>
  <c r="Y135" i="6"/>
  <c r="J141" i="3" s="1"/>
  <c r="V136" i="6"/>
  <c r="N136" i="6"/>
  <c r="E136" i="6"/>
  <c r="A143" i="5"/>
  <c r="X143" i="4"/>
  <c r="A143" i="3"/>
  <c r="B144" i="5"/>
  <c r="V144" i="4"/>
  <c r="A143" i="4"/>
  <c r="B144" i="3"/>
  <c r="U144" i="4"/>
  <c r="M135" i="6" l="1"/>
  <c r="L141" i="4"/>
  <c r="U135" i="6"/>
  <c r="L135" i="6"/>
  <c r="S135" i="6"/>
  <c r="L142" i="5"/>
  <c r="R135" i="6"/>
  <c r="M141" i="4" s="1"/>
  <c r="T135" i="6"/>
  <c r="R144" i="4"/>
  <c r="AB144" i="4" s="1"/>
  <c r="W144" i="4"/>
  <c r="B144" i="4" s="1"/>
  <c r="H138" i="6"/>
  <c r="F137" i="6"/>
  <c r="P136" i="6"/>
  <c r="J142" i="4" s="1"/>
  <c r="X136" i="6"/>
  <c r="H142" i="4"/>
  <c r="O136" i="6"/>
  <c r="I142" i="4" s="1"/>
  <c r="W136" i="6"/>
  <c r="H142" i="3" s="1"/>
  <c r="G142" i="3"/>
  <c r="Z135" i="6"/>
  <c r="K141" i="3" s="1"/>
  <c r="O141" i="4"/>
  <c r="C143" i="5"/>
  <c r="D143" i="5"/>
  <c r="F143" i="5"/>
  <c r="E143" i="5"/>
  <c r="J143" i="5"/>
  <c r="K144" i="5"/>
  <c r="D143" i="3"/>
  <c r="S144" i="4"/>
  <c r="D143" i="4"/>
  <c r="C143" i="3"/>
  <c r="F143" i="3"/>
  <c r="G143" i="4"/>
  <c r="E143" i="3"/>
  <c r="F143" i="4"/>
  <c r="N144" i="3"/>
  <c r="C143" i="4"/>
  <c r="Q141" i="4"/>
  <c r="P141" i="4"/>
  <c r="I137" i="6" l="1"/>
  <c r="E142" i="4"/>
  <c r="N142" i="4" s="1"/>
  <c r="H143" i="5"/>
  <c r="G143" i="5"/>
  <c r="I143" i="5"/>
  <c r="J137" i="6"/>
  <c r="L142" i="3"/>
  <c r="K142" i="4"/>
  <c r="I142" i="3"/>
  <c r="N137" i="6"/>
  <c r="V137" i="6"/>
  <c r="E137" i="6"/>
  <c r="Y136" i="6"/>
  <c r="J142" i="3" s="1"/>
  <c r="Q136" i="6"/>
  <c r="R136" i="6" s="1"/>
  <c r="M142" i="4" s="1"/>
  <c r="S136" i="6"/>
  <c r="A144" i="5"/>
  <c r="B145" i="3"/>
  <c r="V145" i="4"/>
  <c r="X144" i="4"/>
  <c r="A144" i="4"/>
  <c r="U145" i="4"/>
  <c r="B145" i="5"/>
  <c r="A144" i="3"/>
  <c r="Z136" i="6" l="1"/>
  <c r="K142" i="3" s="1"/>
  <c r="F138" i="6"/>
  <c r="H139" i="6"/>
  <c r="R145" i="4"/>
  <c r="AB145" i="4" s="1"/>
  <c r="W145" i="4"/>
  <c r="B145" i="4" s="1"/>
  <c r="G143" i="3"/>
  <c r="P137" i="6"/>
  <c r="J143" i="4" s="1"/>
  <c r="X137" i="6"/>
  <c r="H143" i="4"/>
  <c r="L143" i="5"/>
  <c r="O137" i="6"/>
  <c r="I143" i="4" s="1"/>
  <c r="W137" i="6"/>
  <c r="H143" i="3" s="1"/>
  <c r="L142" i="4"/>
  <c r="L136" i="6"/>
  <c r="T136" i="6"/>
  <c r="M136" i="6"/>
  <c r="K136" i="6"/>
  <c r="U136" i="6"/>
  <c r="O142" i="4"/>
  <c r="K145" i="5"/>
  <c r="J144" i="5"/>
  <c r="F144" i="5"/>
  <c r="E144" i="5"/>
  <c r="C144" i="5"/>
  <c r="D144" i="5"/>
  <c r="P142" i="4"/>
  <c r="F144" i="4"/>
  <c r="D144" i="4"/>
  <c r="G144" i="4"/>
  <c r="F144" i="3"/>
  <c r="C144" i="4"/>
  <c r="N145" i="3"/>
  <c r="S145" i="4"/>
  <c r="E144" i="3"/>
  <c r="D144" i="3"/>
  <c r="Q142" i="4"/>
  <c r="C144" i="3"/>
  <c r="Q137" i="6" l="1"/>
  <c r="M137" i="6" s="1"/>
  <c r="Y137" i="6"/>
  <c r="J143" i="3" s="1"/>
  <c r="L143" i="3"/>
  <c r="G144" i="5"/>
  <c r="H144" i="5"/>
  <c r="I144" i="5"/>
  <c r="I138" i="6"/>
  <c r="E143" i="4"/>
  <c r="N143" i="4" s="1"/>
  <c r="J138" i="6"/>
  <c r="Z137" i="6"/>
  <c r="K143" i="3" s="1"/>
  <c r="N138" i="6"/>
  <c r="V138" i="6"/>
  <c r="E138" i="6"/>
  <c r="I143" i="3"/>
  <c r="K143" i="4"/>
  <c r="U137" i="6"/>
  <c r="A145" i="5"/>
  <c r="A145" i="3"/>
  <c r="B146" i="5"/>
  <c r="X145" i="4"/>
  <c r="V146" i="4"/>
  <c r="B146" i="3"/>
  <c r="U146" i="4"/>
  <c r="A145" i="4"/>
  <c r="R137" i="6" l="1"/>
  <c r="M143" i="4" s="1"/>
  <c r="K137" i="6"/>
  <c r="L143" i="4"/>
  <c r="L137" i="6"/>
  <c r="S137" i="6"/>
  <c r="T137" i="6"/>
  <c r="F139" i="6"/>
  <c r="H140" i="6"/>
  <c r="R146" i="4"/>
  <c r="AB146" i="4" s="1"/>
  <c r="W146" i="4"/>
  <c r="B146" i="4" s="1"/>
  <c r="O143" i="4"/>
  <c r="L144" i="5"/>
  <c r="O138" i="6"/>
  <c r="I144" i="4" s="1"/>
  <c r="W138" i="6"/>
  <c r="H144" i="3" s="1"/>
  <c r="P138" i="6"/>
  <c r="J144" i="4" s="1"/>
  <c r="X138" i="6"/>
  <c r="H144" i="4"/>
  <c r="G144" i="3"/>
  <c r="C145" i="5"/>
  <c r="D145" i="5"/>
  <c r="F145" i="5"/>
  <c r="J145" i="5"/>
  <c r="E145" i="5"/>
  <c r="K146" i="5"/>
  <c r="D145" i="4"/>
  <c r="S146" i="4"/>
  <c r="F145" i="3"/>
  <c r="F145" i="4"/>
  <c r="C145" i="3"/>
  <c r="Q143" i="4"/>
  <c r="N146" i="3"/>
  <c r="P143" i="4"/>
  <c r="E145" i="3"/>
  <c r="D145" i="3"/>
  <c r="C145" i="4"/>
  <c r="G145" i="4"/>
  <c r="L144" i="3" l="1"/>
  <c r="I139" i="6"/>
  <c r="J139" i="6"/>
  <c r="E144" i="4"/>
  <c r="N144" i="4" s="1"/>
  <c r="G145" i="5"/>
  <c r="H145" i="5"/>
  <c r="I145" i="5"/>
  <c r="K144" i="4"/>
  <c r="I144" i="3"/>
  <c r="Y138" i="6"/>
  <c r="J144" i="3" s="1"/>
  <c r="Q138" i="6"/>
  <c r="L138" i="6" s="1"/>
  <c r="N139" i="6"/>
  <c r="V139" i="6"/>
  <c r="E139" i="6"/>
  <c r="A146" i="5"/>
  <c r="A146" i="4"/>
  <c r="X146" i="4"/>
  <c r="B147" i="3"/>
  <c r="B147" i="5"/>
  <c r="V147" i="4"/>
  <c r="A146" i="3"/>
  <c r="L145" i="5" l="1"/>
  <c r="H141" i="6"/>
  <c r="R147" i="4"/>
  <c r="AB147" i="4" s="1"/>
  <c r="F140" i="6"/>
  <c r="T138" i="6"/>
  <c r="U138" i="6"/>
  <c r="G145" i="3"/>
  <c r="P139" i="6"/>
  <c r="J145" i="4" s="1"/>
  <c r="X139" i="6"/>
  <c r="H145" i="4"/>
  <c r="Z138" i="6"/>
  <c r="K144" i="3" s="1"/>
  <c r="L144" i="4"/>
  <c r="M138" i="6"/>
  <c r="S138" i="6"/>
  <c r="O139" i="6"/>
  <c r="I145" i="4" s="1"/>
  <c r="W139" i="6"/>
  <c r="H145" i="3" s="1"/>
  <c r="R138" i="6"/>
  <c r="M144" i="4" s="1"/>
  <c r="K138" i="6"/>
  <c r="O144" i="4"/>
  <c r="C146" i="5"/>
  <c r="K147" i="5"/>
  <c r="E146" i="5"/>
  <c r="J146" i="5"/>
  <c r="F146" i="5"/>
  <c r="D146" i="5"/>
  <c r="U147" i="4"/>
  <c r="P144" i="4"/>
  <c r="D146" i="4"/>
  <c r="D146" i="3"/>
  <c r="Q144" i="4"/>
  <c r="N147" i="3"/>
  <c r="E146" i="3"/>
  <c r="G146" i="4"/>
  <c r="C146" i="4"/>
  <c r="S147" i="4"/>
  <c r="C146" i="3"/>
  <c r="F146" i="3"/>
  <c r="F146" i="4"/>
  <c r="W147" i="4" l="1"/>
  <c r="B147" i="4" s="1"/>
  <c r="Q139" i="6"/>
  <c r="L145" i="4" s="1"/>
  <c r="H146" i="5"/>
  <c r="I146" i="5"/>
  <c r="G146" i="5"/>
  <c r="L145" i="3"/>
  <c r="I140" i="6"/>
  <c r="E145" i="4"/>
  <c r="J140" i="6"/>
  <c r="V140" i="6"/>
  <c r="N140" i="6"/>
  <c r="H146" i="4" s="1"/>
  <c r="E140" i="6"/>
  <c r="K145" i="4"/>
  <c r="I145" i="3"/>
  <c r="K139" i="6"/>
  <c r="M139" i="6"/>
  <c r="S139" i="6"/>
  <c r="Y139" i="6"/>
  <c r="A147" i="5"/>
  <c r="B148" i="5"/>
  <c r="A147" i="4"/>
  <c r="V148" i="4"/>
  <c r="U148" i="4"/>
  <c r="X147" i="4"/>
  <c r="A147" i="3"/>
  <c r="B148" i="3"/>
  <c r="L139" i="6" l="1"/>
  <c r="U139" i="6"/>
  <c r="R139" i="6"/>
  <c r="M145" i="4" s="1"/>
  <c r="T139" i="6"/>
  <c r="W148" i="4"/>
  <c r="B148" i="4" s="1"/>
  <c r="H142" i="6"/>
  <c r="R148" i="4"/>
  <c r="AB148" i="4" s="1"/>
  <c r="F141" i="6"/>
  <c r="J145" i="3"/>
  <c r="Z139" i="6"/>
  <c r="K145" i="3" s="1"/>
  <c r="O145" i="4"/>
  <c r="G146" i="3"/>
  <c r="L146" i="5"/>
  <c r="O140" i="6"/>
  <c r="I146" i="4" s="1"/>
  <c r="W140" i="6"/>
  <c r="H146" i="3" s="1"/>
  <c r="P140" i="6"/>
  <c r="J146" i="4" s="1"/>
  <c r="X140" i="6"/>
  <c r="N145" i="4"/>
  <c r="K148" i="5"/>
  <c r="C147" i="5"/>
  <c r="F147" i="5"/>
  <c r="D147" i="5"/>
  <c r="E147" i="5"/>
  <c r="J147" i="5"/>
  <c r="Q145" i="4"/>
  <c r="C147" i="4"/>
  <c r="N148" i="3"/>
  <c r="C147" i="3"/>
  <c r="E147" i="3"/>
  <c r="D147" i="3"/>
  <c r="F147" i="3"/>
  <c r="G147" i="4"/>
  <c r="F147" i="4"/>
  <c r="S148" i="4"/>
  <c r="D147" i="4"/>
  <c r="P145" i="4"/>
  <c r="E146" i="4" l="1"/>
  <c r="H147" i="5"/>
  <c r="G147" i="5"/>
  <c r="I147" i="5"/>
  <c r="J141" i="6"/>
  <c r="I141" i="6"/>
  <c r="L146" i="3"/>
  <c r="N141" i="6"/>
  <c r="V141" i="6"/>
  <c r="E141" i="6"/>
  <c r="K146" i="4"/>
  <c r="I146" i="3"/>
  <c r="Q140" i="6"/>
  <c r="T140" i="6" s="1"/>
  <c r="Y140" i="6"/>
  <c r="J146" i="3" s="1"/>
  <c r="A148" i="5"/>
  <c r="B149" i="5"/>
  <c r="V149" i="4"/>
  <c r="U149" i="4"/>
  <c r="A148" i="3"/>
  <c r="A148" i="4"/>
  <c r="B149" i="3"/>
  <c r="X148" i="4"/>
  <c r="F142" i="6" l="1"/>
  <c r="R149" i="4"/>
  <c r="AB149" i="4" s="1"/>
  <c r="H143" i="6"/>
  <c r="W149" i="4"/>
  <c r="B149" i="4" s="1"/>
  <c r="P141" i="6"/>
  <c r="J147" i="4" s="1"/>
  <c r="X141" i="6"/>
  <c r="Z140" i="6"/>
  <c r="K146" i="3" s="1"/>
  <c r="S140" i="6"/>
  <c r="G147" i="3"/>
  <c r="M140" i="6"/>
  <c r="L147" i="5"/>
  <c r="W141" i="6"/>
  <c r="H147" i="3" s="1"/>
  <c r="O141" i="6"/>
  <c r="I147" i="4" s="1"/>
  <c r="N146" i="4"/>
  <c r="O146" i="4"/>
  <c r="R140" i="6"/>
  <c r="M146" i="4" s="1"/>
  <c r="L146" i="4"/>
  <c r="K140" i="6"/>
  <c r="H147" i="4"/>
  <c r="U140" i="6"/>
  <c r="L140" i="6"/>
  <c r="D148" i="5"/>
  <c r="F148" i="5"/>
  <c r="K149" i="5"/>
  <c r="C148" i="5"/>
  <c r="J148" i="5"/>
  <c r="E148" i="5"/>
  <c r="F148" i="3"/>
  <c r="F148" i="4"/>
  <c r="C148" i="4"/>
  <c r="Q146" i="4"/>
  <c r="P146" i="4"/>
  <c r="S149" i="4"/>
  <c r="G148" i="4"/>
  <c r="C148" i="3"/>
  <c r="D148" i="3"/>
  <c r="D148" i="4"/>
  <c r="E148" i="3"/>
  <c r="N149" i="3"/>
  <c r="Q141" i="6" l="1"/>
  <c r="S141" i="6" s="1"/>
  <c r="I142" i="6"/>
  <c r="L147" i="3"/>
  <c r="J142" i="6"/>
  <c r="E147" i="4"/>
  <c r="I148" i="5"/>
  <c r="G148" i="5"/>
  <c r="H148" i="5"/>
  <c r="R141" i="6"/>
  <c r="M147" i="4" s="1"/>
  <c r="I147" i="3"/>
  <c r="K147" i="4"/>
  <c r="K141" i="6"/>
  <c r="Y141" i="6"/>
  <c r="M141" i="6"/>
  <c r="V142" i="6"/>
  <c r="N142" i="6"/>
  <c r="E142" i="6"/>
  <c r="A149" i="5"/>
  <c r="A149" i="4"/>
  <c r="V150" i="4"/>
  <c r="B150" i="3"/>
  <c r="X149" i="4"/>
  <c r="A149" i="3"/>
  <c r="U150" i="4"/>
  <c r="B150" i="5"/>
  <c r="T141" i="6" l="1"/>
  <c r="L147" i="4"/>
  <c r="L141" i="6"/>
  <c r="U141" i="6"/>
  <c r="F143" i="6"/>
  <c r="R150" i="4"/>
  <c r="AB150" i="4" s="1"/>
  <c r="H144" i="6"/>
  <c r="W150" i="4"/>
  <c r="B150" i="4" s="1"/>
  <c r="P142" i="6"/>
  <c r="J148" i="4" s="1"/>
  <c r="X142" i="6"/>
  <c r="J147" i="3"/>
  <c r="Z141" i="6"/>
  <c r="K147" i="3" s="1"/>
  <c r="O147" i="4"/>
  <c r="H148" i="4"/>
  <c r="W142" i="6"/>
  <c r="H148" i="3" s="1"/>
  <c r="O142" i="6"/>
  <c r="I148" i="4" s="1"/>
  <c r="G148" i="3"/>
  <c r="L148" i="5"/>
  <c r="J149" i="5"/>
  <c r="K150" i="5"/>
  <c r="F149" i="5"/>
  <c r="D149" i="5"/>
  <c r="E149" i="5"/>
  <c r="C149" i="5"/>
  <c r="C149" i="3"/>
  <c r="D149" i="3"/>
  <c r="F149" i="3"/>
  <c r="N150" i="3"/>
  <c r="D149" i="4"/>
  <c r="Q147" i="4"/>
  <c r="G149" i="4"/>
  <c r="C149" i="4"/>
  <c r="E149" i="3"/>
  <c r="P147" i="4"/>
  <c r="F149" i="4"/>
  <c r="S150" i="4"/>
  <c r="G149" i="5" l="1"/>
  <c r="I149" i="5"/>
  <c r="H149" i="5"/>
  <c r="E148" i="4"/>
  <c r="N147" i="4" s="1"/>
  <c r="J143" i="6"/>
  <c r="I143" i="6"/>
  <c r="L148" i="3"/>
  <c r="K148" i="4"/>
  <c r="I148" i="3"/>
  <c r="Y142" i="6"/>
  <c r="J148" i="3" s="1"/>
  <c r="Q142" i="6"/>
  <c r="L148" i="4" s="1"/>
  <c r="L142" i="6"/>
  <c r="N143" i="6"/>
  <c r="V143" i="6"/>
  <c r="E143" i="6"/>
  <c r="A150" i="5"/>
  <c r="B151" i="5"/>
  <c r="B151" i="3"/>
  <c r="X150" i="4"/>
  <c r="A150" i="3"/>
  <c r="V151" i="4"/>
  <c r="U151" i="4"/>
  <c r="A150" i="4"/>
  <c r="S142" i="6" l="1"/>
  <c r="K142" i="6"/>
  <c r="Z142" i="6"/>
  <c r="K148" i="3" s="1"/>
  <c r="F144" i="6"/>
  <c r="H145" i="6"/>
  <c r="W151" i="4"/>
  <c r="B151" i="4" s="1"/>
  <c r="R151" i="4"/>
  <c r="AB151" i="4" s="1"/>
  <c r="R142" i="6"/>
  <c r="M148" i="4" s="1"/>
  <c r="P143" i="6"/>
  <c r="J149" i="4" s="1"/>
  <c r="X143" i="6"/>
  <c r="W143" i="6"/>
  <c r="H149" i="3" s="1"/>
  <c r="O143" i="6"/>
  <c r="I149" i="4" s="1"/>
  <c r="U142" i="6"/>
  <c r="T142" i="6"/>
  <c r="O148" i="4"/>
  <c r="H149" i="4"/>
  <c r="G149" i="3"/>
  <c r="M142" i="6"/>
  <c r="L149" i="5"/>
  <c r="K151" i="5"/>
  <c r="D150" i="5"/>
  <c r="C150" i="5"/>
  <c r="J150" i="5"/>
  <c r="F150" i="5"/>
  <c r="E150" i="5"/>
  <c r="F150" i="4"/>
  <c r="C150" i="4"/>
  <c r="N151" i="3"/>
  <c r="F150" i="3"/>
  <c r="C150" i="3"/>
  <c r="E150" i="3"/>
  <c r="Q148" i="4"/>
  <c r="P148" i="4"/>
  <c r="S151" i="4"/>
  <c r="D150" i="3"/>
  <c r="G150" i="4"/>
  <c r="D150" i="4"/>
  <c r="I144" i="6" l="1"/>
  <c r="J144" i="6"/>
  <c r="L149" i="3"/>
  <c r="E149" i="4"/>
  <c r="N148" i="4" s="1"/>
  <c r="G150" i="5"/>
  <c r="H150" i="5"/>
  <c r="I150" i="5"/>
  <c r="N144" i="6"/>
  <c r="V144" i="6"/>
  <c r="E144" i="6"/>
  <c r="Y143" i="6"/>
  <c r="J149" i="3" s="1"/>
  <c r="I149" i="3"/>
  <c r="K149" i="4"/>
  <c r="Q143" i="6"/>
  <c r="M143" i="6"/>
  <c r="K143" i="6"/>
  <c r="A151" i="5"/>
  <c r="B152" i="5"/>
  <c r="V152" i="4"/>
  <c r="A151" i="4"/>
  <c r="X151" i="4"/>
  <c r="A151" i="3"/>
  <c r="B152" i="3"/>
  <c r="U152" i="4"/>
  <c r="Z143" i="6" l="1"/>
  <c r="K149" i="3" s="1"/>
  <c r="L150" i="5"/>
  <c r="W152" i="4"/>
  <c r="B152" i="4" s="1"/>
  <c r="H146" i="6"/>
  <c r="R152" i="4"/>
  <c r="AB152" i="4" s="1"/>
  <c r="F145" i="6"/>
  <c r="L143" i="6"/>
  <c r="L149" i="4"/>
  <c r="R143" i="6"/>
  <c r="M149" i="4" s="1"/>
  <c r="G150" i="3"/>
  <c r="H150" i="4"/>
  <c r="U143" i="6"/>
  <c r="S143" i="6"/>
  <c r="W144" i="6"/>
  <c r="H150" i="3" s="1"/>
  <c r="O144" i="6"/>
  <c r="I150" i="4" s="1"/>
  <c r="T143" i="6"/>
  <c r="O149" i="4"/>
  <c r="P144" i="6"/>
  <c r="J150" i="4" s="1"/>
  <c r="X144" i="6"/>
  <c r="J151" i="5"/>
  <c r="C151" i="5"/>
  <c r="E151" i="5"/>
  <c r="F151" i="5"/>
  <c r="D151" i="5"/>
  <c r="K152" i="5"/>
  <c r="F151" i="4"/>
  <c r="G151" i="4"/>
  <c r="C151" i="4"/>
  <c r="S152" i="4"/>
  <c r="F151" i="3"/>
  <c r="D151" i="4"/>
  <c r="P149" i="4"/>
  <c r="N152" i="3"/>
  <c r="C151" i="3"/>
  <c r="Q149" i="4"/>
  <c r="D151" i="3"/>
  <c r="E151" i="3"/>
  <c r="Y144" i="6" l="1"/>
  <c r="J150" i="3" s="1"/>
  <c r="G151" i="5"/>
  <c r="I151" i="5"/>
  <c r="H151" i="5"/>
  <c r="E150" i="4"/>
  <c r="J145" i="6"/>
  <c r="I145" i="6"/>
  <c r="L150" i="3"/>
  <c r="Q144" i="6"/>
  <c r="T144" i="6" s="1"/>
  <c r="K150" i="4"/>
  <c r="I150" i="3"/>
  <c r="N145" i="6"/>
  <c r="V145" i="6"/>
  <c r="E145" i="6"/>
  <c r="A152" i="5"/>
  <c r="X152" i="4"/>
  <c r="B153" i="3"/>
  <c r="V153" i="4"/>
  <c r="U153" i="4"/>
  <c r="B153" i="5"/>
  <c r="A152" i="4"/>
  <c r="A152" i="3"/>
  <c r="M144" i="6" l="1"/>
  <c r="N150" i="4"/>
  <c r="N149" i="4"/>
  <c r="S144" i="6"/>
  <c r="U144" i="6"/>
  <c r="Z144" i="6"/>
  <c r="K150" i="3" s="1"/>
  <c r="L151" i="5"/>
  <c r="R153" i="4"/>
  <c r="AB153" i="4" s="1"/>
  <c r="W153" i="4"/>
  <c r="B153" i="4" s="1"/>
  <c r="H147" i="6"/>
  <c r="F146" i="6"/>
  <c r="P145" i="6"/>
  <c r="J151" i="4" s="1"/>
  <c r="X145" i="6"/>
  <c r="G151" i="3"/>
  <c r="O150" i="4"/>
  <c r="W145" i="6"/>
  <c r="H151" i="3" s="1"/>
  <c r="O145" i="6"/>
  <c r="I151" i="4" s="1"/>
  <c r="H151" i="4"/>
  <c r="L144" i="6"/>
  <c r="L150" i="4"/>
  <c r="R144" i="6"/>
  <c r="M150" i="4" s="1"/>
  <c r="K144" i="6"/>
  <c r="K153" i="5"/>
  <c r="J152" i="5"/>
  <c r="F152" i="5"/>
  <c r="C152" i="5"/>
  <c r="E152" i="5"/>
  <c r="D152" i="5"/>
  <c r="D152" i="3"/>
  <c r="C152" i="3"/>
  <c r="E152" i="3"/>
  <c r="P150" i="4"/>
  <c r="F152" i="4"/>
  <c r="G152" i="4"/>
  <c r="D152" i="4"/>
  <c r="F152" i="3"/>
  <c r="Q150" i="4"/>
  <c r="N153" i="3"/>
  <c r="S153" i="4"/>
  <c r="C152" i="4"/>
  <c r="L151" i="3" l="1"/>
  <c r="H152" i="5"/>
  <c r="G152" i="5"/>
  <c r="I152" i="5"/>
  <c r="E151" i="4"/>
  <c r="N151" i="4" s="1"/>
  <c r="I146" i="6"/>
  <c r="J146" i="6"/>
  <c r="Y145" i="6"/>
  <c r="I151" i="3"/>
  <c r="K151" i="4"/>
  <c r="N146" i="6"/>
  <c r="V146" i="6"/>
  <c r="E146" i="6"/>
  <c r="Q145" i="6"/>
  <c r="L145" i="6"/>
  <c r="S145" i="6"/>
  <c r="A153" i="5"/>
  <c r="X153" i="4"/>
  <c r="B154" i="3"/>
  <c r="V154" i="4"/>
  <c r="U154" i="4"/>
  <c r="A153" i="3"/>
  <c r="A153" i="4"/>
  <c r="B154" i="5"/>
  <c r="F147" i="6" l="1"/>
  <c r="W154" i="4"/>
  <c r="B154" i="4" s="1"/>
  <c r="R154" i="4"/>
  <c r="AB154" i="4" s="1"/>
  <c r="H148" i="6"/>
  <c r="J151" i="3"/>
  <c r="Z145" i="6"/>
  <c r="K151" i="3" s="1"/>
  <c r="H152" i="4"/>
  <c r="P146" i="6"/>
  <c r="J152" i="4" s="1"/>
  <c r="X146" i="6"/>
  <c r="L151" i="4"/>
  <c r="M145" i="6"/>
  <c r="U145" i="6"/>
  <c r="T145" i="6"/>
  <c r="R145" i="6"/>
  <c r="M151" i="4" s="1"/>
  <c r="G152" i="3"/>
  <c r="O146" i="6"/>
  <c r="I152" i="4" s="1"/>
  <c r="W146" i="6"/>
  <c r="H152" i="3" s="1"/>
  <c r="O151" i="4"/>
  <c r="L152" i="5"/>
  <c r="K145" i="6"/>
  <c r="J153" i="5"/>
  <c r="E153" i="5"/>
  <c r="K154" i="5"/>
  <c r="F153" i="5"/>
  <c r="C153" i="5"/>
  <c r="D153" i="5"/>
  <c r="F153" i="4"/>
  <c r="G153" i="4"/>
  <c r="C153" i="3"/>
  <c r="D153" i="4"/>
  <c r="Q151" i="4"/>
  <c r="C153" i="4"/>
  <c r="F153" i="3"/>
  <c r="D153" i="3"/>
  <c r="P151" i="4"/>
  <c r="N154" i="3"/>
  <c r="E153" i="3"/>
  <c r="S154" i="4"/>
  <c r="Q146" i="6" l="1"/>
  <c r="T146" i="6" s="1"/>
  <c r="I153" i="5"/>
  <c r="G153" i="5"/>
  <c r="H153" i="5"/>
  <c r="J147" i="6"/>
  <c r="I147" i="6"/>
  <c r="L152" i="3"/>
  <c r="E152" i="4"/>
  <c r="N152" i="4" s="1"/>
  <c r="Y146" i="6"/>
  <c r="J152" i="3" s="1"/>
  <c r="V147" i="6"/>
  <c r="N147" i="6"/>
  <c r="H153" i="4" s="1"/>
  <c r="E147" i="6"/>
  <c r="K152" i="4"/>
  <c r="I152" i="3"/>
  <c r="A154" i="5"/>
  <c r="A154" i="3"/>
  <c r="B155" i="5"/>
  <c r="B155" i="3"/>
  <c r="A154" i="4"/>
  <c r="X154" i="4"/>
  <c r="V155" i="4"/>
  <c r="U155" i="4" s="1"/>
  <c r="L153" i="5" l="1"/>
  <c r="Z146" i="6"/>
  <c r="K152" i="3" s="1"/>
  <c r="U146" i="6"/>
  <c r="R146" i="6"/>
  <c r="M152" i="4" s="1"/>
  <c r="K146" i="6"/>
  <c r="L152" i="4"/>
  <c r="S146" i="6"/>
  <c r="M146" i="6"/>
  <c r="L146" i="6"/>
  <c r="H149" i="6"/>
  <c r="W155" i="4"/>
  <c r="B155" i="4" s="1"/>
  <c r="R155" i="4"/>
  <c r="AB155" i="4" s="1"/>
  <c r="F148" i="6"/>
  <c r="P147" i="6"/>
  <c r="J153" i="4" s="1"/>
  <c r="X147" i="6"/>
  <c r="G153" i="3"/>
  <c r="W147" i="6"/>
  <c r="H153" i="3" s="1"/>
  <c r="O147" i="6"/>
  <c r="I153" i="4" s="1"/>
  <c r="O152" i="4"/>
  <c r="J154" i="5"/>
  <c r="C154" i="5"/>
  <c r="K155" i="5"/>
  <c r="E154" i="5"/>
  <c r="D154" i="5"/>
  <c r="F154" i="5"/>
  <c r="F154" i="3"/>
  <c r="N155" i="3"/>
  <c r="G154" i="4"/>
  <c r="P152" i="4"/>
  <c r="D154" i="3"/>
  <c r="F154" i="4"/>
  <c r="C154" i="3"/>
  <c r="D154" i="4"/>
  <c r="C154" i="4"/>
  <c r="Q152" i="4"/>
  <c r="S155" i="4"/>
  <c r="E154" i="3"/>
  <c r="I154" i="5" l="1"/>
  <c r="G154" i="5"/>
  <c r="H154" i="5"/>
  <c r="L153" i="3"/>
  <c r="E153" i="4"/>
  <c r="N153" i="4" s="1"/>
  <c r="I148" i="6"/>
  <c r="J148" i="6"/>
  <c r="Y147" i="6"/>
  <c r="K153" i="4"/>
  <c r="I153" i="3"/>
  <c r="Q147" i="6"/>
  <c r="N148" i="6"/>
  <c r="V148" i="6"/>
  <c r="E148" i="6"/>
  <c r="A155" i="5"/>
  <c r="A155" i="3"/>
  <c r="V156" i="4"/>
  <c r="B156" i="5"/>
  <c r="B156" i="3"/>
  <c r="U156" i="4"/>
  <c r="A155" i="4"/>
  <c r="X155" i="4"/>
  <c r="L154" i="5" l="1"/>
  <c r="W156" i="4"/>
  <c r="B156" i="4" s="1"/>
  <c r="R156" i="4"/>
  <c r="AB156" i="4" s="1"/>
  <c r="H150" i="6"/>
  <c r="F149" i="6"/>
  <c r="R147" i="6"/>
  <c r="M153" i="4" s="1"/>
  <c r="L153" i="4"/>
  <c r="L147" i="6"/>
  <c r="K147" i="6"/>
  <c r="U147" i="6"/>
  <c r="S147" i="6"/>
  <c r="T147" i="6"/>
  <c r="M147" i="6"/>
  <c r="P148" i="6"/>
  <c r="J154" i="4" s="1"/>
  <c r="X148" i="6"/>
  <c r="O153" i="4"/>
  <c r="G154" i="3"/>
  <c r="J153" i="3"/>
  <c r="Z147" i="6"/>
  <c r="K153" i="3" s="1"/>
  <c r="W148" i="6"/>
  <c r="H154" i="3" s="1"/>
  <c r="O148" i="6"/>
  <c r="I154" i="4" s="1"/>
  <c r="H154" i="4"/>
  <c r="F155" i="5"/>
  <c r="K156" i="5"/>
  <c r="C155" i="5"/>
  <c r="D155" i="5"/>
  <c r="E155" i="5"/>
  <c r="J155" i="5"/>
  <c r="D155" i="3"/>
  <c r="N156" i="3"/>
  <c r="E155" i="3"/>
  <c r="G155" i="4"/>
  <c r="Q153" i="4"/>
  <c r="P153" i="4"/>
  <c r="C155" i="3"/>
  <c r="D155" i="4"/>
  <c r="C155" i="4"/>
  <c r="S156" i="4"/>
  <c r="F155" i="3"/>
  <c r="F155" i="4"/>
  <c r="H155" i="5" l="1"/>
  <c r="I155" i="5"/>
  <c r="G155" i="5"/>
  <c r="L154" i="3"/>
  <c r="E154" i="4"/>
  <c r="N154" i="4" s="1"/>
  <c r="I149" i="6"/>
  <c r="J149" i="6"/>
  <c r="I154" i="3"/>
  <c r="K154" i="4"/>
  <c r="Q148" i="6"/>
  <c r="L154" i="4" s="1"/>
  <c r="Y148" i="6"/>
  <c r="J154" i="3" s="1"/>
  <c r="N149" i="6"/>
  <c r="V149" i="6"/>
  <c r="E149" i="6"/>
  <c r="A156" i="5"/>
  <c r="A156" i="3"/>
  <c r="X156" i="4"/>
  <c r="V157" i="4"/>
  <c r="B157" i="3"/>
  <c r="U157" i="4"/>
  <c r="B157" i="5"/>
  <c r="A156" i="4"/>
  <c r="S148" i="6" l="1"/>
  <c r="L148" i="6"/>
  <c r="M148" i="6"/>
  <c r="U148" i="6"/>
  <c r="R157" i="4"/>
  <c r="AB157" i="4" s="1"/>
  <c r="H151" i="6"/>
  <c r="W157" i="4"/>
  <c r="B157" i="4" s="1"/>
  <c r="F150" i="6"/>
  <c r="O149" i="6"/>
  <c r="I155" i="4" s="1"/>
  <c r="W149" i="6"/>
  <c r="H155" i="3" s="1"/>
  <c r="G155" i="3"/>
  <c r="H155" i="4"/>
  <c r="L155" i="5"/>
  <c r="T148" i="6"/>
  <c r="R148" i="6"/>
  <c r="M154" i="4" s="1"/>
  <c r="O154" i="4"/>
  <c r="P149" i="6"/>
  <c r="J155" i="4" s="1"/>
  <c r="X149" i="6"/>
  <c r="K148" i="6"/>
  <c r="Z148" i="6"/>
  <c r="K154" i="3" s="1"/>
  <c r="C156" i="5"/>
  <c r="F156" i="5"/>
  <c r="K157" i="5"/>
  <c r="E156" i="5"/>
  <c r="J156" i="5"/>
  <c r="D156" i="5"/>
  <c r="S157" i="4"/>
  <c r="G156" i="4"/>
  <c r="D156" i="3"/>
  <c r="C156" i="3"/>
  <c r="E156" i="3"/>
  <c r="Q154" i="4"/>
  <c r="P154" i="4"/>
  <c r="F156" i="3"/>
  <c r="C156" i="4"/>
  <c r="F156" i="4"/>
  <c r="N157" i="3"/>
  <c r="D156" i="4"/>
  <c r="E155" i="4" l="1"/>
  <c r="N155" i="4" s="1"/>
  <c r="H156" i="5"/>
  <c r="I156" i="5"/>
  <c r="G156" i="5"/>
  <c r="L155" i="3"/>
  <c r="I150" i="6"/>
  <c r="J150" i="6"/>
  <c r="V150" i="6"/>
  <c r="N150" i="6"/>
  <c r="E150" i="6"/>
  <c r="Y149" i="6"/>
  <c r="J155" i="3" s="1"/>
  <c r="Q149" i="6"/>
  <c r="L155" i="4" s="1"/>
  <c r="I155" i="3"/>
  <c r="K155" i="4"/>
  <c r="A157" i="5"/>
  <c r="A157" i="3"/>
  <c r="B158" i="3"/>
  <c r="X157" i="4"/>
  <c r="B158" i="5"/>
  <c r="V158" i="4"/>
  <c r="A157" i="4"/>
  <c r="Z149" i="6" l="1"/>
  <c r="K155" i="3" s="1"/>
  <c r="F151" i="6"/>
  <c r="H152" i="6"/>
  <c r="R158" i="4"/>
  <c r="AB158" i="4" s="1"/>
  <c r="H156" i="4"/>
  <c r="P150" i="6"/>
  <c r="J156" i="4" s="1"/>
  <c r="X150" i="6"/>
  <c r="W150" i="6"/>
  <c r="H156" i="3" s="1"/>
  <c r="O150" i="6"/>
  <c r="I156" i="4" s="1"/>
  <c r="G156" i="3"/>
  <c r="M149" i="6"/>
  <c r="L156" i="5"/>
  <c r="L149" i="6"/>
  <c r="T149" i="6"/>
  <c r="S149" i="6"/>
  <c r="K149" i="6"/>
  <c r="R149" i="6"/>
  <c r="M155" i="4" s="1"/>
  <c r="U149" i="6"/>
  <c r="O155" i="4"/>
  <c r="E157" i="5"/>
  <c r="K158" i="5"/>
  <c r="C157" i="5"/>
  <c r="D157" i="5"/>
  <c r="F157" i="5"/>
  <c r="J157" i="5"/>
  <c r="U158" i="4"/>
  <c r="F157" i="4"/>
  <c r="S158" i="4"/>
  <c r="G157" i="4"/>
  <c r="P155" i="4"/>
  <c r="F157" i="3"/>
  <c r="D157" i="4"/>
  <c r="C157" i="3"/>
  <c r="N158" i="3"/>
  <c r="C157" i="4"/>
  <c r="D157" i="3"/>
  <c r="E157" i="3"/>
  <c r="Q155" i="4"/>
  <c r="W158" i="4" l="1"/>
  <c r="B158" i="4" s="1"/>
  <c r="Y150" i="6"/>
  <c r="J156" i="3" s="1"/>
  <c r="I151" i="6"/>
  <c r="E156" i="4"/>
  <c r="I157" i="5"/>
  <c r="H157" i="5"/>
  <c r="G157" i="5"/>
  <c r="J151" i="6"/>
  <c r="L156" i="3"/>
  <c r="N151" i="6"/>
  <c r="V151" i="6"/>
  <c r="E151" i="6"/>
  <c r="Q150" i="6"/>
  <c r="M150" i="6" s="1"/>
  <c r="T150" i="6"/>
  <c r="K156" i="4"/>
  <c r="I156" i="3"/>
  <c r="A158" i="5"/>
  <c r="X158" i="4"/>
  <c r="B159" i="3"/>
  <c r="B159" i="5"/>
  <c r="A158" i="3"/>
  <c r="A158" i="4"/>
  <c r="V159" i="4"/>
  <c r="U159" i="4" s="1"/>
  <c r="L150" i="6" l="1"/>
  <c r="Z150" i="6"/>
  <c r="K156" i="3" s="1"/>
  <c r="R150" i="6"/>
  <c r="M156" i="4" s="1"/>
  <c r="K150" i="6"/>
  <c r="L157" i="5"/>
  <c r="F152" i="6"/>
  <c r="R159" i="4"/>
  <c r="AB159" i="4" s="1"/>
  <c r="W159" i="4"/>
  <c r="B159" i="4" s="1"/>
  <c r="H153" i="6"/>
  <c r="O156" i="4"/>
  <c r="N156" i="4"/>
  <c r="L156" i="4"/>
  <c r="S150" i="6"/>
  <c r="U150" i="6"/>
  <c r="P151" i="6"/>
  <c r="J157" i="4" s="1"/>
  <c r="X151" i="6"/>
  <c r="G157" i="3"/>
  <c r="H157" i="4"/>
  <c r="W151" i="6"/>
  <c r="H157" i="3" s="1"/>
  <c r="O151" i="6"/>
  <c r="I157" i="4" s="1"/>
  <c r="E158" i="5"/>
  <c r="C158" i="5"/>
  <c r="K159" i="5"/>
  <c r="F158" i="5"/>
  <c r="J158" i="5"/>
  <c r="D158" i="5"/>
  <c r="S159" i="4"/>
  <c r="E158" i="3"/>
  <c r="P156" i="4"/>
  <c r="C158" i="3"/>
  <c r="D158" i="4"/>
  <c r="C158" i="4"/>
  <c r="F158" i="4"/>
  <c r="D158" i="3"/>
  <c r="F158" i="3"/>
  <c r="G158" i="4"/>
  <c r="Q156" i="4"/>
  <c r="N159" i="3"/>
  <c r="H158" i="5" l="1"/>
  <c r="I158" i="5"/>
  <c r="G158" i="5"/>
  <c r="J152" i="6"/>
  <c r="L157" i="3"/>
  <c r="E157" i="4"/>
  <c r="I152" i="6"/>
  <c r="N152" i="6"/>
  <c r="V152" i="6"/>
  <c r="E152" i="6"/>
  <c r="I157" i="3"/>
  <c r="K157" i="4"/>
  <c r="Y151" i="6"/>
  <c r="Q151" i="6"/>
  <c r="L151" i="6" s="1"/>
  <c r="A159" i="5"/>
  <c r="V160" i="4"/>
  <c r="A159" i="3"/>
  <c r="U160" i="4"/>
  <c r="X159" i="4"/>
  <c r="A159" i="4"/>
  <c r="B160" i="5"/>
  <c r="B160" i="3"/>
  <c r="R151" i="6" l="1"/>
  <c r="M157" i="4" s="1"/>
  <c r="W160" i="4"/>
  <c r="B160" i="4" s="1"/>
  <c r="R160" i="4"/>
  <c r="AB160" i="4" s="1"/>
  <c r="H154" i="6"/>
  <c r="F153" i="6"/>
  <c r="G158" i="3"/>
  <c r="H158" i="4"/>
  <c r="O157" i="4"/>
  <c r="U151" i="6"/>
  <c r="L157" i="4"/>
  <c r="W152" i="6"/>
  <c r="H158" i="3" s="1"/>
  <c r="O152" i="6"/>
  <c r="I158" i="4" s="1"/>
  <c r="N157" i="4"/>
  <c r="J157" i="3"/>
  <c r="Z151" i="6"/>
  <c r="K157" i="3" s="1"/>
  <c r="S151" i="6"/>
  <c r="M151" i="6"/>
  <c r="T151" i="6"/>
  <c r="K151" i="6"/>
  <c r="P152" i="6"/>
  <c r="J158" i="4" s="1"/>
  <c r="X152" i="6"/>
  <c r="L158" i="5"/>
  <c r="K160" i="5"/>
  <c r="F159" i="5"/>
  <c r="J159" i="5"/>
  <c r="C159" i="5"/>
  <c r="D159" i="5"/>
  <c r="E159" i="5"/>
  <c r="E159" i="3"/>
  <c r="C159" i="3"/>
  <c r="G159" i="4"/>
  <c r="F159" i="4"/>
  <c r="C159" i="4"/>
  <c r="D159" i="4"/>
  <c r="Q157" i="4"/>
  <c r="D159" i="3"/>
  <c r="F159" i="3"/>
  <c r="S160" i="4"/>
  <c r="N160" i="3"/>
  <c r="P157" i="4"/>
  <c r="G159" i="5" l="1"/>
  <c r="H159" i="5"/>
  <c r="I159" i="5"/>
  <c r="E158" i="4"/>
  <c r="I153" i="6"/>
  <c r="L158" i="3"/>
  <c r="J153" i="6"/>
  <c r="Q152" i="6"/>
  <c r="L152" i="6" s="1"/>
  <c r="Y152" i="6"/>
  <c r="J158" i="3" s="1"/>
  <c r="I158" i="3"/>
  <c r="K158" i="4"/>
  <c r="N153" i="6"/>
  <c r="V153" i="6"/>
  <c r="E153" i="6"/>
  <c r="A160" i="5"/>
  <c r="A160" i="3"/>
  <c r="V161" i="4"/>
  <c r="A160" i="4"/>
  <c r="B161" i="3"/>
  <c r="B161" i="5"/>
  <c r="X160" i="4"/>
  <c r="S152" i="6" l="1"/>
  <c r="R152" i="6"/>
  <c r="M158" i="4" s="1"/>
  <c r="U152" i="6"/>
  <c r="M152" i="6"/>
  <c r="Z152" i="6"/>
  <c r="K158" i="3" s="1"/>
  <c r="R161" i="4"/>
  <c r="AB161" i="4" s="1"/>
  <c r="H155" i="6"/>
  <c r="F154" i="6"/>
  <c r="N158" i="4"/>
  <c r="O158" i="4"/>
  <c r="L159" i="5"/>
  <c r="G159" i="3"/>
  <c r="W153" i="6"/>
  <c r="H159" i="3" s="1"/>
  <c r="O153" i="6"/>
  <c r="I159" i="4" s="1"/>
  <c r="H159" i="4"/>
  <c r="K152" i="6"/>
  <c r="L158" i="4"/>
  <c r="T152" i="6"/>
  <c r="P153" i="6"/>
  <c r="J159" i="4" s="1"/>
  <c r="X153" i="6"/>
  <c r="K161" i="5"/>
  <c r="D160" i="5"/>
  <c r="J160" i="5"/>
  <c r="C160" i="5"/>
  <c r="F160" i="5"/>
  <c r="E160" i="5"/>
  <c r="U161" i="4"/>
  <c r="G160" i="4"/>
  <c r="P158" i="4"/>
  <c r="S161" i="4"/>
  <c r="C160" i="4"/>
  <c r="F160" i="4"/>
  <c r="D160" i="4"/>
  <c r="E160" i="3"/>
  <c r="Q158" i="4"/>
  <c r="D160" i="3"/>
  <c r="N161" i="3"/>
  <c r="F160" i="3"/>
  <c r="C160" i="3"/>
  <c r="W161" i="4" l="1"/>
  <c r="B161" i="4" s="1"/>
  <c r="L159" i="3"/>
  <c r="I154" i="6"/>
  <c r="E159" i="4"/>
  <c r="N159" i="4" s="1"/>
  <c r="I160" i="5"/>
  <c r="H160" i="5"/>
  <c r="G160" i="5"/>
  <c r="J154" i="6"/>
  <c r="N154" i="6"/>
  <c r="V154" i="6"/>
  <c r="E154" i="6"/>
  <c r="I159" i="3"/>
  <c r="K159" i="4"/>
  <c r="L153" i="6"/>
  <c r="T153" i="6"/>
  <c r="M153" i="6"/>
  <c r="Y153" i="6"/>
  <c r="J159" i="3" s="1"/>
  <c r="Q153" i="6"/>
  <c r="L159" i="4" s="1"/>
  <c r="A161" i="5"/>
  <c r="B162" i="5"/>
  <c r="X161" i="4"/>
  <c r="B162" i="3"/>
  <c r="A161" i="4"/>
  <c r="V162" i="4"/>
  <c r="U162" i="4" s="1"/>
  <c r="A161" i="3"/>
  <c r="K153" i="6" l="1"/>
  <c r="U153" i="6"/>
  <c r="R153" i="6"/>
  <c r="M159" i="4" s="1"/>
  <c r="R162" i="4"/>
  <c r="AB162" i="4" s="1"/>
  <c r="H156" i="6"/>
  <c r="W162" i="4"/>
  <c r="B162" i="4" s="1"/>
  <c r="F155" i="6"/>
  <c r="G160" i="3"/>
  <c r="P154" i="6"/>
  <c r="J160" i="4" s="1"/>
  <c r="X154" i="6"/>
  <c r="S153" i="6"/>
  <c r="O159" i="4"/>
  <c r="L160" i="5"/>
  <c r="O154" i="6"/>
  <c r="I160" i="4" s="1"/>
  <c r="W154" i="6"/>
  <c r="H160" i="3" s="1"/>
  <c r="H160" i="4"/>
  <c r="Z153" i="6"/>
  <c r="K159" i="3" s="1"/>
  <c r="C161" i="5"/>
  <c r="J161" i="5"/>
  <c r="K162" i="5"/>
  <c r="D161" i="5"/>
  <c r="E161" i="5"/>
  <c r="F161" i="5"/>
  <c r="P159" i="4"/>
  <c r="G161" i="4"/>
  <c r="D161" i="4"/>
  <c r="F161" i="4"/>
  <c r="C161" i="4"/>
  <c r="N162" i="3"/>
  <c r="D161" i="3"/>
  <c r="E161" i="3"/>
  <c r="S162" i="4"/>
  <c r="C161" i="3"/>
  <c r="F161" i="3"/>
  <c r="Q159" i="4"/>
  <c r="Q154" i="6" l="1"/>
  <c r="L160" i="4" s="1"/>
  <c r="I155" i="6"/>
  <c r="H161" i="5"/>
  <c r="G161" i="5"/>
  <c r="I161" i="5"/>
  <c r="J155" i="6"/>
  <c r="L160" i="3"/>
  <c r="E160" i="4"/>
  <c r="V155" i="6"/>
  <c r="N155" i="6"/>
  <c r="E155" i="6"/>
  <c r="I160" i="3"/>
  <c r="K160" i="4"/>
  <c r="L154" i="6"/>
  <c r="Y154" i="6"/>
  <c r="J160" i="3" s="1"/>
  <c r="A162" i="5"/>
  <c r="X162" i="4"/>
  <c r="A162" i="3"/>
  <c r="B163" i="5"/>
  <c r="B163" i="3"/>
  <c r="V163" i="4"/>
  <c r="A162" i="4"/>
  <c r="U154" i="6" l="1"/>
  <c r="K154" i="6"/>
  <c r="M154" i="6"/>
  <c r="R154" i="6"/>
  <c r="M160" i="4" s="1"/>
  <c r="T154" i="6"/>
  <c r="S154" i="6"/>
  <c r="H157" i="6"/>
  <c r="R163" i="4"/>
  <c r="AB163" i="4" s="1"/>
  <c r="F156" i="6"/>
  <c r="O160" i="4"/>
  <c r="Z154" i="6"/>
  <c r="K160" i="3" s="1"/>
  <c r="H161" i="4"/>
  <c r="L161" i="5"/>
  <c r="G161" i="3"/>
  <c r="P155" i="6"/>
  <c r="J161" i="4" s="1"/>
  <c r="X155" i="6"/>
  <c r="O155" i="6"/>
  <c r="I161" i="4" s="1"/>
  <c r="W155" i="6"/>
  <c r="H161" i="3" s="1"/>
  <c r="N160" i="4"/>
  <c r="D162" i="5"/>
  <c r="C162" i="5"/>
  <c r="E162" i="5"/>
  <c r="F162" i="5"/>
  <c r="K163" i="5"/>
  <c r="J162" i="5"/>
  <c r="U163" i="4"/>
  <c r="F162" i="4"/>
  <c r="D162" i="4"/>
  <c r="C162" i="3"/>
  <c r="Q160" i="4"/>
  <c r="E162" i="3"/>
  <c r="C162" i="4"/>
  <c r="N163" i="3"/>
  <c r="F162" i="3"/>
  <c r="G162" i="4"/>
  <c r="S163" i="4"/>
  <c r="D162" i="3"/>
  <c r="P160" i="4"/>
  <c r="W163" i="4" l="1"/>
  <c r="B163" i="4" s="1"/>
  <c r="L161" i="3"/>
  <c r="J156" i="6"/>
  <c r="G162" i="5"/>
  <c r="I162" i="5"/>
  <c r="H162" i="5"/>
  <c r="I156" i="6"/>
  <c r="E161" i="4"/>
  <c r="N161" i="4" s="1"/>
  <c r="K161" i="4"/>
  <c r="I161" i="3"/>
  <c r="Y155" i="6"/>
  <c r="J161" i="3" s="1"/>
  <c r="Q155" i="6"/>
  <c r="K155" i="6" s="1"/>
  <c r="N156" i="6"/>
  <c r="V156" i="6"/>
  <c r="E156" i="6"/>
  <c r="A163" i="5"/>
  <c r="A163" i="4"/>
  <c r="X163" i="4"/>
  <c r="A163" i="3"/>
  <c r="B164" i="5"/>
  <c r="V164" i="4"/>
  <c r="B164" i="3"/>
  <c r="L155" i="6" l="1"/>
  <c r="L162" i="5"/>
  <c r="T155" i="6"/>
  <c r="H158" i="6"/>
  <c r="R164" i="4"/>
  <c r="AB164" i="4" s="1"/>
  <c r="F157" i="6"/>
  <c r="O161" i="4"/>
  <c r="P156" i="6"/>
  <c r="J162" i="4" s="1"/>
  <c r="X156" i="6"/>
  <c r="G162" i="3"/>
  <c r="U155" i="6"/>
  <c r="L161" i="4"/>
  <c r="O156" i="6"/>
  <c r="I162" i="4" s="1"/>
  <c r="W156" i="6"/>
  <c r="H162" i="3" s="1"/>
  <c r="M155" i="6"/>
  <c r="R155" i="6"/>
  <c r="M161" i="4" s="1"/>
  <c r="H162" i="4"/>
  <c r="Z155" i="6"/>
  <c r="K161" i="3" s="1"/>
  <c r="S155" i="6"/>
  <c r="J163" i="5"/>
  <c r="E163" i="5"/>
  <c r="F163" i="5"/>
  <c r="D163" i="5"/>
  <c r="K164" i="5"/>
  <c r="C163" i="5"/>
  <c r="U164" i="4"/>
  <c r="P161" i="4"/>
  <c r="F163" i="3"/>
  <c r="E163" i="3"/>
  <c r="Q161" i="4"/>
  <c r="G163" i="4"/>
  <c r="C163" i="4"/>
  <c r="D163" i="4"/>
  <c r="N164" i="3"/>
  <c r="S164" i="4"/>
  <c r="D163" i="3"/>
  <c r="C163" i="3"/>
  <c r="F163" i="4"/>
  <c r="W164" i="4" l="1"/>
  <c r="B164" i="4" s="1"/>
  <c r="L162" i="3"/>
  <c r="J157" i="6"/>
  <c r="I163" i="5"/>
  <c r="H163" i="5"/>
  <c r="G163" i="5"/>
  <c r="I157" i="6"/>
  <c r="E162" i="4"/>
  <c r="K162" i="4"/>
  <c r="I162" i="3"/>
  <c r="Y156" i="6"/>
  <c r="Q156" i="6"/>
  <c r="K156" i="6" s="1"/>
  <c r="N157" i="6"/>
  <c r="V157" i="6"/>
  <c r="E157" i="6"/>
  <c r="A164" i="5"/>
  <c r="A164" i="4"/>
  <c r="B165" i="5"/>
  <c r="V165" i="4"/>
  <c r="X164" i="4"/>
  <c r="A164" i="3"/>
  <c r="U165" i="4"/>
  <c r="B165" i="3"/>
  <c r="R156" i="6" l="1"/>
  <c r="M162" i="4" s="1"/>
  <c r="S156" i="6"/>
  <c r="L163" i="5"/>
  <c r="F158" i="6"/>
  <c r="W165" i="4"/>
  <c r="B165" i="4" s="1"/>
  <c r="R165" i="4"/>
  <c r="AB165" i="4" s="1"/>
  <c r="H159" i="6"/>
  <c r="O162" i="4"/>
  <c r="P157" i="6"/>
  <c r="J163" i="4" s="1"/>
  <c r="X157" i="6"/>
  <c r="J162" i="3"/>
  <c r="Z156" i="6"/>
  <c r="K162" i="3" s="1"/>
  <c r="G163" i="3"/>
  <c r="O157" i="6"/>
  <c r="I163" i="4" s="1"/>
  <c r="W157" i="6"/>
  <c r="H163" i="3" s="1"/>
  <c r="H163" i="4"/>
  <c r="L156" i="6"/>
  <c r="L162" i="4"/>
  <c r="U156" i="6"/>
  <c r="M156" i="6"/>
  <c r="T156" i="6"/>
  <c r="D164" i="5"/>
  <c r="C164" i="5"/>
  <c r="F164" i="5"/>
  <c r="J164" i="5"/>
  <c r="E164" i="5"/>
  <c r="K165" i="5"/>
  <c r="D164" i="4"/>
  <c r="F164" i="3"/>
  <c r="N165" i="3"/>
  <c r="Q162" i="4"/>
  <c r="P162" i="4"/>
  <c r="G164" i="4"/>
  <c r="F164" i="4"/>
  <c r="D164" i="3"/>
  <c r="E164" i="3"/>
  <c r="C164" i="4"/>
  <c r="S165" i="4"/>
  <c r="C164" i="3"/>
  <c r="Q157" i="6" l="1"/>
  <c r="K157" i="6" s="1"/>
  <c r="I158" i="6"/>
  <c r="L163" i="3"/>
  <c r="E163" i="4"/>
  <c r="N162" i="4" s="1"/>
  <c r="J158" i="6"/>
  <c r="G164" i="5"/>
  <c r="I164" i="5"/>
  <c r="H164" i="5"/>
  <c r="Y157" i="6"/>
  <c r="I163" i="3"/>
  <c r="K163" i="4"/>
  <c r="S157" i="6"/>
  <c r="N158" i="6"/>
  <c r="H164" i="4" s="1"/>
  <c r="V158" i="6"/>
  <c r="E158" i="6"/>
  <c r="A165" i="5"/>
  <c r="A165" i="3"/>
  <c r="V166" i="4"/>
  <c r="B166" i="3"/>
  <c r="X165" i="4"/>
  <c r="U166" i="4"/>
  <c r="A165" i="4"/>
  <c r="B166" i="5"/>
  <c r="L163" i="4" l="1"/>
  <c r="M157" i="6"/>
  <c r="U157" i="6"/>
  <c r="L157" i="6"/>
  <c r="R157" i="6"/>
  <c r="M163" i="4" s="1"/>
  <c r="T157" i="6"/>
  <c r="L164" i="5"/>
  <c r="W166" i="4"/>
  <c r="B166" i="4" s="1"/>
  <c r="R166" i="4"/>
  <c r="AB166" i="4" s="1"/>
  <c r="H160" i="6"/>
  <c r="F159" i="6"/>
  <c r="G164" i="3"/>
  <c r="J163" i="3"/>
  <c r="Z157" i="6"/>
  <c r="K163" i="3" s="1"/>
  <c r="W158" i="6"/>
  <c r="H164" i="3" s="1"/>
  <c r="O158" i="6"/>
  <c r="I164" i="4" s="1"/>
  <c r="O163" i="4"/>
  <c r="P158" i="6"/>
  <c r="J164" i="4" s="1"/>
  <c r="X158" i="6"/>
  <c r="C165" i="5"/>
  <c r="E165" i="5"/>
  <c r="D165" i="5"/>
  <c r="J165" i="5"/>
  <c r="K166" i="5"/>
  <c r="F165" i="5"/>
  <c r="P163" i="4"/>
  <c r="F165" i="3"/>
  <c r="E165" i="3"/>
  <c r="G165" i="4"/>
  <c r="F165" i="4"/>
  <c r="C165" i="4"/>
  <c r="C165" i="3"/>
  <c r="Q163" i="4"/>
  <c r="D165" i="3"/>
  <c r="N166" i="3"/>
  <c r="D165" i="4"/>
  <c r="S166" i="4"/>
  <c r="J159" i="6" l="1"/>
  <c r="E164" i="4"/>
  <c r="N163" i="4" s="1"/>
  <c r="I159" i="6"/>
  <c r="I165" i="5"/>
  <c r="G165" i="5"/>
  <c r="H165" i="5"/>
  <c r="L164" i="3"/>
  <c r="V159" i="6"/>
  <c r="N159" i="6"/>
  <c r="E159" i="6"/>
  <c r="I164" i="3"/>
  <c r="K164" i="4"/>
  <c r="Q158" i="6"/>
  <c r="L158" i="6" s="1"/>
  <c r="Y158" i="6"/>
  <c r="J164" i="3" s="1"/>
  <c r="M158" i="6"/>
  <c r="A166" i="5"/>
  <c r="B167" i="3"/>
  <c r="X166" i="4"/>
  <c r="V167" i="4"/>
  <c r="U167" i="4"/>
  <c r="A166" i="3"/>
  <c r="B167" i="5"/>
  <c r="A166" i="4"/>
  <c r="L165" i="5" l="1"/>
  <c r="R167" i="4"/>
  <c r="AB167" i="4" s="1"/>
  <c r="W167" i="4"/>
  <c r="B167" i="4" s="1"/>
  <c r="H161" i="6"/>
  <c r="F160" i="6"/>
  <c r="W159" i="6"/>
  <c r="H165" i="3" s="1"/>
  <c r="O159" i="6"/>
  <c r="I165" i="4" s="1"/>
  <c r="O164" i="4"/>
  <c r="P159" i="6"/>
  <c r="J165" i="4" s="1"/>
  <c r="X159" i="6"/>
  <c r="R158" i="6"/>
  <c r="M164" i="4" s="1"/>
  <c r="L164" i="4"/>
  <c r="T158" i="6"/>
  <c r="S158" i="6"/>
  <c r="K158" i="6"/>
  <c r="Z158" i="6"/>
  <c r="K164" i="3" s="1"/>
  <c r="H165" i="4"/>
  <c r="U158" i="6"/>
  <c r="G165" i="3"/>
  <c r="E166" i="5"/>
  <c r="K167" i="5"/>
  <c r="C166" i="5"/>
  <c r="J166" i="5"/>
  <c r="F166" i="5"/>
  <c r="D166" i="5"/>
  <c r="Q164" i="4"/>
  <c r="D166" i="3"/>
  <c r="N167" i="3"/>
  <c r="S167" i="4"/>
  <c r="E166" i="3"/>
  <c r="F166" i="3"/>
  <c r="C166" i="3"/>
  <c r="D166" i="4"/>
  <c r="C166" i="4"/>
  <c r="G166" i="4"/>
  <c r="F166" i="4"/>
  <c r="P164" i="4"/>
  <c r="Y159" i="6" l="1"/>
  <c r="J165" i="3" s="1"/>
  <c r="H166" i="5"/>
  <c r="G166" i="5"/>
  <c r="I166" i="5"/>
  <c r="J160" i="6"/>
  <c r="E165" i="4"/>
  <c r="L165" i="3"/>
  <c r="I160" i="6"/>
  <c r="K165" i="4"/>
  <c r="I165" i="3"/>
  <c r="Q159" i="6"/>
  <c r="R159" i="6" s="1"/>
  <c r="M165" i="4" s="1"/>
  <c r="N160" i="6"/>
  <c r="V160" i="6"/>
  <c r="E160" i="6"/>
  <c r="A167" i="5"/>
  <c r="B168" i="3"/>
  <c r="A167" i="4"/>
  <c r="V168" i="4"/>
  <c r="U168" i="4"/>
  <c r="B168" i="5"/>
  <c r="X167" i="4"/>
  <c r="A167" i="3"/>
  <c r="N165" i="4" l="1"/>
  <c r="N164" i="4"/>
  <c r="Z159" i="6"/>
  <c r="K165" i="3" s="1"/>
  <c r="F161" i="6"/>
  <c r="W168" i="4"/>
  <c r="B168" i="4" s="1"/>
  <c r="R168" i="4"/>
  <c r="AB168" i="4" s="1"/>
  <c r="H162" i="6"/>
  <c r="O160" i="6"/>
  <c r="I166" i="4" s="1"/>
  <c r="W160" i="6"/>
  <c r="H166" i="3" s="1"/>
  <c r="K159" i="6"/>
  <c r="L165" i="4"/>
  <c r="T159" i="6"/>
  <c r="M159" i="6"/>
  <c r="S159" i="6"/>
  <c r="U159" i="6"/>
  <c r="L159" i="6"/>
  <c r="P160" i="6"/>
  <c r="J166" i="4" s="1"/>
  <c r="X160" i="6"/>
  <c r="H166" i="4"/>
  <c r="G166" i="3"/>
  <c r="O165" i="4"/>
  <c r="L166" i="5"/>
  <c r="F167" i="5"/>
  <c r="E167" i="5"/>
  <c r="K168" i="5"/>
  <c r="C167" i="5"/>
  <c r="D167" i="5"/>
  <c r="J167" i="5"/>
  <c r="C167" i="3"/>
  <c r="F167" i="4"/>
  <c r="N168" i="3"/>
  <c r="C167" i="4"/>
  <c r="F167" i="3"/>
  <c r="E167" i="3"/>
  <c r="D167" i="4"/>
  <c r="D167" i="3"/>
  <c r="S168" i="4"/>
  <c r="Q165" i="4"/>
  <c r="G167" i="4"/>
  <c r="P165" i="4"/>
  <c r="Q160" i="6" l="1"/>
  <c r="L166" i="4" s="1"/>
  <c r="H167" i="5"/>
  <c r="I167" i="5"/>
  <c r="G167" i="5"/>
  <c r="I161" i="6"/>
  <c r="J161" i="6"/>
  <c r="L166" i="3"/>
  <c r="E166" i="4"/>
  <c r="T160" i="6"/>
  <c r="Y160" i="6"/>
  <c r="I166" i="3"/>
  <c r="K166" i="4"/>
  <c r="N161" i="6"/>
  <c r="V161" i="6"/>
  <c r="E161" i="6"/>
  <c r="A168" i="5"/>
  <c r="V169" i="4"/>
  <c r="A168" i="4"/>
  <c r="X168" i="4"/>
  <c r="B169" i="5"/>
  <c r="A168" i="3"/>
  <c r="B169" i="3"/>
  <c r="S160" i="6" l="1"/>
  <c r="M160" i="6"/>
  <c r="K160" i="6"/>
  <c r="L160" i="6"/>
  <c r="U160" i="6"/>
  <c r="R160" i="6"/>
  <c r="M166" i="4" s="1"/>
  <c r="F162" i="6"/>
  <c r="H163" i="6"/>
  <c r="R169" i="4"/>
  <c r="AB169" i="4" s="1"/>
  <c r="L167" i="5"/>
  <c r="P161" i="6"/>
  <c r="J167" i="4" s="1"/>
  <c r="X161" i="6"/>
  <c r="G167" i="3"/>
  <c r="O161" i="6"/>
  <c r="I167" i="4" s="1"/>
  <c r="W161" i="6"/>
  <c r="H167" i="3" s="1"/>
  <c r="H167" i="4"/>
  <c r="J166" i="3"/>
  <c r="Z160" i="6"/>
  <c r="K166" i="3" s="1"/>
  <c r="O166" i="4"/>
  <c r="N166" i="4"/>
  <c r="D168" i="5"/>
  <c r="E168" i="5"/>
  <c r="C168" i="5"/>
  <c r="F168" i="5"/>
  <c r="J168" i="5"/>
  <c r="K169" i="5"/>
  <c r="U169" i="4"/>
  <c r="G168" i="4"/>
  <c r="C168" i="3"/>
  <c r="F168" i="3"/>
  <c r="S169" i="4"/>
  <c r="D168" i="4"/>
  <c r="N169" i="3"/>
  <c r="D168" i="3"/>
  <c r="F168" i="4"/>
  <c r="P166" i="4"/>
  <c r="Q166" i="4"/>
  <c r="C168" i="4"/>
  <c r="E168" i="3"/>
  <c r="W169" i="4" l="1"/>
  <c r="B169" i="4" s="1"/>
  <c r="Q161" i="6"/>
  <c r="K161" i="6" s="1"/>
  <c r="J162" i="6"/>
  <c r="E167" i="4"/>
  <c r="L167" i="3"/>
  <c r="I162" i="6"/>
  <c r="G168" i="5"/>
  <c r="H168" i="5"/>
  <c r="I168" i="5"/>
  <c r="Y161" i="6"/>
  <c r="N162" i="6"/>
  <c r="V162" i="6"/>
  <c r="E162" i="6"/>
  <c r="K167" i="4"/>
  <c r="I167" i="3"/>
  <c r="U161" i="6"/>
  <c r="L161" i="6"/>
  <c r="A169" i="5"/>
  <c r="B170" i="5"/>
  <c r="A169" i="3"/>
  <c r="A169" i="4"/>
  <c r="X169" i="4"/>
  <c r="V170" i="4"/>
  <c r="B170" i="3"/>
  <c r="M161" i="6" l="1"/>
  <c r="R161" i="6"/>
  <c r="M167" i="4" s="1"/>
  <c r="S161" i="6"/>
  <c r="L167" i="4"/>
  <c r="T161" i="6"/>
  <c r="F163" i="6"/>
  <c r="H164" i="6"/>
  <c r="R170" i="4"/>
  <c r="AB170" i="4" s="1"/>
  <c r="O167" i="4"/>
  <c r="L168" i="5"/>
  <c r="H168" i="4"/>
  <c r="P162" i="6"/>
  <c r="J168" i="4" s="1"/>
  <c r="X162" i="6"/>
  <c r="W162" i="6"/>
  <c r="H168" i="3" s="1"/>
  <c r="O162" i="6"/>
  <c r="I168" i="4" s="1"/>
  <c r="J167" i="3"/>
  <c r="Z161" i="6"/>
  <c r="K167" i="3" s="1"/>
  <c r="N167" i="4"/>
  <c r="G168" i="3"/>
  <c r="C169" i="5"/>
  <c r="J169" i="5"/>
  <c r="K170" i="5"/>
  <c r="E169" i="5"/>
  <c r="F169" i="5"/>
  <c r="D169" i="5"/>
  <c r="U170" i="4"/>
  <c r="F169" i="3"/>
  <c r="G169" i="4"/>
  <c r="D169" i="3"/>
  <c r="C169" i="4"/>
  <c r="D169" i="4"/>
  <c r="P167" i="4"/>
  <c r="S170" i="4"/>
  <c r="N170" i="3"/>
  <c r="C169" i="3"/>
  <c r="F169" i="4"/>
  <c r="E169" i="3"/>
  <c r="Q167" i="4"/>
  <c r="W170" i="4" l="1"/>
  <c r="B170" i="4" s="1"/>
  <c r="I169" i="5"/>
  <c r="G169" i="5"/>
  <c r="H169" i="5"/>
  <c r="J163" i="6"/>
  <c r="I163" i="6"/>
  <c r="E168" i="4"/>
  <c r="N168" i="4" s="1"/>
  <c r="L168" i="3"/>
  <c r="K168" i="4"/>
  <c r="I168" i="3"/>
  <c r="Y162" i="6"/>
  <c r="J168" i="3" s="1"/>
  <c r="Q162" i="6"/>
  <c r="L168" i="4" s="1"/>
  <c r="N163" i="6"/>
  <c r="V163" i="6"/>
  <c r="E163" i="6"/>
  <c r="A170" i="5"/>
  <c r="A170" i="3"/>
  <c r="X170" i="4"/>
  <c r="B171" i="5"/>
  <c r="B171" i="3"/>
  <c r="A170" i="4"/>
  <c r="V171" i="4"/>
  <c r="T162" i="6" l="1"/>
  <c r="R162" i="6"/>
  <c r="M168" i="4" s="1"/>
  <c r="S162" i="6"/>
  <c r="U162" i="6"/>
  <c r="M162" i="6"/>
  <c r="L169" i="5"/>
  <c r="L162" i="6"/>
  <c r="K162" i="6"/>
  <c r="R171" i="4"/>
  <c r="AB171" i="4" s="1"/>
  <c r="H165" i="6"/>
  <c r="F164" i="6"/>
  <c r="Z162" i="6"/>
  <c r="K168" i="3" s="1"/>
  <c r="P163" i="6"/>
  <c r="J169" i="4" s="1"/>
  <c r="X163" i="6"/>
  <c r="G169" i="3"/>
  <c r="O168" i="4"/>
  <c r="O163" i="6"/>
  <c r="I169" i="4" s="1"/>
  <c r="W163" i="6"/>
  <c r="H169" i="3" s="1"/>
  <c r="H169" i="4"/>
  <c r="F170" i="5"/>
  <c r="J170" i="5"/>
  <c r="C170" i="5"/>
  <c r="K171" i="5"/>
  <c r="E170" i="5"/>
  <c r="D170" i="5"/>
  <c r="U171" i="4"/>
  <c r="P168" i="4"/>
  <c r="E170" i="3"/>
  <c r="G170" i="4"/>
  <c r="C170" i="3"/>
  <c r="D170" i="3"/>
  <c r="F170" i="3"/>
  <c r="C170" i="4"/>
  <c r="F170" i="4"/>
  <c r="Q168" i="4"/>
  <c r="S171" i="4"/>
  <c r="D170" i="4"/>
  <c r="N171" i="3"/>
  <c r="W171" i="4" l="1"/>
  <c r="B171" i="4" s="1"/>
  <c r="I164" i="6"/>
  <c r="I170" i="5"/>
  <c r="G170" i="5"/>
  <c r="H170" i="5"/>
  <c r="J164" i="6"/>
  <c r="L169" i="3"/>
  <c r="E169" i="4"/>
  <c r="N169" i="4" s="1"/>
  <c r="Q163" i="6"/>
  <c r="V164" i="6"/>
  <c r="N164" i="6"/>
  <c r="E164" i="6"/>
  <c r="Y163" i="6"/>
  <c r="J169" i="3" s="1"/>
  <c r="K169" i="4"/>
  <c r="I169" i="3"/>
  <c r="S163" i="6"/>
  <c r="T163" i="6"/>
  <c r="A171" i="5"/>
  <c r="A171" i="3"/>
  <c r="V172" i="4"/>
  <c r="X171" i="4"/>
  <c r="B172" i="3"/>
  <c r="B172" i="5"/>
  <c r="A171" i="4"/>
  <c r="L170" i="5" l="1"/>
  <c r="R172" i="4"/>
  <c r="AB172" i="4" s="1"/>
  <c r="H166" i="6"/>
  <c r="F165" i="6"/>
  <c r="G170" i="3"/>
  <c r="W164" i="6"/>
  <c r="H170" i="3" s="1"/>
  <c r="O164" i="6"/>
  <c r="I170" i="4" s="1"/>
  <c r="L169" i="4"/>
  <c r="K163" i="6"/>
  <c r="L163" i="6"/>
  <c r="U163" i="6"/>
  <c r="M163" i="6"/>
  <c r="R163" i="6"/>
  <c r="M169" i="4" s="1"/>
  <c r="O169" i="4"/>
  <c r="Z163" i="6"/>
  <c r="K169" i="3" s="1"/>
  <c r="H170" i="4"/>
  <c r="P164" i="6"/>
  <c r="J170" i="4" s="1"/>
  <c r="X164" i="6"/>
  <c r="E171" i="5"/>
  <c r="F171" i="5"/>
  <c r="C171" i="5"/>
  <c r="K172" i="5"/>
  <c r="J171" i="5"/>
  <c r="D171" i="5"/>
  <c r="U172" i="4"/>
  <c r="P169" i="4"/>
  <c r="C171" i="3"/>
  <c r="D171" i="3"/>
  <c r="F171" i="4"/>
  <c r="N172" i="3"/>
  <c r="F171" i="3"/>
  <c r="E171" i="3"/>
  <c r="G171" i="4"/>
  <c r="C171" i="4"/>
  <c r="D171" i="4"/>
  <c r="S172" i="4"/>
  <c r="Q169" i="4"/>
  <c r="W172" i="4" l="1"/>
  <c r="B172" i="4" s="1"/>
  <c r="Q164" i="6"/>
  <c r="L164" i="6" s="1"/>
  <c r="Y164" i="6"/>
  <c r="J170" i="3" s="1"/>
  <c r="I171" i="5"/>
  <c r="G171" i="5"/>
  <c r="H171" i="5"/>
  <c r="E170" i="4"/>
  <c r="N170" i="4" s="1"/>
  <c r="J165" i="6"/>
  <c r="I165" i="6"/>
  <c r="L170" i="3"/>
  <c r="K170" i="4"/>
  <c r="I170" i="3"/>
  <c r="K164" i="6"/>
  <c r="V165" i="6"/>
  <c r="N165" i="6"/>
  <c r="E165" i="6"/>
  <c r="A172" i="5"/>
  <c r="B173" i="5"/>
  <c r="B173" i="3"/>
  <c r="A172" i="3"/>
  <c r="A172" i="4"/>
  <c r="X172" i="4"/>
  <c r="V173" i="4"/>
  <c r="Z164" i="6" l="1"/>
  <c r="K170" i="3" s="1"/>
  <c r="U164" i="6"/>
  <c r="L170" i="4"/>
  <c r="R164" i="6"/>
  <c r="M170" i="4" s="1"/>
  <c r="L171" i="5"/>
  <c r="S164" i="6"/>
  <c r="T164" i="6"/>
  <c r="M164" i="6"/>
  <c r="H167" i="6"/>
  <c r="R173" i="4"/>
  <c r="AB173" i="4" s="1"/>
  <c r="F166" i="6"/>
  <c r="H171" i="4"/>
  <c r="O170" i="4"/>
  <c r="O165" i="6"/>
  <c r="I171" i="4" s="1"/>
  <c r="W165" i="6"/>
  <c r="H171" i="3" s="1"/>
  <c r="P165" i="6"/>
  <c r="J171" i="4" s="1"/>
  <c r="X165" i="6"/>
  <c r="G171" i="3"/>
  <c r="D172" i="5"/>
  <c r="K173" i="5"/>
  <c r="E172" i="5"/>
  <c r="J172" i="5"/>
  <c r="F172" i="5"/>
  <c r="C172" i="5"/>
  <c r="U173" i="4"/>
  <c r="F172" i="4"/>
  <c r="C172" i="4"/>
  <c r="F172" i="3"/>
  <c r="D172" i="3"/>
  <c r="D172" i="4"/>
  <c r="P170" i="4"/>
  <c r="Q170" i="4"/>
  <c r="S173" i="4"/>
  <c r="G172" i="4"/>
  <c r="C172" i="3"/>
  <c r="E172" i="3"/>
  <c r="N173" i="3"/>
  <c r="W173" i="4" l="1"/>
  <c r="B173" i="4" s="1"/>
  <c r="E171" i="4"/>
  <c r="J166" i="6"/>
  <c r="I166" i="6"/>
  <c r="H172" i="5"/>
  <c r="I172" i="5"/>
  <c r="G172" i="5"/>
  <c r="L171" i="3"/>
  <c r="K171" i="4"/>
  <c r="I171" i="3"/>
  <c r="Y165" i="6"/>
  <c r="J171" i="3" s="1"/>
  <c r="Q165" i="6"/>
  <c r="T165" i="6" s="1"/>
  <c r="N166" i="6"/>
  <c r="V166" i="6"/>
  <c r="E166" i="6"/>
  <c r="A173" i="5"/>
  <c r="X173" i="4"/>
  <c r="A173" i="3"/>
  <c r="A173" i="4"/>
  <c r="B174" i="3"/>
  <c r="V174" i="4"/>
  <c r="U174" i="4" s="1"/>
  <c r="B174" i="5"/>
  <c r="L165" i="6" l="1"/>
  <c r="Z165" i="6"/>
  <c r="K171" i="3" s="1"/>
  <c r="K165" i="6"/>
  <c r="S165" i="6"/>
  <c r="U165" i="6"/>
  <c r="R174" i="4"/>
  <c r="AB174" i="4" s="1"/>
  <c r="W174" i="4"/>
  <c r="B174" i="4" s="1"/>
  <c r="H168" i="6"/>
  <c r="F167" i="6"/>
  <c r="P166" i="6"/>
  <c r="J172" i="4" s="1"/>
  <c r="X166" i="6"/>
  <c r="G172" i="3"/>
  <c r="W166" i="6"/>
  <c r="H172" i="3" s="1"/>
  <c r="O166" i="6"/>
  <c r="I172" i="4" s="1"/>
  <c r="L172" i="5"/>
  <c r="O171" i="4"/>
  <c r="H172" i="4"/>
  <c r="L171" i="4"/>
  <c r="M165" i="6"/>
  <c r="R165" i="6"/>
  <c r="M171" i="4" s="1"/>
  <c r="N171" i="4"/>
  <c r="E173" i="5"/>
  <c r="J173" i="5"/>
  <c r="C173" i="5"/>
  <c r="F173" i="5"/>
  <c r="D173" i="5"/>
  <c r="K174" i="5"/>
  <c r="D173" i="3"/>
  <c r="P171" i="4"/>
  <c r="C173" i="4"/>
  <c r="G173" i="4"/>
  <c r="F173" i="4"/>
  <c r="N174" i="3"/>
  <c r="C173" i="3"/>
  <c r="E173" i="3"/>
  <c r="S174" i="4"/>
  <c r="Q171" i="4"/>
  <c r="F173" i="3"/>
  <c r="D173" i="4"/>
  <c r="E172" i="4" l="1"/>
  <c r="N172" i="4" s="1"/>
  <c r="H173" i="5"/>
  <c r="I173" i="5"/>
  <c r="G173" i="5"/>
  <c r="J167" i="6"/>
  <c r="L172" i="3"/>
  <c r="I167" i="6"/>
  <c r="Y166" i="6"/>
  <c r="Q166" i="6"/>
  <c r="T166" i="6" s="1"/>
  <c r="V167" i="6"/>
  <c r="N167" i="6"/>
  <c r="E167" i="6"/>
  <c r="K172" i="4"/>
  <c r="I172" i="3"/>
  <c r="M166" i="6"/>
  <c r="A174" i="5"/>
  <c r="V175" i="4"/>
  <c r="A174" i="4"/>
  <c r="B175" i="5"/>
  <c r="B175" i="3"/>
  <c r="A174" i="3"/>
  <c r="X174" i="4"/>
  <c r="R175" i="4" l="1"/>
  <c r="AB175" i="4" s="1"/>
  <c r="H169" i="6"/>
  <c r="F168" i="6"/>
  <c r="L172" i="4"/>
  <c r="K166" i="6"/>
  <c r="S166" i="6"/>
  <c r="R166" i="6"/>
  <c r="M172" i="4" s="1"/>
  <c r="U166" i="6"/>
  <c r="L173" i="5"/>
  <c r="J172" i="3"/>
  <c r="Z166" i="6"/>
  <c r="K172" i="3" s="1"/>
  <c r="H173" i="4"/>
  <c r="L166" i="6"/>
  <c r="P167" i="6"/>
  <c r="J173" i="4" s="1"/>
  <c r="X167" i="6"/>
  <c r="O167" i="6"/>
  <c r="I173" i="4" s="1"/>
  <c r="W167" i="6"/>
  <c r="H173" i="3" s="1"/>
  <c r="G173" i="3"/>
  <c r="O172" i="4"/>
  <c r="D174" i="5"/>
  <c r="E174" i="5"/>
  <c r="C174" i="5"/>
  <c r="F174" i="5"/>
  <c r="J174" i="5"/>
  <c r="K175" i="5"/>
  <c r="U175" i="4"/>
  <c r="E174" i="3"/>
  <c r="C174" i="4"/>
  <c r="D174" i="3"/>
  <c r="Q172" i="4"/>
  <c r="F174" i="3"/>
  <c r="C174" i="3"/>
  <c r="S175" i="4"/>
  <c r="D174" i="4"/>
  <c r="G174" i="4"/>
  <c r="P172" i="4"/>
  <c r="N175" i="3"/>
  <c r="F174" i="4"/>
  <c r="W175" i="4" l="1"/>
  <c r="B175" i="4" s="1"/>
  <c r="Q167" i="6"/>
  <c r="L173" i="4" s="1"/>
  <c r="I168" i="6"/>
  <c r="J168" i="6"/>
  <c r="L173" i="3"/>
  <c r="E173" i="4"/>
  <c r="G174" i="5"/>
  <c r="I174" i="5"/>
  <c r="H174" i="5"/>
  <c r="L167" i="6"/>
  <c r="I173" i="3"/>
  <c r="K173" i="4"/>
  <c r="M167" i="6"/>
  <c r="S167" i="6"/>
  <c r="Y167" i="6"/>
  <c r="J173" i="3" s="1"/>
  <c r="V168" i="6"/>
  <c r="N168" i="6"/>
  <c r="E168" i="6"/>
  <c r="A175" i="5"/>
  <c r="X175" i="4"/>
  <c r="A175" i="3"/>
  <c r="V176" i="4"/>
  <c r="U176" i="4" s="1"/>
  <c r="B176" i="3"/>
  <c r="B176" i="5"/>
  <c r="A175" i="4"/>
  <c r="U167" i="6" l="1"/>
  <c r="T167" i="6"/>
  <c r="Z167" i="6"/>
  <c r="K173" i="3" s="1"/>
  <c r="R167" i="6"/>
  <c r="M173" i="4" s="1"/>
  <c r="K167" i="6"/>
  <c r="L174" i="5"/>
  <c r="F169" i="6"/>
  <c r="W176" i="4"/>
  <c r="B176" i="4" s="1"/>
  <c r="H170" i="6"/>
  <c r="R176" i="4"/>
  <c r="AB176" i="4" s="1"/>
  <c r="N173" i="4"/>
  <c r="O173" i="4"/>
  <c r="P168" i="6"/>
  <c r="J174" i="4" s="1"/>
  <c r="X168" i="6"/>
  <c r="H174" i="4"/>
  <c r="G174" i="3"/>
  <c r="W168" i="6"/>
  <c r="H174" i="3" s="1"/>
  <c r="O168" i="6"/>
  <c r="I174" i="4" s="1"/>
  <c r="E175" i="5"/>
  <c r="C175" i="5"/>
  <c r="F175" i="5"/>
  <c r="J175" i="5"/>
  <c r="D175" i="5"/>
  <c r="K176" i="5"/>
  <c r="C175" i="4"/>
  <c r="S176" i="4"/>
  <c r="Q173" i="4"/>
  <c r="E175" i="3"/>
  <c r="D175" i="4"/>
  <c r="D175" i="3"/>
  <c r="C175" i="3"/>
  <c r="G175" i="4"/>
  <c r="N176" i="3"/>
  <c r="F175" i="4"/>
  <c r="F175" i="3"/>
  <c r="P173" i="4"/>
  <c r="Y168" i="6" l="1"/>
  <c r="J174" i="3" s="1"/>
  <c r="H175" i="5"/>
  <c r="I175" i="5"/>
  <c r="G175" i="5"/>
  <c r="J169" i="6"/>
  <c r="L174" i="3"/>
  <c r="I169" i="6"/>
  <c r="E174" i="4"/>
  <c r="Q168" i="6"/>
  <c r="R168" i="6" s="1"/>
  <c r="M174" i="4" s="1"/>
  <c r="N169" i="6"/>
  <c r="V169" i="6"/>
  <c r="E169" i="6"/>
  <c r="K174" i="4"/>
  <c r="I174" i="3"/>
  <c r="A176" i="5"/>
  <c r="B177" i="3"/>
  <c r="A176" i="4"/>
  <c r="X176" i="4"/>
  <c r="V177" i="4"/>
  <c r="U177" i="4"/>
  <c r="A176" i="3"/>
  <c r="B177" i="5"/>
  <c r="M168" i="6" l="1"/>
  <c r="K168" i="6"/>
  <c r="S168" i="6"/>
  <c r="L168" i="6"/>
  <c r="Z168" i="6"/>
  <c r="K174" i="3" s="1"/>
  <c r="F170" i="6"/>
  <c r="W177" i="4"/>
  <c r="B177" i="4" s="1"/>
  <c r="H171" i="6"/>
  <c r="R177" i="4"/>
  <c r="AB177" i="4" s="1"/>
  <c r="T168" i="6"/>
  <c r="L174" i="4"/>
  <c r="O174" i="4"/>
  <c r="P169" i="6"/>
  <c r="J175" i="4" s="1"/>
  <c r="X169" i="6"/>
  <c r="U168" i="6"/>
  <c r="N174" i="4"/>
  <c r="L175" i="5"/>
  <c r="G175" i="3"/>
  <c r="O169" i="6"/>
  <c r="I175" i="4" s="1"/>
  <c r="W169" i="6"/>
  <c r="H175" i="3" s="1"/>
  <c r="H175" i="4"/>
  <c r="C176" i="5"/>
  <c r="D176" i="5"/>
  <c r="J176" i="5"/>
  <c r="E176" i="5"/>
  <c r="F176" i="5"/>
  <c r="K177" i="5"/>
  <c r="E176" i="3"/>
  <c r="D176" i="4"/>
  <c r="P174" i="4"/>
  <c r="C176" i="4"/>
  <c r="S177" i="4"/>
  <c r="C176" i="3"/>
  <c r="F176" i="3"/>
  <c r="G176" i="4"/>
  <c r="F176" i="4"/>
  <c r="Q174" i="4"/>
  <c r="N177" i="3"/>
  <c r="D176" i="3"/>
  <c r="I170" i="6" l="1"/>
  <c r="I176" i="5"/>
  <c r="H176" i="5"/>
  <c r="G176" i="5"/>
  <c r="L175" i="3"/>
  <c r="E175" i="4"/>
  <c r="J170" i="6"/>
  <c r="I175" i="3"/>
  <c r="K175" i="4"/>
  <c r="Q169" i="6"/>
  <c r="L175" i="4" s="1"/>
  <c r="Y169" i="6"/>
  <c r="V170" i="6"/>
  <c r="N170" i="6"/>
  <c r="E170" i="6"/>
  <c r="A177" i="5"/>
  <c r="A177" i="4"/>
  <c r="A177" i="3"/>
  <c r="B178" i="5"/>
  <c r="B178" i="3"/>
  <c r="X177" i="4"/>
  <c r="V178" i="4"/>
  <c r="U178" i="4"/>
  <c r="U169" i="6" l="1"/>
  <c r="T169" i="6"/>
  <c r="L169" i="6"/>
  <c r="K169" i="6"/>
  <c r="R178" i="4"/>
  <c r="AB178" i="4" s="1"/>
  <c r="H172" i="6"/>
  <c r="W178" i="4"/>
  <c r="B178" i="4" s="1"/>
  <c r="F171" i="6"/>
  <c r="W170" i="6"/>
  <c r="H176" i="3" s="1"/>
  <c r="O170" i="6"/>
  <c r="I176" i="4" s="1"/>
  <c r="L176" i="5"/>
  <c r="S169" i="6"/>
  <c r="P170" i="6"/>
  <c r="J176" i="4" s="1"/>
  <c r="X170" i="6"/>
  <c r="J175" i="3"/>
  <c r="Z169" i="6"/>
  <c r="K175" i="3" s="1"/>
  <c r="O175" i="4"/>
  <c r="N175" i="4"/>
  <c r="H176" i="4"/>
  <c r="R169" i="6"/>
  <c r="M175" i="4" s="1"/>
  <c r="G176" i="3"/>
  <c r="M169" i="6"/>
  <c r="J177" i="5"/>
  <c r="K178" i="5"/>
  <c r="D177" i="5"/>
  <c r="E177" i="5"/>
  <c r="C177" i="5"/>
  <c r="F177" i="5"/>
  <c r="D177" i="4"/>
  <c r="C177" i="4"/>
  <c r="D177" i="3"/>
  <c r="F177" i="3"/>
  <c r="N178" i="3"/>
  <c r="F177" i="4"/>
  <c r="G177" i="4"/>
  <c r="C177" i="3"/>
  <c r="S178" i="4"/>
  <c r="P175" i="4"/>
  <c r="E177" i="3"/>
  <c r="Q175" i="4"/>
  <c r="Y170" i="6" l="1"/>
  <c r="J176" i="3" s="1"/>
  <c r="J171" i="6"/>
  <c r="I171" i="6"/>
  <c r="I177" i="5"/>
  <c r="G177" i="5"/>
  <c r="H177" i="5"/>
  <c r="E176" i="4"/>
  <c r="L176" i="3"/>
  <c r="V171" i="6"/>
  <c r="N171" i="6"/>
  <c r="E171" i="6"/>
  <c r="K176" i="4"/>
  <c r="I176" i="3"/>
  <c r="Q170" i="6"/>
  <c r="T170" i="6" s="1"/>
  <c r="A178" i="5"/>
  <c r="B179" i="5"/>
  <c r="A178" i="4"/>
  <c r="X178" i="4"/>
  <c r="B179" i="3"/>
  <c r="V179" i="4"/>
  <c r="A178" i="3"/>
  <c r="Z170" i="6" l="1"/>
  <c r="K176" i="3" s="1"/>
  <c r="L177" i="5"/>
  <c r="F172" i="6"/>
  <c r="R179" i="4"/>
  <c r="AB179" i="4" s="1"/>
  <c r="H173" i="6"/>
  <c r="L170" i="6"/>
  <c r="L176" i="4"/>
  <c r="S170" i="6"/>
  <c r="U170" i="6"/>
  <c r="K170" i="6"/>
  <c r="R170" i="6"/>
  <c r="M176" i="4" s="1"/>
  <c r="N176" i="4"/>
  <c r="O176" i="4"/>
  <c r="H177" i="4"/>
  <c r="P171" i="6"/>
  <c r="J177" i="4" s="1"/>
  <c r="X171" i="6"/>
  <c r="G177" i="3"/>
  <c r="O171" i="6"/>
  <c r="I177" i="4" s="1"/>
  <c r="W171" i="6"/>
  <c r="H177" i="3" s="1"/>
  <c r="M170" i="6"/>
  <c r="F178" i="5"/>
  <c r="E178" i="5"/>
  <c r="C178" i="5"/>
  <c r="K179" i="5"/>
  <c r="D178" i="5"/>
  <c r="J178" i="5"/>
  <c r="U179" i="4"/>
  <c r="P176" i="4"/>
  <c r="G178" i="4"/>
  <c r="C178" i="3"/>
  <c r="D178" i="3"/>
  <c r="S179" i="4"/>
  <c r="N179" i="3"/>
  <c r="Q176" i="4"/>
  <c r="E178" i="3"/>
  <c r="F178" i="4"/>
  <c r="F178" i="3"/>
  <c r="D178" i="4"/>
  <c r="C178" i="4"/>
  <c r="W179" i="4" l="1"/>
  <c r="B179" i="4" s="1"/>
  <c r="L177" i="3"/>
  <c r="G178" i="5"/>
  <c r="H178" i="5"/>
  <c r="I178" i="5"/>
  <c r="J172" i="6"/>
  <c r="I172" i="6"/>
  <c r="E177" i="4"/>
  <c r="N172" i="6"/>
  <c r="V172" i="6"/>
  <c r="E172" i="6"/>
  <c r="K177" i="4"/>
  <c r="I177" i="3"/>
  <c r="Y171" i="6"/>
  <c r="J177" i="3" s="1"/>
  <c r="Q171" i="6"/>
  <c r="L177" i="4" s="1"/>
  <c r="A179" i="5"/>
  <c r="X179" i="4"/>
  <c r="B180" i="5"/>
  <c r="A179" i="4"/>
  <c r="B180" i="3"/>
  <c r="V180" i="4"/>
  <c r="U180" i="4"/>
  <c r="A179" i="3"/>
  <c r="S171" i="6" l="1"/>
  <c r="U171" i="6"/>
  <c r="R171" i="6"/>
  <c r="M177" i="4" s="1"/>
  <c r="W180" i="4"/>
  <c r="B180" i="4" s="1"/>
  <c r="R180" i="4"/>
  <c r="AB180" i="4" s="1"/>
  <c r="H174" i="6"/>
  <c r="F173" i="6"/>
  <c r="G178" i="3"/>
  <c r="O172" i="6"/>
  <c r="I178" i="4" s="1"/>
  <c r="W172" i="6"/>
  <c r="H178" i="3" s="1"/>
  <c r="L178" i="5"/>
  <c r="M171" i="6"/>
  <c r="Z171" i="6"/>
  <c r="K177" i="3" s="1"/>
  <c r="P172" i="6"/>
  <c r="J178" i="4" s="1"/>
  <c r="X172" i="6"/>
  <c r="T171" i="6"/>
  <c r="O177" i="4"/>
  <c r="N177" i="4"/>
  <c r="H178" i="4"/>
  <c r="K171" i="6"/>
  <c r="L171" i="6"/>
  <c r="K180" i="5"/>
  <c r="J179" i="5"/>
  <c r="C179" i="5"/>
  <c r="E179" i="5"/>
  <c r="D179" i="5"/>
  <c r="F179" i="5"/>
  <c r="F179" i="4"/>
  <c r="N180" i="3"/>
  <c r="P177" i="4"/>
  <c r="F179" i="3"/>
  <c r="D179" i="4"/>
  <c r="D179" i="3"/>
  <c r="G179" i="4"/>
  <c r="Q177" i="4"/>
  <c r="C179" i="4"/>
  <c r="E179" i="3"/>
  <c r="S180" i="4"/>
  <c r="C179" i="3"/>
  <c r="H179" i="5" l="1"/>
  <c r="G179" i="5"/>
  <c r="I179" i="5"/>
  <c r="E178" i="4"/>
  <c r="N178" i="4" s="1"/>
  <c r="L178" i="3"/>
  <c r="I173" i="6"/>
  <c r="J173" i="6"/>
  <c r="I178" i="3"/>
  <c r="K178" i="4"/>
  <c r="Q172" i="6"/>
  <c r="L172" i="6" s="1"/>
  <c r="V173" i="6"/>
  <c r="N173" i="6"/>
  <c r="E173" i="6"/>
  <c r="Y172" i="6"/>
  <c r="A180" i="5"/>
  <c r="X180" i="4"/>
  <c r="V181" i="4"/>
  <c r="B181" i="5"/>
  <c r="B181" i="3"/>
  <c r="U181" i="4"/>
  <c r="A180" i="4"/>
  <c r="A180" i="3"/>
  <c r="K172" i="6" l="1"/>
  <c r="W181" i="4"/>
  <c r="B181" i="4" s="1"/>
  <c r="R181" i="4"/>
  <c r="AB181" i="4" s="1"/>
  <c r="H175" i="6"/>
  <c r="F174" i="6"/>
  <c r="H179" i="4"/>
  <c r="O173" i="6"/>
  <c r="I179" i="4" s="1"/>
  <c r="W173" i="6"/>
  <c r="H179" i="3" s="1"/>
  <c r="L178" i="4"/>
  <c r="S172" i="6"/>
  <c r="M172" i="6"/>
  <c r="T172" i="6"/>
  <c r="P173" i="6"/>
  <c r="J179" i="4" s="1"/>
  <c r="X173" i="6"/>
  <c r="J178" i="3"/>
  <c r="Z172" i="6"/>
  <c r="K178" i="3" s="1"/>
  <c r="G179" i="3"/>
  <c r="R172" i="6"/>
  <c r="M178" i="4" s="1"/>
  <c r="O178" i="4"/>
  <c r="U172" i="6"/>
  <c r="L179" i="5"/>
  <c r="C180" i="5"/>
  <c r="F180" i="5"/>
  <c r="E180" i="5"/>
  <c r="D180" i="5"/>
  <c r="J180" i="5"/>
  <c r="K181" i="5"/>
  <c r="F180" i="4"/>
  <c r="E180" i="3"/>
  <c r="C180" i="3"/>
  <c r="D180" i="3"/>
  <c r="Q178" i="4"/>
  <c r="P178" i="4"/>
  <c r="S181" i="4"/>
  <c r="C180" i="4"/>
  <c r="G180" i="4"/>
  <c r="F180" i="3"/>
  <c r="D180" i="4"/>
  <c r="N181" i="3"/>
  <c r="L179" i="3" l="1"/>
  <c r="G180" i="5"/>
  <c r="H180" i="5"/>
  <c r="I180" i="5"/>
  <c r="E179" i="4"/>
  <c r="I174" i="6"/>
  <c r="J174" i="6"/>
  <c r="Q173" i="6"/>
  <c r="L173" i="6" s="1"/>
  <c r="K179" i="4"/>
  <c r="I179" i="3"/>
  <c r="Y173" i="6"/>
  <c r="J179" i="3" s="1"/>
  <c r="V174" i="6"/>
  <c r="N174" i="6"/>
  <c r="E174" i="6"/>
  <c r="A181" i="5"/>
  <c r="X181" i="4"/>
  <c r="B182" i="3"/>
  <c r="B182" i="5"/>
  <c r="V182" i="4"/>
  <c r="U182" i="4"/>
  <c r="A181" i="4"/>
  <c r="A181" i="3"/>
  <c r="U173" i="6" l="1"/>
  <c r="M173" i="6"/>
  <c r="K173" i="6"/>
  <c r="T173" i="6"/>
  <c r="Z173" i="6"/>
  <c r="K179" i="3" s="1"/>
  <c r="H176" i="6"/>
  <c r="W182" i="4"/>
  <c r="B182" i="4" s="1"/>
  <c r="R182" i="4"/>
  <c r="AB182" i="4" s="1"/>
  <c r="F175" i="6"/>
  <c r="P174" i="6"/>
  <c r="J180" i="4" s="1"/>
  <c r="X174" i="6"/>
  <c r="N179" i="4"/>
  <c r="O179" i="4"/>
  <c r="H180" i="4"/>
  <c r="W174" i="6"/>
  <c r="H180" i="3" s="1"/>
  <c r="O174" i="6"/>
  <c r="I180" i="4" s="1"/>
  <c r="G180" i="3"/>
  <c r="L179" i="4"/>
  <c r="R173" i="6"/>
  <c r="M179" i="4" s="1"/>
  <c r="S173" i="6"/>
  <c r="L180" i="5"/>
  <c r="C181" i="5"/>
  <c r="F181" i="5"/>
  <c r="D181" i="5"/>
  <c r="J181" i="5"/>
  <c r="K182" i="5"/>
  <c r="E181" i="5"/>
  <c r="C181" i="4"/>
  <c r="G181" i="4"/>
  <c r="D181" i="4"/>
  <c r="E181" i="3"/>
  <c r="C181" i="3"/>
  <c r="F181" i="4"/>
  <c r="N182" i="3"/>
  <c r="F181" i="3"/>
  <c r="S182" i="4"/>
  <c r="D181" i="3"/>
  <c r="Q179" i="4"/>
  <c r="P179" i="4"/>
  <c r="I175" i="6" l="1"/>
  <c r="I181" i="5"/>
  <c r="H181" i="5"/>
  <c r="G181" i="5"/>
  <c r="J175" i="6"/>
  <c r="L180" i="3"/>
  <c r="E180" i="4"/>
  <c r="N180" i="4" s="1"/>
  <c r="K180" i="4"/>
  <c r="I180" i="3"/>
  <c r="L174" i="6"/>
  <c r="M174" i="6"/>
  <c r="T174" i="6"/>
  <c r="K174" i="6"/>
  <c r="N175" i="6"/>
  <c r="V175" i="6"/>
  <c r="E175" i="6"/>
  <c r="Q174" i="6"/>
  <c r="R174" i="6" s="1"/>
  <c r="M180" i="4" s="1"/>
  <c r="Y174" i="6"/>
  <c r="S174" i="6"/>
  <c r="A182" i="5"/>
  <c r="B183" i="3"/>
  <c r="V183" i="4"/>
  <c r="B183" i="5"/>
  <c r="A182" i="3"/>
  <c r="X182" i="4"/>
  <c r="A182" i="4"/>
  <c r="L181" i="5" l="1"/>
  <c r="F176" i="6"/>
  <c r="H177" i="6"/>
  <c r="R183" i="4"/>
  <c r="AB183" i="4" s="1"/>
  <c r="P175" i="6"/>
  <c r="J181" i="4" s="1"/>
  <c r="X175" i="6"/>
  <c r="O175" i="6"/>
  <c r="I181" i="4" s="1"/>
  <c r="W175" i="6"/>
  <c r="H181" i="3" s="1"/>
  <c r="J180" i="3"/>
  <c r="Z174" i="6"/>
  <c r="K180" i="3" s="1"/>
  <c r="H181" i="4"/>
  <c r="L180" i="4"/>
  <c r="U174" i="6"/>
  <c r="G181" i="3"/>
  <c r="O180" i="4"/>
  <c r="K183" i="5"/>
  <c r="C182" i="5"/>
  <c r="F182" i="5"/>
  <c r="E182" i="5"/>
  <c r="J182" i="5"/>
  <c r="D182" i="5"/>
  <c r="U183" i="4"/>
  <c r="C182" i="3"/>
  <c r="C182" i="4"/>
  <c r="P180" i="4"/>
  <c r="Q180" i="4"/>
  <c r="F182" i="3"/>
  <c r="D182" i="4"/>
  <c r="F182" i="4"/>
  <c r="D182" i="3"/>
  <c r="G182" i="4"/>
  <c r="N183" i="3"/>
  <c r="S183" i="4"/>
  <c r="E182" i="3"/>
  <c r="W183" i="4" l="1"/>
  <c r="B183" i="4" s="1"/>
  <c r="L181" i="3"/>
  <c r="I182" i="5"/>
  <c r="H182" i="5"/>
  <c r="G182" i="5"/>
  <c r="J176" i="6"/>
  <c r="I176" i="6"/>
  <c r="E181" i="4"/>
  <c r="Q175" i="6"/>
  <c r="U175" i="6" s="1"/>
  <c r="I181" i="3"/>
  <c r="K181" i="4"/>
  <c r="Y175" i="6"/>
  <c r="J181" i="3" s="1"/>
  <c r="V176" i="6"/>
  <c r="N176" i="6"/>
  <c r="E176" i="6"/>
  <c r="L175" i="6"/>
  <c r="A183" i="5"/>
  <c r="A183" i="4"/>
  <c r="V184" i="4"/>
  <c r="X183" i="4"/>
  <c r="B184" i="5"/>
  <c r="B184" i="3"/>
  <c r="A183" i="3"/>
  <c r="L182" i="5" l="1"/>
  <c r="F177" i="6"/>
  <c r="H178" i="6"/>
  <c r="R184" i="4"/>
  <c r="AB184" i="4" s="1"/>
  <c r="G182" i="3"/>
  <c r="O176" i="6"/>
  <c r="I182" i="4" s="1"/>
  <c r="W176" i="6"/>
  <c r="H182" i="3" s="1"/>
  <c r="L181" i="4"/>
  <c r="T175" i="6"/>
  <c r="S175" i="6"/>
  <c r="K175" i="6"/>
  <c r="M175" i="6"/>
  <c r="O181" i="4"/>
  <c r="P176" i="6"/>
  <c r="J182" i="4" s="1"/>
  <c r="X176" i="6"/>
  <c r="Z175" i="6"/>
  <c r="K181" i="3" s="1"/>
  <c r="R175" i="6"/>
  <c r="M181" i="4" s="1"/>
  <c r="H182" i="4"/>
  <c r="N181" i="4"/>
  <c r="D183" i="5"/>
  <c r="K184" i="5"/>
  <c r="E183" i="5"/>
  <c r="C183" i="5"/>
  <c r="J183" i="5"/>
  <c r="F183" i="5"/>
  <c r="U184" i="4"/>
  <c r="N184" i="3"/>
  <c r="G183" i="4"/>
  <c r="D183" i="4"/>
  <c r="S184" i="4"/>
  <c r="Q181" i="4"/>
  <c r="D183" i="3"/>
  <c r="C183" i="4"/>
  <c r="F183" i="3"/>
  <c r="C183" i="3"/>
  <c r="E183" i="3"/>
  <c r="P181" i="4"/>
  <c r="F183" i="4"/>
  <c r="W184" i="4" l="1"/>
  <c r="B184" i="4" s="1"/>
  <c r="I177" i="6"/>
  <c r="J177" i="6"/>
  <c r="E182" i="4"/>
  <c r="L182" i="3"/>
  <c r="I183" i="5"/>
  <c r="G183" i="5"/>
  <c r="H183" i="5"/>
  <c r="L183" i="5" s="1"/>
  <c r="K182" i="4"/>
  <c r="I182" i="3"/>
  <c r="N177" i="6"/>
  <c r="V177" i="6"/>
  <c r="E177" i="6"/>
  <c r="Y176" i="6"/>
  <c r="J182" i="3" s="1"/>
  <c r="Q176" i="6"/>
  <c r="U176" i="6" s="1"/>
  <c r="K176" i="6"/>
  <c r="A184" i="5"/>
  <c r="B185" i="5"/>
  <c r="X184" i="4"/>
  <c r="V185" i="4"/>
  <c r="B185" i="3"/>
  <c r="A184" i="4"/>
  <c r="A184" i="3"/>
  <c r="U185" i="4"/>
  <c r="R176" i="6" l="1"/>
  <c r="M182" i="4" s="1"/>
  <c r="W185" i="4"/>
  <c r="B185" i="4" s="1"/>
  <c r="H179" i="6"/>
  <c r="R185" i="4"/>
  <c r="AB185" i="4" s="1"/>
  <c r="F178" i="6"/>
  <c r="O182" i="4"/>
  <c r="P177" i="6"/>
  <c r="J183" i="4" s="1"/>
  <c r="X177" i="6"/>
  <c r="H183" i="4"/>
  <c r="L182" i="4"/>
  <c r="M176" i="6"/>
  <c r="T176" i="6"/>
  <c r="L176" i="6"/>
  <c r="S176" i="6"/>
  <c r="G183" i="3"/>
  <c r="Z176" i="6"/>
  <c r="K182" i="3" s="1"/>
  <c r="W177" i="6"/>
  <c r="H183" i="3" s="1"/>
  <c r="O177" i="6"/>
  <c r="I183" i="4" s="1"/>
  <c r="J184" i="5"/>
  <c r="K185" i="5"/>
  <c r="E184" i="5"/>
  <c r="C184" i="5"/>
  <c r="F184" i="5"/>
  <c r="D184" i="5"/>
  <c r="C184" i="4"/>
  <c r="D184" i="4"/>
  <c r="C184" i="3"/>
  <c r="Q182" i="4"/>
  <c r="D184" i="3"/>
  <c r="S185" i="4"/>
  <c r="N185" i="3"/>
  <c r="P182" i="4"/>
  <c r="E184" i="3"/>
  <c r="G184" i="4"/>
  <c r="F184" i="4"/>
  <c r="F184" i="3"/>
  <c r="Y177" i="6" l="1"/>
  <c r="J183" i="3" s="1"/>
  <c r="Q177" i="6"/>
  <c r="T177" i="6" s="1"/>
  <c r="H184" i="5"/>
  <c r="I184" i="5"/>
  <c r="G184" i="5"/>
  <c r="L183" i="3"/>
  <c r="I178" i="6"/>
  <c r="E183" i="4"/>
  <c r="N182" i="4" s="1"/>
  <c r="J178" i="6"/>
  <c r="S177" i="6"/>
  <c r="N178" i="6"/>
  <c r="V178" i="6"/>
  <c r="E178" i="6"/>
  <c r="Z177" i="6"/>
  <c r="K183" i="3" s="1"/>
  <c r="K183" i="4"/>
  <c r="I183" i="3"/>
  <c r="U177" i="6"/>
  <c r="M177" i="6"/>
  <c r="L177" i="6"/>
  <c r="A185" i="5"/>
  <c r="X185" i="4"/>
  <c r="B186" i="3"/>
  <c r="A185" i="3"/>
  <c r="B186" i="5"/>
  <c r="A185" i="4"/>
  <c r="V186" i="4"/>
  <c r="U186" i="4" s="1"/>
  <c r="L183" i="4" l="1"/>
  <c r="R177" i="6"/>
  <c r="M183" i="4" s="1"/>
  <c r="K177" i="6"/>
  <c r="F179" i="6"/>
  <c r="W186" i="4"/>
  <c r="B186" i="4" s="1"/>
  <c r="R186" i="4"/>
  <c r="AB186" i="4" s="1"/>
  <c r="H180" i="6"/>
  <c r="G184" i="3"/>
  <c r="H184" i="4"/>
  <c r="O178" i="6"/>
  <c r="I184" i="4" s="1"/>
  <c r="W178" i="6"/>
  <c r="H184" i="3" s="1"/>
  <c r="O183" i="4"/>
  <c r="P178" i="6"/>
  <c r="J184" i="4" s="1"/>
  <c r="X178" i="6"/>
  <c r="L184" i="5"/>
  <c r="J185" i="5"/>
  <c r="C185" i="5"/>
  <c r="E185" i="5"/>
  <c r="F185" i="5"/>
  <c r="D185" i="5"/>
  <c r="K186" i="5"/>
  <c r="F185" i="3"/>
  <c r="N186" i="3"/>
  <c r="C185" i="3"/>
  <c r="S186" i="4"/>
  <c r="E185" i="3"/>
  <c r="P183" i="4"/>
  <c r="D185" i="3"/>
  <c r="D185" i="4"/>
  <c r="C185" i="4"/>
  <c r="Q183" i="4"/>
  <c r="F185" i="4"/>
  <c r="G185" i="4"/>
  <c r="E184" i="4" l="1"/>
  <c r="N183" i="4" s="1"/>
  <c r="H185" i="5"/>
  <c r="G185" i="5"/>
  <c r="I185" i="5"/>
  <c r="J179" i="6"/>
  <c r="L184" i="3"/>
  <c r="I179" i="6"/>
  <c r="Y178" i="6"/>
  <c r="Q178" i="6"/>
  <c r="U178" i="6" s="1"/>
  <c r="I184" i="3"/>
  <c r="K184" i="4"/>
  <c r="S178" i="6"/>
  <c r="N179" i="6"/>
  <c r="V179" i="6"/>
  <c r="E179" i="6"/>
  <c r="A186" i="5"/>
  <c r="X186" i="4"/>
  <c r="A186" i="3"/>
  <c r="V187" i="4"/>
  <c r="U187" i="4"/>
  <c r="B187" i="3"/>
  <c r="A186" i="4"/>
  <c r="B187" i="5"/>
  <c r="T178" i="6" l="1"/>
  <c r="R178" i="6"/>
  <c r="M184" i="4" s="1"/>
  <c r="K178" i="6"/>
  <c r="F180" i="6"/>
  <c r="H181" i="6"/>
  <c r="R187" i="4"/>
  <c r="AB187" i="4" s="1"/>
  <c r="W187" i="4"/>
  <c r="B187" i="4" s="1"/>
  <c r="W179" i="6"/>
  <c r="H185" i="3" s="1"/>
  <c r="O179" i="6"/>
  <c r="I185" i="4" s="1"/>
  <c r="J184" i="3"/>
  <c r="Z178" i="6"/>
  <c r="K184" i="3" s="1"/>
  <c r="L185" i="5"/>
  <c r="L178" i="6"/>
  <c r="L184" i="4"/>
  <c r="G185" i="3"/>
  <c r="O184" i="4"/>
  <c r="P179" i="6"/>
  <c r="J185" i="4" s="1"/>
  <c r="X179" i="6"/>
  <c r="M178" i="6"/>
  <c r="H185" i="4"/>
  <c r="C186" i="5"/>
  <c r="J186" i="5"/>
  <c r="E186" i="5"/>
  <c r="D186" i="5"/>
  <c r="F186" i="5"/>
  <c r="K187" i="5"/>
  <c r="N187" i="3"/>
  <c r="C186" i="3"/>
  <c r="E186" i="3"/>
  <c r="G186" i="4"/>
  <c r="F186" i="3"/>
  <c r="P184" i="4"/>
  <c r="D186" i="3"/>
  <c r="F186" i="4"/>
  <c r="S187" i="4"/>
  <c r="C186" i="4"/>
  <c r="Q184" i="4"/>
  <c r="D186" i="4"/>
  <c r="H186" i="5" l="1"/>
  <c r="G186" i="5"/>
  <c r="I186" i="5"/>
  <c r="L185" i="3"/>
  <c r="J180" i="6"/>
  <c r="I180" i="6"/>
  <c r="E185" i="4"/>
  <c r="Y179" i="6"/>
  <c r="J185" i="3" s="1"/>
  <c r="K185" i="4"/>
  <c r="I185" i="3"/>
  <c r="Q179" i="6"/>
  <c r="T179" i="6"/>
  <c r="N180" i="6"/>
  <c r="V180" i="6"/>
  <c r="E180" i="6"/>
  <c r="A187" i="5"/>
  <c r="V188" i="4"/>
  <c r="A187" i="4"/>
  <c r="U188" i="4"/>
  <c r="B188" i="5"/>
  <c r="X187" i="4"/>
  <c r="A187" i="3"/>
  <c r="B188" i="3"/>
  <c r="N185" i="4" l="1"/>
  <c r="N184" i="4"/>
  <c r="Z179" i="6"/>
  <c r="K185" i="3" s="1"/>
  <c r="F181" i="6"/>
  <c r="H182" i="6"/>
  <c r="W188" i="4"/>
  <c r="B188" i="4" s="1"/>
  <c r="R188" i="4"/>
  <c r="AB188" i="4" s="1"/>
  <c r="L179" i="6"/>
  <c r="L185" i="4"/>
  <c r="K179" i="6"/>
  <c r="G186" i="3"/>
  <c r="L186" i="5"/>
  <c r="U179" i="6"/>
  <c r="H186" i="4"/>
  <c r="S179" i="6"/>
  <c r="P180" i="6"/>
  <c r="J186" i="4" s="1"/>
  <c r="X180" i="6"/>
  <c r="W180" i="6"/>
  <c r="H186" i="3" s="1"/>
  <c r="O180" i="6"/>
  <c r="I186" i="4" s="1"/>
  <c r="M179" i="6"/>
  <c r="R179" i="6"/>
  <c r="M185" i="4" s="1"/>
  <c r="O185" i="4"/>
  <c r="C187" i="5"/>
  <c r="K188" i="5"/>
  <c r="E187" i="5"/>
  <c r="J187" i="5"/>
  <c r="D187" i="5"/>
  <c r="F187" i="5"/>
  <c r="G187" i="4"/>
  <c r="D187" i="4"/>
  <c r="N188" i="3"/>
  <c r="C187" i="3"/>
  <c r="S188" i="4"/>
  <c r="F187" i="4"/>
  <c r="D187" i="3"/>
  <c r="Q185" i="4"/>
  <c r="F187" i="3"/>
  <c r="P185" i="4"/>
  <c r="E187" i="3"/>
  <c r="C187" i="4"/>
  <c r="G187" i="5" l="1"/>
  <c r="H187" i="5"/>
  <c r="I187" i="5"/>
  <c r="J181" i="6"/>
  <c r="I181" i="6"/>
  <c r="E186" i="4"/>
  <c r="L186" i="3"/>
  <c r="K186" i="4"/>
  <c r="I186" i="3"/>
  <c r="Y180" i="6"/>
  <c r="J186" i="3" s="1"/>
  <c r="N181" i="6"/>
  <c r="V181" i="6"/>
  <c r="E181" i="6"/>
  <c r="Q180" i="6"/>
  <c r="L186" i="4" s="1"/>
  <c r="A188" i="5"/>
  <c r="B189" i="5"/>
  <c r="B189" i="3"/>
  <c r="X188" i="4"/>
  <c r="V189" i="4"/>
  <c r="U189" i="4" s="1"/>
  <c r="A188" i="3"/>
  <c r="A188" i="4"/>
  <c r="R180" i="6" l="1"/>
  <c r="M186" i="4" s="1"/>
  <c r="F182" i="6"/>
  <c r="R189" i="4"/>
  <c r="AB189" i="4" s="1"/>
  <c r="H183" i="6"/>
  <c r="W189" i="4"/>
  <c r="B189" i="4" s="1"/>
  <c r="Z180" i="6"/>
  <c r="K186" i="3" s="1"/>
  <c r="G187" i="3"/>
  <c r="T180" i="6"/>
  <c r="O186" i="4"/>
  <c r="L180" i="6"/>
  <c r="O181" i="6"/>
  <c r="I187" i="4" s="1"/>
  <c r="W181" i="6"/>
  <c r="H187" i="3" s="1"/>
  <c r="K180" i="6"/>
  <c r="S180" i="6"/>
  <c r="M180" i="6"/>
  <c r="L187" i="5"/>
  <c r="P181" i="6"/>
  <c r="J187" i="4" s="1"/>
  <c r="X181" i="6"/>
  <c r="H187" i="4"/>
  <c r="U180" i="6"/>
  <c r="F188" i="5"/>
  <c r="E188" i="5"/>
  <c r="D188" i="5"/>
  <c r="C188" i="5"/>
  <c r="K189" i="5"/>
  <c r="J188" i="5"/>
  <c r="G188" i="4"/>
  <c r="E188" i="3"/>
  <c r="S189" i="4"/>
  <c r="N189" i="3"/>
  <c r="D188" i="4"/>
  <c r="C188" i="4"/>
  <c r="Q186" i="4"/>
  <c r="P186" i="4"/>
  <c r="C188" i="3"/>
  <c r="D188" i="3"/>
  <c r="F188" i="3"/>
  <c r="F188" i="4"/>
  <c r="L187" i="3" l="1"/>
  <c r="E187" i="4"/>
  <c r="G188" i="5"/>
  <c r="H188" i="5"/>
  <c r="I188" i="5"/>
  <c r="J182" i="6"/>
  <c r="I182" i="6"/>
  <c r="K187" i="4"/>
  <c r="I187" i="3"/>
  <c r="Q181" i="6"/>
  <c r="M181" i="6" s="1"/>
  <c r="Y181" i="6"/>
  <c r="J187" i="3" s="1"/>
  <c r="V182" i="6"/>
  <c r="N182" i="6"/>
  <c r="E182" i="6"/>
  <c r="S181" i="6"/>
  <c r="U181" i="6"/>
  <c r="A189" i="5"/>
  <c r="X189" i="4"/>
  <c r="B190" i="5"/>
  <c r="B190" i="3"/>
  <c r="V190" i="4"/>
  <c r="U190" i="4" s="1"/>
  <c r="A189" i="4"/>
  <c r="A189" i="3"/>
  <c r="K181" i="6" l="1"/>
  <c r="T181" i="6"/>
  <c r="R190" i="4"/>
  <c r="AB190" i="4" s="1"/>
  <c r="W190" i="4"/>
  <c r="B190" i="4" s="1"/>
  <c r="H184" i="6"/>
  <c r="F183" i="6"/>
  <c r="H188" i="4"/>
  <c r="G188" i="3"/>
  <c r="L188" i="5"/>
  <c r="Z181" i="6"/>
  <c r="K187" i="3" s="1"/>
  <c r="P182" i="6"/>
  <c r="J188" i="4" s="1"/>
  <c r="X182" i="6"/>
  <c r="N187" i="4"/>
  <c r="N186" i="4"/>
  <c r="O187" i="4"/>
  <c r="W182" i="6"/>
  <c r="H188" i="3" s="1"/>
  <c r="O182" i="6"/>
  <c r="I188" i="4" s="1"/>
  <c r="L187" i="4"/>
  <c r="R181" i="6"/>
  <c r="M187" i="4" s="1"/>
  <c r="L181" i="6"/>
  <c r="F189" i="5"/>
  <c r="J189" i="5"/>
  <c r="C189" i="5"/>
  <c r="K190" i="5"/>
  <c r="E189" i="5"/>
  <c r="D189" i="5"/>
  <c r="N190" i="3"/>
  <c r="C189" i="4"/>
  <c r="D189" i="3"/>
  <c r="C189" i="3"/>
  <c r="S190" i="4"/>
  <c r="D189" i="4"/>
  <c r="F189" i="4"/>
  <c r="E189" i="3"/>
  <c r="P187" i="4"/>
  <c r="G189" i="4"/>
  <c r="F189" i="3"/>
  <c r="Q187" i="4"/>
  <c r="G189" i="5" l="1"/>
  <c r="H189" i="5"/>
  <c r="I189" i="5"/>
  <c r="L188" i="3"/>
  <c r="J183" i="6"/>
  <c r="I183" i="6"/>
  <c r="E188" i="4"/>
  <c r="N188" i="4" s="1"/>
  <c r="I188" i="3"/>
  <c r="K188" i="4"/>
  <c r="Q182" i="6"/>
  <c r="R182" i="6" s="1"/>
  <c r="M188" i="4" s="1"/>
  <c r="Y182" i="6"/>
  <c r="J188" i="3" s="1"/>
  <c r="N183" i="6"/>
  <c r="V183" i="6"/>
  <c r="E183" i="6"/>
  <c r="A190" i="5"/>
  <c r="B191" i="5"/>
  <c r="A190" i="3"/>
  <c r="V191" i="4"/>
  <c r="X190" i="4"/>
  <c r="A190" i="4"/>
  <c r="U191" i="4"/>
  <c r="B191" i="3"/>
  <c r="Z182" i="6" l="1"/>
  <c r="K188" i="3" s="1"/>
  <c r="W191" i="4"/>
  <c r="B191" i="4" s="1"/>
  <c r="R191" i="4"/>
  <c r="AB191" i="4" s="1"/>
  <c r="H185" i="6"/>
  <c r="F184" i="6"/>
  <c r="T182" i="6"/>
  <c r="L188" i="4"/>
  <c r="M182" i="6"/>
  <c r="S182" i="6"/>
  <c r="G189" i="3"/>
  <c r="H189" i="4"/>
  <c r="L182" i="6"/>
  <c r="L189" i="5"/>
  <c r="P183" i="6"/>
  <c r="J189" i="4" s="1"/>
  <c r="X183" i="6"/>
  <c r="O183" i="6"/>
  <c r="I189" i="4" s="1"/>
  <c r="W183" i="6"/>
  <c r="H189" i="3" s="1"/>
  <c r="U182" i="6"/>
  <c r="K182" i="6"/>
  <c r="O188" i="4"/>
  <c r="F190" i="5"/>
  <c r="E190" i="5"/>
  <c r="C190" i="5"/>
  <c r="K191" i="5"/>
  <c r="D190" i="5"/>
  <c r="J190" i="5"/>
  <c r="F190" i="4"/>
  <c r="C190" i="3"/>
  <c r="N191" i="3"/>
  <c r="F190" i="3"/>
  <c r="S191" i="4"/>
  <c r="Q188" i="4"/>
  <c r="C190" i="4"/>
  <c r="E190" i="3"/>
  <c r="G190" i="4"/>
  <c r="D190" i="3"/>
  <c r="P188" i="4"/>
  <c r="D190" i="4"/>
  <c r="Y183" i="6" l="1"/>
  <c r="J189" i="3" s="1"/>
  <c r="I190" i="5"/>
  <c r="H190" i="5"/>
  <c r="G190" i="5"/>
  <c r="L189" i="3"/>
  <c r="E189" i="4"/>
  <c r="N189" i="4" s="1"/>
  <c r="J184" i="6"/>
  <c r="I184" i="6"/>
  <c r="Q183" i="6"/>
  <c r="K183" i="6" s="1"/>
  <c r="V184" i="6"/>
  <c r="N184" i="6"/>
  <c r="E184" i="6"/>
  <c r="L183" i="6"/>
  <c r="K189" i="4"/>
  <c r="I189" i="3"/>
  <c r="A191" i="5"/>
  <c r="B192" i="5"/>
  <c r="A191" i="3"/>
  <c r="X191" i="4"/>
  <c r="A191" i="4"/>
  <c r="B192" i="3"/>
  <c r="V192" i="4"/>
  <c r="U192" i="4"/>
  <c r="L190" i="5" l="1"/>
  <c r="Z183" i="6"/>
  <c r="K189" i="3" s="1"/>
  <c r="R183" i="6"/>
  <c r="M189" i="4" s="1"/>
  <c r="S183" i="6"/>
  <c r="W192" i="4"/>
  <c r="B192" i="4" s="1"/>
  <c r="R192" i="4"/>
  <c r="AB192" i="4" s="1"/>
  <c r="H186" i="6"/>
  <c r="F185" i="6"/>
  <c r="G190" i="3"/>
  <c r="P184" i="6"/>
  <c r="J190" i="4" s="1"/>
  <c r="X184" i="6"/>
  <c r="W184" i="6"/>
  <c r="H190" i="3" s="1"/>
  <c r="O184" i="6"/>
  <c r="I190" i="4" s="1"/>
  <c r="T183" i="6"/>
  <c r="L189" i="4"/>
  <c r="U183" i="6"/>
  <c r="M183" i="6"/>
  <c r="H190" i="4"/>
  <c r="O189" i="4"/>
  <c r="J191" i="5"/>
  <c r="D191" i="5"/>
  <c r="E191" i="5"/>
  <c r="F191" i="5"/>
  <c r="K192" i="5"/>
  <c r="C191" i="5"/>
  <c r="S192" i="4"/>
  <c r="G191" i="4"/>
  <c r="N192" i="3"/>
  <c r="F191" i="4"/>
  <c r="C191" i="3"/>
  <c r="Q189" i="4"/>
  <c r="D191" i="4"/>
  <c r="E191" i="3"/>
  <c r="P189" i="4"/>
  <c r="C191" i="4"/>
  <c r="F191" i="3"/>
  <c r="D191" i="3"/>
  <c r="E190" i="4" l="1"/>
  <c r="N190" i="4" s="1"/>
  <c r="J185" i="6"/>
  <c r="L190" i="3"/>
  <c r="I191" i="5"/>
  <c r="H191" i="5"/>
  <c r="G191" i="5"/>
  <c r="I185" i="6"/>
  <c r="Y184" i="6"/>
  <c r="J190" i="3" s="1"/>
  <c r="K190" i="4"/>
  <c r="I190" i="3"/>
  <c r="Q184" i="6"/>
  <c r="V185" i="6"/>
  <c r="N185" i="6"/>
  <c r="E185" i="6"/>
  <c r="A192" i="5"/>
  <c r="A192" i="4"/>
  <c r="B193" i="5"/>
  <c r="B193" i="3"/>
  <c r="V193" i="4"/>
  <c r="X192" i="4"/>
  <c r="A192" i="3"/>
  <c r="Z184" i="6" l="1"/>
  <c r="K190" i="3" s="1"/>
  <c r="H187" i="6"/>
  <c r="R193" i="4"/>
  <c r="AB193" i="4" s="1"/>
  <c r="F186" i="6"/>
  <c r="L190" i="4"/>
  <c r="K184" i="6"/>
  <c r="T184" i="6"/>
  <c r="S184" i="6"/>
  <c r="U184" i="6"/>
  <c r="M184" i="6"/>
  <c r="P185" i="6"/>
  <c r="J191" i="4" s="1"/>
  <c r="X185" i="6"/>
  <c r="L191" i="5"/>
  <c r="H191" i="4"/>
  <c r="O185" i="6"/>
  <c r="I191" i="4" s="1"/>
  <c r="W185" i="6"/>
  <c r="H191" i="3" s="1"/>
  <c r="R184" i="6"/>
  <c r="M190" i="4" s="1"/>
  <c r="O190" i="4"/>
  <c r="L184" i="6"/>
  <c r="G191" i="3"/>
  <c r="F192" i="5"/>
  <c r="J192" i="5"/>
  <c r="C192" i="5"/>
  <c r="E192" i="5"/>
  <c r="K193" i="5"/>
  <c r="D192" i="5"/>
  <c r="U193" i="4"/>
  <c r="E192" i="3"/>
  <c r="D192" i="3"/>
  <c r="F192" i="3"/>
  <c r="S193" i="4"/>
  <c r="D192" i="4"/>
  <c r="G192" i="4"/>
  <c r="N193" i="3"/>
  <c r="C192" i="3"/>
  <c r="F192" i="4"/>
  <c r="P190" i="4"/>
  <c r="C192" i="4"/>
  <c r="Q190" i="4"/>
  <c r="W193" i="4" l="1"/>
  <c r="B193" i="4" s="1"/>
  <c r="G192" i="5"/>
  <c r="H192" i="5"/>
  <c r="I192" i="5"/>
  <c r="I186" i="6"/>
  <c r="E191" i="4"/>
  <c r="N191" i="4" s="1"/>
  <c r="L191" i="3"/>
  <c r="J186" i="6"/>
  <c r="I191" i="3"/>
  <c r="K191" i="4"/>
  <c r="Q185" i="6"/>
  <c r="U185" i="6" s="1"/>
  <c r="Y185" i="6"/>
  <c r="J191" i="3" s="1"/>
  <c r="K185" i="6"/>
  <c r="N186" i="6"/>
  <c r="V186" i="6"/>
  <c r="E186" i="6"/>
  <c r="A193" i="5"/>
  <c r="A193" i="3"/>
  <c r="V194" i="4"/>
  <c r="U194" i="4"/>
  <c r="X193" i="4"/>
  <c r="B194" i="5"/>
  <c r="B194" i="3"/>
  <c r="A193" i="4"/>
  <c r="W194" i="4" l="1"/>
  <c r="B194" i="4" s="1"/>
  <c r="R194" i="4"/>
  <c r="AB194" i="4" s="1"/>
  <c r="H188" i="6"/>
  <c r="F187" i="6"/>
  <c r="M185" i="6"/>
  <c r="L191" i="4"/>
  <c r="T185" i="6"/>
  <c r="R185" i="6"/>
  <c r="M191" i="4" s="1"/>
  <c r="Z185" i="6"/>
  <c r="K191" i="3" s="1"/>
  <c r="G192" i="3"/>
  <c r="W186" i="6"/>
  <c r="H192" i="3" s="1"/>
  <c r="O186" i="6"/>
  <c r="I192" i="4" s="1"/>
  <c r="L185" i="6"/>
  <c r="P186" i="6"/>
  <c r="J192" i="4" s="1"/>
  <c r="X186" i="6"/>
  <c r="H192" i="4"/>
  <c r="O191" i="4"/>
  <c r="L192" i="5"/>
  <c r="S185" i="6"/>
  <c r="J193" i="5"/>
  <c r="F193" i="5"/>
  <c r="D193" i="5"/>
  <c r="C193" i="5"/>
  <c r="E193" i="5"/>
  <c r="K194" i="5"/>
  <c r="P191" i="4"/>
  <c r="C193" i="4"/>
  <c r="E193" i="3"/>
  <c r="G193" i="4"/>
  <c r="F193" i="3"/>
  <c r="F193" i="4"/>
  <c r="D193" i="3"/>
  <c r="D193" i="4"/>
  <c r="S194" i="4"/>
  <c r="N194" i="3"/>
  <c r="C193" i="3"/>
  <c r="Q191" i="4"/>
  <c r="I187" i="6" l="1"/>
  <c r="L192" i="3"/>
  <c r="H193" i="5"/>
  <c r="G193" i="5"/>
  <c r="I193" i="5"/>
  <c r="J187" i="6"/>
  <c r="E192" i="4"/>
  <c r="N192" i="4" s="1"/>
  <c r="Q186" i="6"/>
  <c r="U186" i="6" s="1"/>
  <c r="Y186" i="6"/>
  <c r="J192" i="3" s="1"/>
  <c r="N187" i="6"/>
  <c r="V187" i="6"/>
  <c r="E187" i="6"/>
  <c r="K192" i="4"/>
  <c r="I192" i="3"/>
  <c r="A194" i="5"/>
  <c r="A194" i="4"/>
  <c r="B195" i="3"/>
  <c r="A194" i="3"/>
  <c r="X194" i="4"/>
  <c r="V195" i="4"/>
  <c r="B195" i="5"/>
  <c r="K186" i="6" l="1"/>
  <c r="F188" i="6"/>
  <c r="R195" i="4"/>
  <c r="AB195" i="4" s="1"/>
  <c r="H189" i="6"/>
  <c r="W187" i="6"/>
  <c r="H193" i="3" s="1"/>
  <c r="O187" i="6"/>
  <c r="I193" i="4" s="1"/>
  <c r="L192" i="4"/>
  <c r="R186" i="6"/>
  <c r="M192" i="4" s="1"/>
  <c r="M186" i="6"/>
  <c r="L193" i="5"/>
  <c r="T186" i="6"/>
  <c r="H193" i="4"/>
  <c r="Z186" i="6"/>
  <c r="K192" i="3" s="1"/>
  <c r="L186" i="6"/>
  <c r="S186" i="6"/>
  <c r="G193" i="3"/>
  <c r="O192" i="4"/>
  <c r="P187" i="6"/>
  <c r="J193" i="4" s="1"/>
  <c r="X187" i="6"/>
  <c r="J194" i="5"/>
  <c r="K195" i="5"/>
  <c r="D194" i="5"/>
  <c r="E194" i="5"/>
  <c r="C194" i="5"/>
  <c r="F194" i="5"/>
  <c r="U195" i="4"/>
  <c r="P192" i="4"/>
  <c r="C194" i="3"/>
  <c r="N195" i="3"/>
  <c r="G194" i="4"/>
  <c r="D194" i="4"/>
  <c r="F194" i="3"/>
  <c r="D194" i="3"/>
  <c r="S195" i="4"/>
  <c r="C194" i="4"/>
  <c r="E194" i="3"/>
  <c r="Q192" i="4"/>
  <c r="F194" i="4"/>
  <c r="W195" i="4" l="1"/>
  <c r="B195" i="4" s="1"/>
  <c r="J188" i="6"/>
  <c r="E193" i="4"/>
  <c r="N193" i="4" s="1"/>
  <c r="I194" i="5"/>
  <c r="H194" i="5"/>
  <c r="G194" i="5"/>
  <c r="L193" i="3"/>
  <c r="I188" i="6"/>
  <c r="K193" i="4"/>
  <c r="I193" i="3"/>
  <c r="Y187" i="6"/>
  <c r="J193" i="3" s="1"/>
  <c r="Q187" i="6"/>
  <c r="R187" i="6" s="1"/>
  <c r="M193" i="4" s="1"/>
  <c r="T187" i="6"/>
  <c r="S187" i="6"/>
  <c r="V188" i="6"/>
  <c r="N188" i="6"/>
  <c r="E188" i="6"/>
  <c r="A195" i="5"/>
  <c r="B196" i="5"/>
  <c r="X195" i="4"/>
  <c r="A195" i="3"/>
  <c r="A195" i="4"/>
  <c r="B196" i="3"/>
  <c r="V196" i="4"/>
  <c r="U196" i="4"/>
  <c r="M187" i="6" l="1"/>
  <c r="R196" i="4"/>
  <c r="AB196" i="4" s="1"/>
  <c r="W196" i="4"/>
  <c r="B196" i="4" s="1"/>
  <c r="H190" i="6"/>
  <c r="F189" i="6"/>
  <c r="H194" i="4"/>
  <c r="U187" i="6"/>
  <c r="L193" i="4"/>
  <c r="K187" i="6"/>
  <c r="L187" i="6"/>
  <c r="O193" i="4"/>
  <c r="G194" i="3"/>
  <c r="W188" i="6"/>
  <c r="H194" i="3" s="1"/>
  <c r="O188" i="6"/>
  <c r="I194" i="4" s="1"/>
  <c r="Z187" i="6"/>
  <c r="K193" i="3" s="1"/>
  <c r="P188" i="6"/>
  <c r="J194" i="4" s="1"/>
  <c r="X188" i="6"/>
  <c r="L194" i="5"/>
  <c r="D195" i="5"/>
  <c r="E195" i="5"/>
  <c r="J195" i="5"/>
  <c r="F195" i="5"/>
  <c r="C195" i="5"/>
  <c r="K196" i="5"/>
  <c r="D195" i="4"/>
  <c r="P193" i="4"/>
  <c r="N196" i="3"/>
  <c r="F195" i="3"/>
  <c r="C195" i="3"/>
  <c r="C195" i="4"/>
  <c r="Q193" i="4"/>
  <c r="F195" i="4"/>
  <c r="E195" i="3"/>
  <c r="S196" i="4"/>
  <c r="G195" i="4"/>
  <c r="D195" i="3"/>
  <c r="L194" i="3" l="1"/>
  <c r="J189" i="6"/>
  <c r="I189" i="6"/>
  <c r="I195" i="5"/>
  <c r="G195" i="5"/>
  <c r="H195" i="5"/>
  <c r="E194" i="4"/>
  <c r="I194" i="3"/>
  <c r="K194" i="4"/>
  <c r="Y188" i="6"/>
  <c r="J194" i="3" s="1"/>
  <c r="Q188" i="6"/>
  <c r="M188" i="6" s="1"/>
  <c r="S188" i="6"/>
  <c r="N189" i="6"/>
  <c r="V189" i="6"/>
  <c r="E189" i="6"/>
  <c r="A196" i="5"/>
  <c r="A196" i="4"/>
  <c r="X196" i="4"/>
  <c r="A196" i="3"/>
  <c r="B197" i="3"/>
  <c r="V197" i="4"/>
  <c r="B197" i="5"/>
  <c r="L195" i="5" l="1"/>
  <c r="Z188" i="6"/>
  <c r="K194" i="3" s="1"/>
  <c r="R197" i="4"/>
  <c r="AB197" i="4" s="1"/>
  <c r="H191" i="6"/>
  <c r="F190" i="6"/>
  <c r="U188" i="6"/>
  <c r="G195" i="3"/>
  <c r="O189" i="6"/>
  <c r="I195" i="4" s="1"/>
  <c r="W189" i="6"/>
  <c r="H195" i="3" s="1"/>
  <c r="L188" i="6"/>
  <c r="L194" i="4"/>
  <c r="K188" i="6"/>
  <c r="T188" i="6"/>
  <c r="P189" i="6"/>
  <c r="J195" i="4" s="1"/>
  <c r="X189" i="6"/>
  <c r="H195" i="4"/>
  <c r="R188" i="6"/>
  <c r="M194" i="4" s="1"/>
  <c r="O194" i="4"/>
  <c r="K197" i="5"/>
  <c r="C196" i="5"/>
  <c r="F196" i="5"/>
  <c r="J196" i="5"/>
  <c r="D196" i="5"/>
  <c r="E196" i="5"/>
  <c r="U197" i="4"/>
  <c r="D196" i="3"/>
  <c r="C196" i="4"/>
  <c r="Q194" i="4"/>
  <c r="N197" i="3"/>
  <c r="C196" i="3"/>
  <c r="F196" i="3"/>
  <c r="G196" i="4"/>
  <c r="F196" i="4"/>
  <c r="D196" i="4"/>
  <c r="S197" i="4"/>
  <c r="E196" i="3"/>
  <c r="P194" i="4"/>
  <c r="W197" i="4" l="1"/>
  <c r="B197" i="4" s="1"/>
  <c r="I196" i="5"/>
  <c r="H196" i="5"/>
  <c r="G196" i="5"/>
  <c r="L195" i="3"/>
  <c r="I190" i="6"/>
  <c r="E195" i="4"/>
  <c r="J190" i="6"/>
  <c r="Y189" i="6"/>
  <c r="J195" i="3" s="1"/>
  <c r="Q189" i="6"/>
  <c r="K189" i="6" s="1"/>
  <c r="V190" i="6"/>
  <c r="N190" i="6"/>
  <c r="E190" i="6"/>
  <c r="I195" i="3"/>
  <c r="K195" i="4"/>
  <c r="A197" i="5"/>
  <c r="V198" i="4"/>
  <c r="A197" i="3"/>
  <c r="X197" i="4"/>
  <c r="A197" i="4"/>
  <c r="B198" i="3"/>
  <c r="U198" i="4"/>
  <c r="B198" i="5"/>
  <c r="L196" i="5" l="1"/>
  <c r="Z189" i="6"/>
  <c r="K195" i="3" s="1"/>
  <c r="F191" i="6"/>
  <c r="W198" i="4"/>
  <c r="B198" i="4" s="1"/>
  <c r="R198" i="4"/>
  <c r="AB198" i="4" s="1"/>
  <c r="H192" i="6"/>
  <c r="P190" i="6"/>
  <c r="J196" i="4" s="1"/>
  <c r="X190" i="6"/>
  <c r="L195" i="4"/>
  <c r="R189" i="6"/>
  <c r="M195" i="4" s="1"/>
  <c r="U189" i="6"/>
  <c r="L189" i="6"/>
  <c r="H196" i="4"/>
  <c r="S189" i="6"/>
  <c r="N194" i="4"/>
  <c r="O195" i="4"/>
  <c r="T189" i="6"/>
  <c r="M189" i="6"/>
  <c r="O190" i="6"/>
  <c r="I196" i="4" s="1"/>
  <c r="W190" i="6"/>
  <c r="H196" i="3" s="1"/>
  <c r="G196" i="3"/>
  <c r="D197" i="5"/>
  <c r="E197" i="5"/>
  <c r="C197" i="5"/>
  <c r="J197" i="5"/>
  <c r="K198" i="5"/>
  <c r="F197" i="5"/>
  <c r="C197" i="4"/>
  <c r="C197" i="3"/>
  <c r="P195" i="4"/>
  <c r="N198" i="3"/>
  <c r="E197" i="3"/>
  <c r="F197" i="4"/>
  <c r="G197" i="4"/>
  <c r="S198" i="4"/>
  <c r="F197" i="3"/>
  <c r="D197" i="4"/>
  <c r="D197" i="3"/>
  <c r="Q195" i="4"/>
  <c r="E196" i="4" l="1"/>
  <c r="N195" i="4" s="1"/>
  <c r="L196" i="3"/>
  <c r="I191" i="6"/>
  <c r="J191" i="6"/>
  <c r="G197" i="5"/>
  <c r="H197" i="5"/>
  <c r="I197" i="5"/>
  <c r="Y190" i="6"/>
  <c r="I196" i="3"/>
  <c r="K196" i="4"/>
  <c r="Q190" i="6"/>
  <c r="L196" i="4" s="1"/>
  <c r="L190" i="6"/>
  <c r="N191" i="6"/>
  <c r="V191" i="6"/>
  <c r="E191" i="6"/>
  <c r="A198" i="5"/>
  <c r="A198" i="4"/>
  <c r="B199" i="3"/>
  <c r="B199" i="5"/>
  <c r="V199" i="4"/>
  <c r="U199" i="4"/>
  <c r="X198" i="4"/>
  <c r="A198" i="3"/>
  <c r="M190" i="6" l="1"/>
  <c r="U190" i="6"/>
  <c r="K190" i="6"/>
  <c r="R190" i="6"/>
  <c r="M196" i="4" s="1"/>
  <c r="R199" i="4"/>
  <c r="AB199" i="4" s="1"/>
  <c r="W199" i="4"/>
  <c r="B199" i="4" s="1"/>
  <c r="H193" i="6"/>
  <c r="F192" i="6"/>
  <c r="L197" i="5"/>
  <c r="G197" i="3"/>
  <c r="O191" i="6"/>
  <c r="I197" i="4" s="1"/>
  <c r="W191" i="6"/>
  <c r="H197" i="3" s="1"/>
  <c r="H197" i="4"/>
  <c r="S190" i="6"/>
  <c r="J196" i="3"/>
  <c r="Z190" i="6"/>
  <c r="K196" i="3" s="1"/>
  <c r="P191" i="6"/>
  <c r="J197" i="4" s="1"/>
  <c r="X191" i="6"/>
  <c r="T190" i="6"/>
  <c r="O196" i="4"/>
  <c r="C198" i="5"/>
  <c r="K199" i="5"/>
  <c r="E198" i="5"/>
  <c r="F198" i="5"/>
  <c r="D198" i="5"/>
  <c r="J198" i="5"/>
  <c r="F198" i="4"/>
  <c r="D198" i="4"/>
  <c r="P196" i="4"/>
  <c r="D198" i="3"/>
  <c r="E198" i="3"/>
  <c r="C198" i="4"/>
  <c r="N199" i="3"/>
  <c r="C198" i="3"/>
  <c r="F198" i="3"/>
  <c r="G198" i="4"/>
  <c r="S199" i="4"/>
  <c r="Q196" i="4"/>
  <c r="L197" i="3" l="1"/>
  <c r="G198" i="5"/>
  <c r="H198" i="5"/>
  <c r="I198" i="5"/>
  <c r="I192" i="6"/>
  <c r="J192" i="6"/>
  <c r="E197" i="4"/>
  <c r="N196" i="4" s="1"/>
  <c r="I197" i="3"/>
  <c r="K197" i="4"/>
  <c r="L191" i="6"/>
  <c r="Q191" i="6"/>
  <c r="S191" i="6" s="1"/>
  <c r="N192" i="6"/>
  <c r="V192" i="6"/>
  <c r="E192" i="6"/>
  <c r="Y191" i="6"/>
  <c r="A199" i="5"/>
  <c r="V200" i="4"/>
  <c r="A199" i="4"/>
  <c r="B200" i="5"/>
  <c r="U200" i="4"/>
  <c r="X199" i="4"/>
  <c r="A199" i="3"/>
  <c r="B200" i="3"/>
  <c r="K191" i="6" l="1"/>
  <c r="M191" i="6"/>
  <c r="F193" i="6"/>
  <c r="W200" i="4"/>
  <c r="B200" i="4" s="1"/>
  <c r="H194" i="6"/>
  <c r="R200" i="4"/>
  <c r="AB200" i="4" s="1"/>
  <c r="O197" i="4"/>
  <c r="J197" i="3"/>
  <c r="Z191" i="6"/>
  <c r="K197" i="3" s="1"/>
  <c r="H198" i="4"/>
  <c r="O192" i="6"/>
  <c r="I198" i="4" s="1"/>
  <c r="W192" i="6"/>
  <c r="H198" i="3" s="1"/>
  <c r="L197" i="4"/>
  <c r="R191" i="6"/>
  <c r="M197" i="4" s="1"/>
  <c r="P192" i="6"/>
  <c r="J198" i="4" s="1"/>
  <c r="X192" i="6"/>
  <c r="L198" i="5"/>
  <c r="G198" i="3"/>
  <c r="U191" i="6"/>
  <c r="T191" i="6"/>
  <c r="E199" i="5"/>
  <c r="K200" i="5"/>
  <c r="J199" i="5"/>
  <c r="D199" i="5"/>
  <c r="C199" i="5"/>
  <c r="F199" i="5"/>
  <c r="Q197" i="4"/>
  <c r="S200" i="4"/>
  <c r="D199" i="3"/>
  <c r="N200" i="3"/>
  <c r="F199" i="4"/>
  <c r="C199" i="3"/>
  <c r="F199" i="3"/>
  <c r="D199" i="4"/>
  <c r="P197" i="4"/>
  <c r="G199" i="4"/>
  <c r="C199" i="4"/>
  <c r="E199" i="3"/>
  <c r="J193" i="6" l="1"/>
  <c r="I193" i="6"/>
  <c r="G199" i="5"/>
  <c r="I199" i="5"/>
  <c r="H199" i="5"/>
  <c r="E198" i="4"/>
  <c r="N197" i="4" s="1"/>
  <c r="L198" i="3"/>
  <c r="I198" i="3"/>
  <c r="K198" i="4"/>
  <c r="Y192" i="6"/>
  <c r="J198" i="3" s="1"/>
  <c r="Q192" i="6"/>
  <c r="R192" i="6" s="1"/>
  <c r="M198" i="4" s="1"/>
  <c r="N193" i="6"/>
  <c r="V193" i="6"/>
  <c r="E193" i="6"/>
  <c r="A200" i="5"/>
  <c r="A200" i="4"/>
  <c r="B201" i="5"/>
  <c r="A200" i="3"/>
  <c r="X200" i="4"/>
  <c r="B201" i="3"/>
  <c r="V201" i="4"/>
  <c r="U201" i="4" s="1"/>
  <c r="L199" i="5" l="1"/>
  <c r="H195" i="6"/>
  <c r="R201" i="4"/>
  <c r="AB201" i="4" s="1"/>
  <c r="W201" i="4"/>
  <c r="B201" i="4" s="1"/>
  <c r="F194" i="6"/>
  <c r="P193" i="6"/>
  <c r="J199" i="4" s="1"/>
  <c r="X193" i="6"/>
  <c r="T192" i="6"/>
  <c r="L198" i="4"/>
  <c r="K192" i="6"/>
  <c r="S192" i="6"/>
  <c r="M192" i="6"/>
  <c r="L192" i="6"/>
  <c r="U192" i="6"/>
  <c r="G199" i="3"/>
  <c r="O198" i="4"/>
  <c r="W193" i="6"/>
  <c r="H199" i="3" s="1"/>
  <c r="O193" i="6"/>
  <c r="I199" i="4" s="1"/>
  <c r="H199" i="4"/>
  <c r="Z192" i="6"/>
  <c r="K198" i="3" s="1"/>
  <c r="F200" i="5"/>
  <c r="J200" i="5"/>
  <c r="D200" i="5"/>
  <c r="E200" i="5"/>
  <c r="C200" i="5"/>
  <c r="K201" i="5"/>
  <c r="E200" i="3"/>
  <c r="Q198" i="4"/>
  <c r="D200" i="3"/>
  <c r="S201" i="4"/>
  <c r="D200" i="4"/>
  <c r="F200" i="3"/>
  <c r="F200" i="4"/>
  <c r="C200" i="4"/>
  <c r="P198" i="4"/>
  <c r="C200" i="3"/>
  <c r="G200" i="4"/>
  <c r="N201" i="3"/>
  <c r="Q193" i="6" l="1"/>
  <c r="R193" i="6" s="1"/>
  <c r="M199" i="4" s="1"/>
  <c r="I194" i="6"/>
  <c r="G200" i="5"/>
  <c r="I200" i="5"/>
  <c r="H200" i="5"/>
  <c r="J194" i="6"/>
  <c r="L199" i="3"/>
  <c r="E199" i="4"/>
  <c r="N198" i="4" s="1"/>
  <c r="I199" i="3"/>
  <c r="K199" i="4"/>
  <c r="Y193" i="6"/>
  <c r="S193" i="6"/>
  <c r="V194" i="6"/>
  <c r="N194" i="6"/>
  <c r="E194" i="6"/>
  <c r="A201" i="5"/>
  <c r="B202" i="3"/>
  <c r="A201" i="3"/>
  <c r="B202" i="5"/>
  <c r="X201" i="4"/>
  <c r="A201" i="4"/>
  <c r="V202" i="4"/>
  <c r="K193" i="6" l="1"/>
  <c r="U193" i="6"/>
  <c r="T193" i="6"/>
  <c r="N199" i="4"/>
  <c r="L199" i="4"/>
  <c r="L193" i="6"/>
  <c r="M193" i="6"/>
  <c r="H196" i="6"/>
  <c r="R202" i="4"/>
  <c r="AB202" i="4" s="1"/>
  <c r="F195" i="6"/>
  <c r="L200" i="5"/>
  <c r="O194" i="6"/>
  <c r="I200" i="4" s="1"/>
  <c r="W194" i="6"/>
  <c r="H200" i="3" s="1"/>
  <c r="G200" i="3"/>
  <c r="J199" i="3"/>
  <c r="Z193" i="6"/>
  <c r="K199" i="3" s="1"/>
  <c r="H200" i="4"/>
  <c r="O199" i="4"/>
  <c r="P194" i="6"/>
  <c r="J200" i="4" s="1"/>
  <c r="X194" i="6"/>
  <c r="K202" i="5"/>
  <c r="J201" i="5"/>
  <c r="D201" i="5"/>
  <c r="E201" i="5"/>
  <c r="C201" i="5"/>
  <c r="F201" i="5"/>
  <c r="U202" i="4"/>
  <c r="F201" i="4"/>
  <c r="F201" i="3"/>
  <c r="D201" i="3"/>
  <c r="G201" i="4"/>
  <c r="N202" i="3"/>
  <c r="Q199" i="4"/>
  <c r="S202" i="4"/>
  <c r="C201" i="4"/>
  <c r="E201" i="3"/>
  <c r="C201" i="3"/>
  <c r="D201" i="4"/>
  <c r="P199" i="4"/>
  <c r="W202" i="4" l="1"/>
  <c r="B202" i="4" s="1"/>
  <c r="G201" i="5"/>
  <c r="H201" i="5"/>
  <c r="I201" i="5"/>
  <c r="E200" i="4"/>
  <c r="J195" i="6"/>
  <c r="L200" i="3"/>
  <c r="I195" i="6"/>
  <c r="Q194" i="6"/>
  <c r="M194" i="6" s="1"/>
  <c r="Y194" i="6"/>
  <c r="J200" i="3" s="1"/>
  <c r="V195" i="6"/>
  <c r="N195" i="6"/>
  <c r="E195" i="6"/>
  <c r="I200" i="3"/>
  <c r="K200" i="4"/>
  <c r="A202" i="5"/>
  <c r="A202" i="4"/>
  <c r="X202" i="4"/>
  <c r="A202" i="3"/>
  <c r="V203" i="4"/>
  <c r="U203" i="4" s="1"/>
  <c r="B203" i="5"/>
  <c r="B203" i="3"/>
  <c r="K194" i="6" l="1"/>
  <c r="U194" i="6"/>
  <c r="S194" i="6"/>
  <c r="L194" i="6"/>
  <c r="L201" i="5"/>
  <c r="F196" i="6"/>
  <c r="W203" i="4"/>
  <c r="B203" i="4" s="1"/>
  <c r="H197" i="6"/>
  <c r="R203" i="4"/>
  <c r="AB203" i="4" s="1"/>
  <c r="W195" i="6"/>
  <c r="H201" i="3" s="1"/>
  <c r="O195" i="6"/>
  <c r="I201" i="4" s="1"/>
  <c r="G201" i="3"/>
  <c r="L200" i="4"/>
  <c r="R194" i="6"/>
  <c r="M200" i="4" s="1"/>
  <c r="T194" i="6"/>
  <c r="O200" i="4"/>
  <c r="H201" i="4"/>
  <c r="Z194" i="6"/>
  <c r="K200" i="3" s="1"/>
  <c r="P195" i="6"/>
  <c r="J201" i="4" s="1"/>
  <c r="X195" i="6"/>
  <c r="F202" i="5"/>
  <c r="D202" i="5"/>
  <c r="E202" i="5"/>
  <c r="K203" i="5"/>
  <c r="J202" i="5"/>
  <c r="C202" i="5"/>
  <c r="S203" i="4"/>
  <c r="F202" i="3"/>
  <c r="P200" i="4"/>
  <c r="Q200" i="4"/>
  <c r="G202" i="4"/>
  <c r="F202" i="4"/>
  <c r="C202" i="3"/>
  <c r="N203" i="3"/>
  <c r="D202" i="3"/>
  <c r="E202" i="3"/>
  <c r="D202" i="4"/>
  <c r="C202" i="4"/>
  <c r="I196" i="6" l="1"/>
  <c r="J196" i="6"/>
  <c r="L201" i="3"/>
  <c r="E201" i="4"/>
  <c r="N200" i="4" s="1"/>
  <c r="I202" i="5"/>
  <c r="G202" i="5"/>
  <c r="H202" i="5"/>
  <c r="I201" i="3"/>
  <c r="K201" i="4"/>
  <c r="Y195" i="6"/>
  <c r="J201" i="3" s="1"/>
  <c r="Q195" i="6"/>
  <c r="L195" i="6" s="1"/>
  <c r="S195" i="6"/>
  <c r="N196" i="6"/>
  <c r="V196" i="6"/>
  <c r="E196" i="6"/>
  <c r="A203" i="5"/>
  <c r="B204" i="3"/>
  <c r="B204" i="5"/>
  <c r="V204" i="4"/>
  <c r="X203" i="4"/>
  <c r="A203" i="4"/>
  <c r="A203" i="3"/>
  <c r="U195" i="6" l="1"/>
  <c r="T195" i="6"/>
  <c r="K195" i="6"/>
  <c r="L202" i="5"/>
  <c r="R204" i="4"/>
  <c r="AB204" i="4" s="1"/>
  <c r="H198" i="6"/>
  <c r="F197" i="6"/>
  <c r="P196" i="6"/>
  <c r="J202" i="4" s="1"/>
  <c r="X196" i="6"/>
  <c r="G202" i="3"/>
  <c r="O201" i="4"/>
  <c r="O196" i="6"/>
  <c r="I202" i="4" s="1"/>
  <c r="W196" i="6"/>
  <c r="H202" i="3" s="1"/>
  <c r="Z195" i="6"/>
  <c r="K201" i="3" s="1"/>
  <c r="H202" i="4"/>
  <c r="M195" i="6"/>
  <c r="L201" i="4"/>
  <c r="R195" i="6"/>
  <c r="M201" i="4" s="1"/>
  <c r="J203" i="5"/>
  <c r="K204" i="5"/>
  <c r="D203" i="5"/>
  <c r="E203" i="5"/>
  <c r="C203" i="5"/>
  <c r="F203" i="5"/>
  <c r="U204" i="4"/>
  <c r="S204" i="4"/>
  <c r="D203" i="4"/>
  <c r="F203" i="4"/>
  <c r="N204" i="3"/>
  <c r="P201" i="4"/>
  <c r="E203" i="3"/>
  <c r="C203" i="4"/>
  <c r="F203" i="3"/>
  <c r="Q201" i="4"/>
  <c r="G203" i="4"/>
  <c r="D203" i="3"/>
  <c r="C203" i="3"/>
  <c r="W204" i="4" l="1"/>
  <c r="B204" i="4" s="1"/>
  <c r="Q196" i="6"/>
  <c r="U196" i="6" s="1"/>
  <c r="J197" i="6"/>
  <c r="L202" i="3"/>
  <c r="I197" i="6"/>
  <c r="E202" i="4"/>
  <c r="N201" i="4" s="1"/>
  <c r="I203" i="5"/>
  <c r="H203" i="5"/>
  <c r="G203" i="5"/>
  <c r="R196" i="6"/>
  <c r="M202" i="4" s="1"/>
  <c r="Y196" i="6"/>
  <c r="J202" i="3" s="1"/>
  <c r="K202" i="4"/>
  <c r="I202" i="3"/>
  <c r="L196" i="6"/>
  <c r="S196" i="6"/>
  <c r="K196" i="6"/>
  <c r="V197" i="6"/>
  <c r="N197" i="6"/>
  <c r="E197" i="6"/>
  <c r="A204" i="5"/>
  <c r="B205" i="3"/>
  <c r="X204" i="4"/>
  <c r="A204" i="4"/>
  <c r="B205" i="5"/>
  <c r="V205" i="4"/>
  <c r="U205" i="4" s="1"/>
  <c r="A204" i="3"/>
  <c r="L203" i="5" l="1"/>
  <c r="T196" i="6"/>
  <c r="L202" i="4"/>
  <c r="M196" i="6"/>
  <c r="F198" i="6"/>
  <c r="R205" i="4"/>
  <c r="AB205" i="4" s="1"/>
  <c r="H199" i="6"/>
  <c r="W205" i="4"/>
  <c r="B205" i="4" s="1"/>
  <c r="W197" i="6"/>
  <c r="H203" i="3" s="1"/>
  <c r="O197" i="6"/>
  <c r="I203" i="4" s="1"/>
  <c r="P197" i="6"/>
  <c r="J203" i="4" s="1"/>
  <c r="X197" i="6"/>
  <c r="H203" i="4"/>
  <c r="G203" i="3"/>
  <c r="Z196" i="6"/>
  <c r="K202" i="3" s="1"/>
  <c r="O202" i="4"/>
  <c r="K205" i="5"/>
  <c r="F204" i="5"/>
  <c r="E204" i="5"/>
  <c r="J204" i="5"/>
  <c r="D204" i="5"/>
  <c r="C204" i="5"/>
  <c r="F204" i="3"/>
  <c r="N205" i="3"/>
  <c r="C204" i="3"/>
  <c r="Q202" i="4"/>
  <c r="C204" i="4"/>
  <c r="S205" i="4"/>
  <c r="F204" i="4"/>
  <c r="D204" i="3"/>
  <c r="G204" i="4"/>
  <c r="D204" i="4"/>
  <c r="P202" i="4"/>
  <c r="E204" i="3"/>
  <c r="J198" i="6" l="1"/>
  <c r="I204" i="5"/>
  <c r="H204" i="5"/>
  <c r="G204" i="5"/>
  <c r="I198" i="6"/>
  <c r="L203" i="3"/>
  <c r="E203" i="4"/>
  <c r="N202" i="4" s="1"/>
  <c r="I203" i="3"/>
  <c r="K203" i="4"/>
  <c r="Q197" i="6"/>
  <c r="S197" i="6" s="1"/>
  <c r="K197" i="6"/>
  <c r="Y197" i="6"/>
  <c r="J203" i="3" s="1"/>
  <c r="L197" i="6"/>
  <c r="N198" i="6"/>
  <c r="V198" i="6"/>
  <c r="E198" i="6"/>
  <c r="A205" i="5"/>
  <c r="A205" i="3"/>
  <c r="X205" i="4"/>
  <c r="B206" i="5"/>
  <c r="B206" i="3"/>
  <c r="V206" i="4"/>
  <c r="A205" i="4"/>
  <c r="U206" i="4"/>
  <c r="M197" i="6" l="1"/>
  <c r="L204" i="5"/>
  <c r="Z197" i="6"/>
  <c r="K203" i="3" s="1"/>
  <c r="R206" i="4"/>
  <c r="AB206" i="4" s="1"/>
  <c r="H200" i="6"/>
  <c r="W206" i="4"/>
  <c r="B206" i="4" s="1"/>
  <c r="F199" i="6"/>
  <c r="H204" i="4"/>
  <c r="P198" i="6"/>
  <c r="J204" i="4" s="1"/>
  <c r="X198" i="6"/>
  <c r="G204" i="3"/>
  <c r="L203" i="4"/>
  <c r="R197" i="6"/>
  <c r="M203" i="4" s="1"/>
  <c r="U197" i="6"/>
  <c r="T197" i="6"/>
  <c r="O203" i="4"/>
  <c r="O198" i="6"/>
  <c r="I204" i="4" s="1"/>
  <c r="W198" i="6"/>
  <c r="H204" i="3" s="1"/>
  <c r="K206" i="5"/>
  <c r="E205" i="5"/>
  <c r="J205" i="5"/>
  <c r="D205" i="5"/>
  <c r="F205" i="5"/>
  <c r="C205" i="5"/>
  <c r="E205" i="3"/>
  <c r="C205" i="3"/>
  <c r="P203" i="4"/>
  <c r="G205" i="4"/>
  <c r="N206" i="3"/>
  <c r="Q203" i="4"/>
  <c r="D205" i="3"/>
  <c r="S206" i="4"/>
  <c r="C205" i="4"/>
  <c r="D205" i="4"/>
  <c r="F205" i="4"/>
  <c r="F205" i="3"/>
  <c r="Q198" i="6" l="1"/>
  <c r="L198" i="6" s="1"/>
  <c r="J199" i="6"/>
  <c r="L204" i="3"/>
  <c r="I199" i="6"/>
  <c r="I205" i="5"/>
  <c r="G205" i="5"/>
  <c r="H205" i="5"/>
  <c r="E204" i="4"/>
  <c r="N203" i="4" s="1"/>
  <c r="L204" i="4"/>
  <c r="V199" i="6"/>
  <c r="N199" i="6"/>
  <c r="E199" i="6"/>
  <c r="K204" i="4"/>
  <c r="I204" i="3"/>
  <c r="U198" i="6"/>
  <c r="K198" i="6"/>
  <c r="Y198" i="6"/>
  <c r="M198" i="6"/>
  <c r="S198" i="6"/>
  <c r="A206" i="5"/>
  <c r="B207" i="3"/>
  <c r="X206" i="4"/>
  <c r="A206" i="3"/>
  <c r="A206" i="4"/>
  <c r="B207" i="5"/>
  <c r="V207" i="4"/>
  <c r="L205" i="5" l="1"/>
  <c r="T198" i="6"/>
  <c r="R198" i="6"/>
  <c r="M204" i="4" s="1"/>
  <c r="F200" i="6"/>
  <c r="R207" i="4"/>
  <c r="AB207" i="4" s="1"/>
  <c r="H201" i="6"/>
  <c r="O204" i="4"/>
  <c r="H205" i="4"/>
  <c r="J204" i="3"/>
  <c r="Z198" i="6"/>
  <c r="K204" i="3" s="1"/>
  <c r="G205" i="3"/>
  <c r="W199" i="6"/>
  <c r="H205" i="3" s="1"/>
  <c r="O199" i="6"/>
  <c r="I205" i="4" s="1"/>
  <c r="P199" i="6"/>
  <c r="J205" i="4" s="1"/>
  <c r="X199" i="6"/>
  <c r="K207" i="5"/>
  <c r="F206" i="5"/>
  <c r="C206" i="5"/>
  <c r="D206" i="5"/>
  <c r="E206" i="5"/>
  <c r="J206" i="5"/>
  <c r="U207" i="4"/>
  <c r="D206" i="4"/>
  <c r="G206" i="4"/>
  <c r="F206" i="3"/>
  <c r="N207" i="3"/>
  <c r="E206" i="3"/>
  <c r="S207" i="4"/>
  <c r="C206" i="4"/>
  <c r="C206" i="3"/>
  <c r="P204" i="4"/>
  <c r="F206" i="4"/>
  <c r="Q204" i="4"/>
  <c r="D206" i="3"/>
  <c r="W207" i="4" l="1"/>
  <c r="B207" i="4" s="1"/>
  <c r="L205" i="3"/>
  <c r="I200" i="6"/>
  <c r="E205" i="4"/>
  <c r="N204" i="4" s="1"/>
  <c r="G206" i="5"/>
  <c r="I206" i="5"/>
  <c r="H206" i="5"/>
  <c r="J200" i="6"/>
  <c r="I205" i="3"/>
  <c r="K205" i="4"/>
  <c r="V200" i="6"/>
  <c r="N200" i="6"/>
  <c r="E200" i="6"/>
  <c r="Q199" i="6"/>
  <c r="L199" i="6" s="1"/>
  <c r="Y199" i="6"/>
  <c r="J205" i="3" s="1"/>
  <c r="A207" i="5"/>
  <c r="B208" i="5"/>
  <c r="X207" i="4"/>
  <c r="A207" i="4"/>
  <c r="V208" i="4"/>
  <c r="A207" i="3"/>
  <c r="U208" i="4"/>
  <c r="B208" i="3"/>
  <c r="L206" i="5" l="1"/>
  <c r="R199" i="6"/>
  <c r="M205" i="4" s="1"/>
  <c r="T199" i="6"/>
  <c r="U199" i="6"/>
  <c r="K199" i="6"/>
  <c r="M199" i="6"/>
  <c r="F201" i="6"/>
  <c r="H202" i="6"/>
  <c r="R208" i="4"/>
  <c r="AB208" i="4" s="1"/>
  <c r="W208" i="4"/>
  <c r="B208" i="4" s="1"/>
  <c r="P200" i="6"/>
  <c r="J206" i="4" s="1"/>
  <c r="X200" i="6"/>
  <c r="H206" i="4"/>
  <c r="O200" i="6"/>
  <c r="I206" i="4" s="1"/>
  <c r="W200" i="6"/>
  <c r="H206" i="3" s="1"/>
  <c r="N205" i="4"/>
  <c r="O205" i="4"/>
  <c r="Z199" i="6"/>
  <c r="K205" i="3" s="1"/>
  <c r="S199" i="6"/>
  <c r="L205" i="4"/>
  <c r="G206" i="3"/>
  <c r="E207" i="5"/>
  <c r="F207" i="5"/>
  <c r="D207" i="5"/>
  <c r="C207" i="5"/>
  <c r="J207" i="5"/>
  <c r="K208" i="5"/>
  <c r="D207" i="4"/>
  <c r="N208" i="3"/>
  <c r="Q205" i="4"/>
  <c r="P205" i="4"/>
  <c r="G207" i="4"/>
  <c r="C207" i="3"/>
  <c r="S208" i="4"/>
  <c r="F207" i="4"/>
  <c r="C207" i="4"/>
  <c r="F207" i="3"/>
  <c r="E207" i="3"/>
  <c r="D207" i="3"/>
  <c r="J201" i="6" l="1"/>
  <c r="I207" i="5"/>
  <c r="G207" i="5"/>
  <c r="H207" i="5"/>
  <c r="E206" i="4"/>
  <c r="I201" i="6"/>
  <c r="L206" i="3"/>
  <c r="Y200" i="6"/>
  <c r="J206" i="3" s="1"/>
  <c r="Q200" i="6"/>
  <c r="S200" i="6" s="1"/>
  <c r="V201" i="6"/>
  <c r="N201" i="6"/>
  <c r="E201" i="6"/>
  <c r="K206" i="4"/>
  <c r="I206" i="3"/>
  <c r="A208" i="5"/>
  <c r="B209" i="3"/>
  <c r="V209" i="4"/>
  <c r="B209" i="5"/>
  <c r="X208" i="4"/>
  <c r="A208" i="4"/>
  <c r="U209" i="4"/>
  <c r="A208" i="3"/>
  <c r="L207" i="5" l="1"/>
  <c r="H203" i="6"/>
  <c r="W209" i="4"/>
  <c r="B209" i="4" s="1"/>
  <c r="R209" i="4"/>
  <c r="AB209" i="4" s="1"/>
  <c r="F202" i="6"/>
  <c r="K200" i="6"/>
  <c r="O206" i="4"/>
  <c r="N206" i="4"/>
  <c r="M200" i="6"/>
  <c r="Z200" i="6"/>
  <c r="K206" i="3" s="1"/>
  <c r="P201" i="6"/>
  <c r="J207" i="4" s="1"/>
  <c r="X201" i="6"/>
  <c r="H207" i="4"/>
  <c r="T200" i="6"/>
  <c r="L206" i="4"/>
  <c r="R200" i="6"/>
  <c r="M206" i="4" s="1"/>
  <c r="U200" i="6"/>
  <c r="L200" i="6"/>
  <c r="O201" i="6"/>
  <c r="I207" i="4" s="1"/>
  <c r="W201" i="6"/>
  <c r="H207" i="3" s="1"/>
  <c r="G207" i="3"/>
  <c r="K209" i="5"/>
  <c r="E208" i="5"/>
  <c r="C208" i="5"/>
  <c r="D208" i="5"/>
  <c r="F208" i="5"/>
  <c r="J208" i="5"/>
  <c r="F208" i="3"/>
  <c r="E208" i="3"/>
  <c r="S209" i="4"/>
  <c r="C208" i="4"/>
  <c r="Q206" i="4"/>
  <c r="F208" i="4"/>
  <c r="C208" i="3"/>
  <c r="N209" i="3"/>
  <c r="D208" i="3"/>
  <c r="G208" i="4"/>
  <c r="D208" i="4"/>
  <c r="P206" i="4"/>
  <c r="E207" i="4" l="1"/>
  <c r="N207" i="4" s="1"/>
  <c r="G208" i="5"/>
  <c r="I208" i="5"/>
  <c r="H208" i="5"/>
  <c r="J202" i="6"/>
  <c r="L207" i="3"/>
  <c r="I202" i="6"/>
  <c r="Y201" i="6"/>
  <c r="J207" i="3" s="1"/>
  <c r="Q201" i="6"/>
  <c r="R201" i="6" s="1"/>
  <c r="M207" i="4" s="1"/>
  <c r="V202" i="6"/>
  <c r="N202" i="6"/>
  <c r="E202" i="6"/>
  <c r="K207" i="4"/>
  <c r="I207" i="3"/>
  <c r="L201" i="6"/>
  <c r="K201" i="6"/>
  <c r="A209" i="5"/>
  <c r="A209" i="3"/>
  <c r="X209" i="4"/>
  <c r="A209" i="4"/>
  <c r="B210" i="3"/>
  <c r="B210" i="5"/>
  <c r="V210" i="4"/>
  <c r="S201" i="6" l="1"/>
  <c r="L208" i="5"/>
  <c r="Z201" i="6"/>
  <c r="K207" i="3" s="1"/>
  <c r="R210" i="4"/>
  <c r="AB210" i="4" s="1"/>
  <c r="H204" i="6"/>
  <c r="F203" i="6"/>
  <c r="G208" i="3"/>
  <c r="O202" i="6"/>
  <c r="I208" i="4" s="1"/>
  <c r="W202" i="6"/>
  <c r="H208" i="3" s="1"/>
  <c r="L207" i="4"/>
  <c r="M201" i="6"/>
  <c r="O207" i="4"/>
  <c r="U201" i="6"/>
  <c r="T201" i="6"/>
  <c r="H208" i="4"/>
  <c r="P202" i="6"/>
  <c r="J208" i="4" s="1"/>
  <c r="X202" i="6"/>
  <c r="K210" i="5"/>
  <c r="E209" i="5"/>
  <c r="C209" i="5"/>
  <c r="J209" i="5"/>
  <c r="D209" i="5"/>
  <c r="F209" i="5"/>
  <c r="U210" i="4"/>
  <c r="S210" i="4"/>
  <c r="F209" i="3"/>
  <c r="D209" i="4"/>
  <c r="N210" i="3"/>
  <c r="Q207" i="4"/>
  <c r="F209" i="4"/>
  <c r="D209" i="3"/>
  <c r="C209" i="4"/>
  <c r="P207" i="4"/>
  <c r="E209" i="3"/>
  <c r="C209" i="3"/>
  <c r="G209" i="4"/>
  <c r="W210" i="4" l="1"/>
  <c r="B210" i="4" s="1"/>
  <c r="I203" i="6"/>
  <c r="I209" i="5"/>
  <c r="H209" i="5"/>
  <c r="G209" i="5"/>
  <c r="J203" i="6"/>
  <c r="L208" i="3"/>
  <c r="E208" i="4"/>
  <c r="K208" i="4"/>
  <c r="I208" i="3"/>
  <c r="Q202" i="6"/>
  <c r="Y202" i="6"/>
  <c r="J208" i="3" s="1"/>
  <c r="U202" i="6"/>
  <c r="K202" i="6"/>
  <c r="N203" i="6"/>
  <c r="H209" i="4" s="1"/>
  <c r="V203" i="6"/>
  <c r="E203" i="6"/>
  <c r="A210" i="5"/>
  <c r="X210" i="4"/>
  <c r="A210" i="4"/>
  <c r="A210" i="3"/>
  <c r="Z202" i="6" l="1"/>
  <c r="K208" i="3" s="1"/>
  <c r="L209" i="5"/>
  <c r="F204" i="6"/>
  <c r="N208" i="4"/>
  <c r="O208" i="4"/>
  <c r="G209" i="3"/>
  <c r="O203" i="6"/>
  <c r="I209" i="4" s="1"/>
  <c r="W203" i="6"/>
  <c r="H209" i="3" s="1"/>
  <c r="T202" i="6"/>
  <c r="L208" i="4"/>
  <c r="R202" i="6"/>
  <c r="M208" i="4" s="1"/>
  <c r="S202" i="6"/>
  <c r="M202" i="6"/>
  <c r="L202" i="6"/>
  <c r="P203" i="6"/>
  <c r="J209" i="4" s="1"/>
  <c r="X203" i="6"/>
  <c r="J210" i="5"/>
  <c r="C210" i="5"/>
  <c r="E210" i="5"/>
  <c r="D210" i="5"/>
  <c r="F210" i="5"/>
  <c r="E210" i="4"/>
  <c r="P208" i="4"/>
  <c r="D210" i="3"/>
  <c r="G210" i="4"/>
  <c r="E210" i="3"/>
  <c r="D210" i="4"/>
  <c r="Q208" i="4"/>
  <c r="F210" i="3"/>
  <c r="C210" i="4"/>
  <c r="F210" i="4"/>
  <c r="C210" i="3"/>
  <c r="Y203" i="6" l="1"/>
  <c r="J209" i="3" s="1"/>
  <c r="I204" i="6"/>
  <c r="C8" i="3" a="1"/>
  <c r="C8" i="3" s="1"/>
  <c r="E209" i="4"/>
  <c r="N209" i="4" s="1"/>
  <c r="L209" i="3"/>
  <c r="L210" i="3"/>
  <c r="C8" i="5" a="1"/>
  <c r="C8" i="5" s="1"/>
  <c r="G210" i="5"/>
  <c r="H210" i="5"/>
  <c r="I210" i="5"/>
  <c r="N210" i="4"/>
  <c r="C8" i="4" a="1"/>
  <c r="C8" i="4" s="1"/>
  <c r="J204" i="6"/>
  <c r="O210" i="4"/>
  <c r="Q203" i="6"/>
  <c r="S203" i="6" s="1"/>
  <c r="Z203" i="6"/>
  <c r="K209" i="3" s="1"/>
  <c r="K209" i="4"/>
  <c r="I209" i="3"/>
  <c r="V204" i="6"/>
  <c r="N204" i="6"/>
  <c r="E204" i="6"/>
  <c r="Q210" i="4"/>
  <c r="P210" i="4"/>
  <c r="U203" i="6" l="1"/>
  <c r="L210" i="5"/>
  <c r="O209" i="4"/>
  <c r="G210" i="3"/>
  <c r="O204" i="6"/>
  <c r="I210" i="4" s="1"/>
  <c r="W204" i="6"/>
  <c r="H210" i="3" s="1"/>
  <c r="R203" i="6"/>
  <c r="M209" i="4" s="1"/>
  <c r="L209" i="4"/>
  <c r="L203" i="6"/>
  <c r="M203" i="6"/>
  <c r="T203" i="6"/>
  <c r="H210" i="4"/>
  <c r="K203" i="6"/>
  <c r="P204" i="6"/>
  <c r="J210" i="4" s="1"/>
  <c r="X204" i="6"/>
  <c r="P209" i="4"/>
  <c r="Q209" i="4"/>
  <c r="K210" i="4" l="1"/>
  <c r="I210" i="3"/>
  <c r="Y204" i="6"/>
  <c r="J210" i="3" s="1"/>
  <c r="Q204" i="6"/>
  <c r="S204" i="6" s="1"/>
  <c r="R204" i="6" l="1"/>
  <c r="M210" i="4" s="1"/>
  <c r="M204" i="6"/>
  <c r="L210" i="4"/>
  <c r="L204" i="6"/>
  <c r="U204" i="6"/>
  <c r="K204" i="6"/>
  <c r="T204" i="6"/>
  <c r="Z204" i="6"/>
  <c r="K210" i="3" s="1"/>
</calcChain>
</file>

<file path=xl/sharedStrings.xml><?xml version="1.0" encoding="utf-8"?>
<sst xmlns="http://schemas.openxmlformats.org/spreadsheetml/2006/main" count="4179" uniqueCount="275">
  <si>
    <t>Service</t>
  </si>
  <si>
    <t>Read Date</t>
  </si>
  <si>
    <t>Read Type</t>
  </si>
  <si>
    <t>Read Status</t>
  </si>
  <si>
    <t>Previous</t>
  </si>
  <si>
    <t>Current</t>
  </si>
  <si>
    <t>Days</t>
  </si>
  <si>
    <t>Billed Usage</t>
  </si>
  <si>
    <t>Pending</t>
  </si>
  <si>
    <t>Info</t>
  </si>
  <si>
    <t>Average</t>
  </si>
  <si>
    <t>Avg Heat Degree Day</t>
  </si>
  <si>
    <t>Avg Cool Degree Day</t>
  </si>
  <si>
    <t>Meter Usage</t>
  </si>
  <si>
    <t>Units</t>
  </si>
  <si>
    <t>LF</t>
  </si>
  <si>
    <t>PF</t>
  </si>
  <si>
    <t>Cancel</t>
  </si>
  <si>
    <t>Bill Number</t>
  </si>
  <si>
    <t>Allocation</t>
  </si>
  <si>
    <t>Factor</t>
  </si>
  <si>
    <t>Actual Read</t>
  </si>
  <si>
    <t>Mailing Address:</t>
  </si>
  <si>
    <t>Demand</t>
  </si>
  <si>
    <t xml:space="preserve">TURN ON DATE:  </t>
  </si>
  <si>
    <t xml:space="preserve">Meter #:  </t>
  </si>
  <si>
    <t>1st row of Electric</t>
  </si>
  <si>
    <t>1st row of Demand</t>
  </si>
  <si>
    <t xml:space="preserve">Usage </t>
  </si>
  <si>
    <t xml:space="preserve">MULTIPLIER:  </t>
  </si>
  <si>
    <t xml:space="preserve">WATER RATE:  </t>
  </si>
  <si>
    <t xml:space="preserve">ELECTRIC RATE:  </t>
  </si>
  <si>
    <t xml:space="preserve">Units </t>
  </si>
  <si>
    <t xml:space="preserve">Days </t>
  </si>
  <si>
    <t xml:space="preserve">C01 - Inside City Water Service -5/8 inch     </t>
  </si>
  <si>
    <t>1st row of Water</t>
  </si>
  <si>
    <t>DATE</t>
  </si>
  <si>
    <t>ASSUMPTIONS</t>
  </si>
  <si>
    <t>Base kWh</t>
  </si>
  <si>
    <t>Base kW</t>
  </si>
  <si>
    <t xml:space="preserve">      - (previous 12 months)</t>
  </si>
  <si>
    <t xml:space="preserve">CONS  </t>
  </si>
  <si>
    <t xml:space="preserve">DEM  </t>
  </si>
  <si>
    <t xml:space="preserve">Rate 40  </t>
  </si>
  <si>
    <t xml:space="preserve">Rate 42  </t>
  </si>
  <si>
    <t xml:space="preserve">Rate 46  </t>
  </si>
  <si>
    <t xml:space="preserve">Rate 44  </t>
  </si>
  <si>
    <t>size</t>
  </si>
  <si>
    <t>1st row of Sewer</t>
  </si>
  <si>
    <t>Water Bill</t>
  </si>
  <si>
    <t>RATES</t>
  </si>
  <si>
    <t xml:space="preserve">C07 - Inside City Water Service - 3 inch    </t>
  </si>
  <si>
    <t xml:space="preserve">C02 - Inside City Water Service -3/4 inch     </t>
  </si>
  <si>
    <t xml:space="preserve">C06 - Inside City Water Service - 2 inch     </t>
  </si>
  <si>
    <t xml:space="preserve">C04 - Inside City Water Service - 1 1/4 inch     </t>
  </si>
  <si>
    <t xml:space="preserve">C03 - Inside City Water Service - 1 inch     </t>
  </si>
  <si>
    <t xml:space="preserve">C05 - Inside City Water Service - 1 1/2 inch  </t>
  </si>
  <si>
    <t xml:space="preserve">O01 - Outside City Water Service -5/8 inch     </t>
  </si>
  <si>
    <t xml:space="preserve">O02 - Outside City Water Service -3/4 inch     </t>
  </si>
  <si>
    <t xml:space="preserve">O03 - Outside City Water Service - 1 inch     </t>
  </si>
  <si>
    <t xml:space="preserve">O04 - Outside City Water Service - 1 1/4 inch     </t>
  </si>
  <si>
    <t xml:space="preserve">O05 - Outside City Water Service - 1 1/2 inch  </t>
  </si>
  <si>
    <t xml:space="preserve">O06 - Outside City Water Service - 2 inch     </t>
  </si>
  <si>
    <t xml:space="preserve">O07 - Outside City Water Service - 3 inch    </t>
  </si>
  <si>
    <t xml:space="preserve">C08 - Inside City Water Service - 4 inch    </t>
  </si>
  <si>
    <t xml:space="preserve">C09 - Inside City Water Service - 6 inch    </t>
  </si>
  <si>
    <t xml:space="preserve">O08 - Outside City Water Service - 4 inch    </t>
  </si>
  <si>
    <t xml:space="preserve">O09 - Outside City Water Service - 6 inch    </t>
  </si>
  <si>
    <t>last row of Electric</t>
  </si>
  <si>
    <t>last row of Water</t>
  </si>
  <si>
    <t xml:space="preserve">Summer </t>
  </si>
  <si>
    <t>Load Factor column</t>
  </si>
  <si>
    <t xml:space="preserve">Factor </t>
  </si>
  <si>
    <t xml:space="preserve">C10 - Inside City Water Service - 8 inch    </t>
  </si>
  <si>
    <t xml:space="preserve">O10 - Outside City Water Service - 8 inch    </t>
  </si>
  <si>
    <t>Estimate Read</t>
  </si>
  <si>
    <t>Meter #</t>
  </si>
  <si>
    <t xml:space="preserve">Sewer </t>
  </si>
  <si>
    <t>monthly average</t>
  </si>
  <si>
    <t xml:space="preserve">kWh </t>
  </si>
  <si>
    <t xml:space="preserve">Reading </t>
  </si>
  <si>
    <t xml:space="preserve">Meter </t>
  </si>
  <si>
    <t xml:space="preserve">Actual kW </t>
  </si>
  <si>
    <t xml:space="preserve">Demand </t>
  </si>
  <si>
    <t xml:space="preserve">Units* </t>
  </si>
  <si>
    <t xml:space="preserve">Water  </t>
  </si>
  <si>
    <t>Month</t>
  </si>
  <si>
    <t>FAF ($/kWh)</t>
  </si>
  <si>
    <t>AVG ($/kWh)</t>
  </si>
  <si>
    <t>12 Month Running Average</t>
  </si>
  <si>
    <t xml:space="preserve"> $/kWh</t>
  </si>
  <si>
    <t>Cust. Chg.</t>
  </si>
  <si>
    <t>kWh Chrg.</t>
  </si>
  <si>
    <t xml:space="preserve">FAF  </t>
  </si>
  <si>
    <t xml:space="preserve">TAX   </t>
  </si>
  <si>
    <t xml:space="preserve">Total Bill  </t>
  </si>
  <si>
    <t>Residential</t>
  </si>
  <si>
    <t xml:space="preserve">Commercial  </t>
  </si>
  <si>
    <t>Customer</t>
  </si>
  <si>
    <t>Charge</t>
  </si>
  <si>
    <t>kWh</t>
  </si>
  <si>
    <t>kW Demand</t>
  </si>
  <si>
    <t>Fuel Adj.</t>
  </si>
  <si>
    <t>Utility</t>
  </si>
  <si>
    <t>Tax</t>
  </si>
  <si>
    <t>Total</t>
  </si>
  <si>
    <t xml:space="preserve">Electric Bill </t>
  </si>
  <si>
    <t>Meter Reader</t>
  </si>
  <si>
    <t>Override Cons.</t>
  </si>
  <si>
    <t>Use Override Cons.</t>
  </si>
  <si>
    <t>Billing Interval</t>
  </si>
  <si>
    <t xml:space="preserve">Meter   </t>
  </si>
  <si>
    <t xml:space="preserve">kWh  </t>
  </si>
  <si>
    <t xml:space="preserve">Read </t>
  </si>
  <si>
    <t xml:space="preserve">Customer </t>
  </si>
  <si>
    <t xml:space="preserve">Fuel Adj. </t>
  </si>
  <si>
    <t xml:space="preserve">Utility </t>
  </si>
  <si>
    <t xml:space="preserve">Total     </t>
  </si>
  <si>
    <t xml:space="preserve">Average </t>
  </si>
  <si>
    <t xml:space="preserve">Type </t>
  </si>
  <si>
    <t xml:space="preserve">Charge  </t>
  </si>
  <si>
    <t xml:space="preserve">Charge </t>
  </si>
  <si>
    <t xml:space="preserve">Factor  </t>
  </si>
  <si>
    <t xml:space="preserve">Tax  </t>
  </si>
  <si>
    <t xml:space="preserve">Watts  </t>
  </si>
  <si>
    <t xml:space="preserve">Cycle </t>
  </si>
  <si>
    <t>FAF date adder</t>
  </si>
  <si>
    <t>Meter Multiplier column</t>
  </si>
  <si>
    <t>Rows</t>
  </si>
  <si>
    <t>WATER</t>
  </si>
  <si>
    <t>1st 5 units</t>
  </si>
  <si>
    <t>over 1000</t>
  </si>
  <si>
    <t>SEWER</t>
  </si>
  <si>
    <t>2nd 5 units</t>
  </si>
  <si>
    <t>next 990</t>
  </si>
  <si>
    <t>Electric</t>
  </si>
  <si>
    <t>KWH</t>
  </si>
  <si>
    <t>Base LF%</t>
  </si>
  <si>
    <t>Cycle Billing days</t>
  </si>
  <si>
    <t>minimum</t>
  </si>
  <si>
    <t>maximum</t>
  </si>
  <si>
    <t>E33 - Regular Residential Senior</t>
  </si>
  <si>
    <t/>
  </si>
  <si>
    <t>Adjusted Usage</t>
  </si>
  <si>
    <t>Sewer</t>
  </si>
  <si>
    <t>Start Date</t>
  </si>
  <si>
    <t>End Date</t>
  </si>
  <si>
    <t>Energy Use 
(kWh)</t>
  </si>
  <si>
    <t>Cost 
(US Dollars)</t>
  </si>
  <si>
    <t>Water Use (ccf - hundred cubic feet)</t>
  </si>
  <si>
    <t>Water &amp; Sewer Cost 
(US Dollars)</t>
  </si>
  <si>
    <t>Data in Energy Star Portfolio Manager Format</t>
  </si>
  <si>
    <t xml:space="preserve">Discounts </t>
  </si>
  <si>
    <t xml:space="preserve">Wind? (0 or 1) </t>
  </si>
  <si>
    <t>do not change !!!</t>
  </si>
  <si>
    <t xml:space="preserve"> sewer size</t>
  </si>
  <si>
    <t>Sq. Ft.</t>
  </si>
  <si>
    <t xml:space="preserve"> $0.0237 added to ALL base rates</t>
  </si>
  <si>
    <t xml:space="preserve"> most recent FAF</t>
  </si>
  <si>
    <t>Winter kWh Rate</t>
  </si>
  <si>
    <t>RATE #</t>
  </si>
  <si>
    <t>Summer kWh Rate</t>
  </si>
  <si>
    <t>3/1/2012 rate =(2008 Rate+0.0237)*1.0475</t>
  </si>
  <si>
    <t>Winter kW Rate</t>
  </si>
  <si>
    <t>Summer kW Rate</t>
  </si>
  <si>
    <t>Customer Charge</t>
  </si>
  <si>
    <t>E40 - General Service  Small Electric</t>
  </si>
  <si>
    <t>E42 - G/S Sngl Mtr Space Heat Electric</t>
  </si>
  <si>
    <t>E44 - G/S Sep Mtr Space Heating Electric</t>
  </si>
  <si>
    <t>E46 - General Service Medium Electric</t>
  </si>
  <si>
    <t>E48 - General Service Large Electric</t>
  </si>
  <si>
    <t>E58 - General Service State of Illinois</t>
  </si>
  <si>
    <t>Rate 40/46</t>
  </si>
  <si>
    <t>Base %</t>
  </si>
  <si>
    <t>res rate num</t>
  </si>
  <si>
    <t>comm rate num</t>
  </si>
  <si>
    <t xml:space="preserve">Rate 30  </t>
  </si>
  <si>
    <t xml:space="preserve">Rate 34  </t>
  </si>
  <si>
    <t>E41 - G/S Small Electric Southern View</t>
  </si>
  <si>
    <t>E47 - G/S Medium Electric Southern View</t>
  </si>
  <si>
    <t>E31 - Regular Residential So. View</t>
  </si>
  <si>
    <t>E32 - Regular Residential Senior So. View</t>
  </si>
  <si>
    <t>COMMERCIAL</t>
  </si>
  <si>
    <t>HDD</t>
  </si>
  <si>
    <t>CDD</t>
  </si>
  <si>
    <t>RESIDENTIAL</t>
  </si>
  <si>
    <t>SEWER/SANITARY</t>
  </si>
  <si>
    <t xml:space="preserve">DATA FOR CHARTING </t>
  </si>
  <si>
    <t xml:space="preserve">Row # </t>
  </si>
  <si>
    <t>into a Rate 44 meter</t>
  </si>
  <si>
    <t>to split a Rate 42 meter</t>
  </si>
  <si>
    <t>and a G/S meter</t>
  </si>
  <si>
    <t>SANITARY</t>
  </si>
  <si>
    <t>Bill</t>
  </si>
  <si>
    <t>Sanitary</t>
  </si>
  <si>
    <t xml:space="preserve"> Bill</t>
  </si>
  <si>
    <t>Inside or Outside City</t>
  </si>
  <si>
    <t>INSIDE</t>
  </si>
  <si>
    <t>OUTSIDE</t>
  </si>
  <si>
    <t>meter size</t>
  </si>
  <si>
    <t>1st 3 units</t>
  </si>
  <si>
    <t>over 3 units</t>
  </si>
  <si>
    <t>Running Average from March 2012</t>
  </si>
  <si>
    <t>Date</t>
  </si>
  <si>
    <t>BILL CYCLE WEATHER</t>
  </si>
  <si>
    <t>CALENDAR MONTH WEATHER</t>
  </si>
  <si>
    <t>date of last data point</t>
  </si>
  <si>
    <t>ADD DATA TO BOTTOM OF LIST</t>
  </si>
  <si>
    <t>from www.degreedays.net for KSPI</t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</si>
  <si>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table</t>
    </r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</si>
  <si>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- all meters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</si>
  <si>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charges - all units</t>
    </r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</si>
  <si>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- </t>
    </r>
    <r>
      <rPr>
        <b/>
        <sz val="10"/>
        <rFont val="Arial"/>
        <family val="2"/>
      </rPr>
      <t>INSIDE city only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</si>
  <si>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charges - </t>
    </r>
    <r>
      <rPr>
        <b/>
        <sz val="10"/>
        <rFont val="Arial"/>
        <family val="2"/>
      </rPr>
      <t>INSIDE city only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</si>
  <si>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 table for meter size 1 or 2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</si>
  <si>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 table for meter size 3 or larger</t>
    </r>
  </si>
  <si>
    <t>AVG</t>
  </si>
  <si>
    <t>WATTS</t>
  </si>
  <si>
    <t>AMR READ DATES</t>
  </si>
  <si>
    <t>Cycle</t>
  </si>
  <si>
    <t>Day of Month</t>
  </si>
  <si>
    <t>min AMR Meter #</t>
  </si>
  <si>
    <t>Billing</t>
  </si>
  <si>
    <t>Actual</t>
  </si>
  <si>
    <t>Trouble Code 1</t>
  </si>
  <si>
    <t>Trouble Code 2</t>
  </si>
  <si>
    <t>Raw Usage</t>
  </si>
  <si>
    <t>Wind Energy Surcharge</t>
  </si>
  <si>
    <t>normed</t>
  </si>
  <si>
    <t>E35 - Electric Heat Residential So. View</t>
  </si>
  <si>
    <t>E36 - Electric Heat Residential Senior So. View</t>
  </si>
  <si>
    <t>E37 - Electric Heat Residential Senior</t>
  </si>
  <si>
    <t>Bill Date</t>
  </si>
  <si>
    <t>Service Entrance</t>
  </si>
  <si>
    <t>E34 - Electric Heat Residential</t>
  </si>
  <si>
    <t>E30 - Regular Residential</t>
  </si>
  <si>
    <t>First</t>
  </si>
  <si>
    <t>on</t>
  </si>
  <si>
    <t>Bill date</t>
  </si>
  <si>
    <t>Day Adder</t>
  </si>
  <si>
    <t xml:space="preserve">Load  </t>
  </si>
  <si>
    <t>HDD AVG</t>
  </si>
  <si>
    <t>CDD AVG</t>
  </si>
  <si>
    <t>Network Read</t>
  </si>
  <si>
    <t>CPI</t>
  </si>
  <si>
    <t>=100-COUNT(I2:I99)</t>
  </si>
  <si>
    <t>Dominic Soccomano</t>
  </si>
  <si>
    <t>E43 - G/S Sngl Mtr Space Heat Electric Southern View</t>
  </si>
  <si>
    <t>E49 - Outdoor Sports Lighting</t>
  </si>
  <si>
    <t>Pet Sander</t>
  </si>
  <si>
    <t>Dion Doss</t>
  </si>
  <si>
    <t>Pat Flanningan</t>
  </si>
  <si>
    <t>Kevin Russell</t>
  </si>
  <si>
    <t>JAN 02</t>
  </si>
  <si>
    <t>Multiplier 2</t>
  </si>
  <si>
    <t>AMR RON</t>
  </si>
  <si>
    <t>Brian Campbell</t>
  </si>
  <si>
    <t>/  /</t>
  </si>
  <si>
    <t>Mobile Collector</t>
  </si>
  <si>
    <t xml:space="preserve">Customer Number: 00120936       </t>
  </si>
  <si>
    <t>Service Address: 1525 S 6TH ST</t>
  </si>
  <si>
    <t>HANSON PROFESSIONAL SRVC INC</t>
  </si>
  <si>
    <t>1525 S 6TH ST</t>
  </si>
  <si>
    <t>SPRINGFIELD IL 62703</t>
  </si>
  <si>
    <t xml:space="preserve">Billing Multiplier  </t>
  </si>
  <si>
    <t>Kriss Knox</t>
  </si>
  <si>
    <t>Greg Foster</t>
  </si>
  <si>
    <t>Christy Painter</t>
  </si>
  <si>
    <t>Created Date/Time: 06/26/2020 09:10:47 AM</t>
  </si>
  <si>
    <t xml:space="preserve">Account Number: 192752162      </t>
  </si>
  <si>
    <t>189669</t>
  </si>
  <si>
    <t>Kw</t>
  </si>
  <si>
    <t>153786</t>
  </si>
  <si>
    <t>Michael Fleck</t>
  </si>
  <si>
    <t>00088721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</si>
</sst>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&quot;$&quot;#,##0.00;[Red]&quot;$&quot;#,##0.00"/>
    <numFmt numFmtId="166" formatCode="0.0%"/>
    <numFmt numFmtId="167" formatCode="0.0_);\(0.0\)"/>
    <numFmt numFmtId="168" formatCode="0_);\(0\)"/>
    <numFmt numFmtId="169" formatCode="0.00_)"/>
    <numFmt numFmtId="170" formatCode="0.0_)"/>
    <numFmt numFmtId="171" formatCode="0.0000"/>
    <numFmt numFmtId="172" formatCode=";;&quot;&quot;;@"/>
    <numFmt numFmtId="173" formatCode="0.00_);\(0.00\)"/>
    <numFmt numFmtId="174" formatCode="#,##0;[Red]#,##0"/>
    <numFmt numFmtId="175" formatCode="0.00000"/>
    <numFmt numFmtId="176" formatCode="#,##0.0_);\(#,##0.0\)"/>
    <numFmt numFmtId="177" formatCode="&quot;$&quot;#,##0.000000_);\(&quot;$&quot;#,##0.000000\)"/>
    <numFmt numFmtId="178" formatCode="mmmm\-yy"/>
    <numFmt numFmtId="179" formatCode="0.000000_);[Red]\(0.000000\)"/>
    <numFmt numFmtId="180" formatCode="&quot;$&quot;#,##0.000000"/>
    <numFmt numFmtId="181" formatCode="0.0000_);\(0.0000\)"/>
    <numFmt numFmtId="182" formatCode="0.000000"/>
    <numFmt numFmtId="183" formatCode="_(* #,##0_);_(* \(#,##0\);_(* &quot;-&quot;??_);_(@_)"/>
    <numFmt numFmtId="184" formatCode="[$-409]mmm\-yy;@"/>
    <numFmt numFmtId="185" formatCode="0_);[Red]\(0\)"/>
    <numFmt numFmtId="186" formatCode="m"/>
    <numFmt numFmtId="187" formatCode="0.0"/>
    <numFmt numFmtId="188" formatCode="0;[Red]0"/>
  </numFmts>
  <fonts count="5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2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3"/>
      <name val="Arial"/>
      <family val="2"/>
    </font>
    <font>
      <sz val="12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2"/>
      <color theme="1"/>
      <name val="Calibri"/>
      <family val="2"/>
      <scheme val="minor"/>
    </font>
    <font>
      <sz val="12"/>
      <color theme="3"/>
      <name val="Arial"/>
      <family val="2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rgb="FF0033CC"/>
      <name val="Arial"/>
      <family val="2"/>
    </font>
    <font>
      <sz val="10"/>
      <color theme="0" tint="-0.14999847407452621"/>
      <name val="Arial"/>
      <family val="2"/>
    </font>
    <font>
      <b/>
      <sz val="9"/>
      <name val="Arial"/>
      <family val="2"/>
    </font>
    <font>
      <b/>
      <sz val="10"/>
      <color theme="0" tint="-0.249977111117893"/>
      <name val="Arial"/>
      <family val="2"/>
    </font>
    <font>
      <sz val="10"/>
      <color indexed="12"/>
      <name val="Arial"/>
      <family val="2"/>
    </font>
    <font>
      <b/>
      <sz val="8"/>
      <color rgb="FF0033CC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1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42" fillId="9" borderId="0" applyNumberFormat="0" applyBorder="0" applyAlignment="0" applyProtection="0"/>
    <xf numFmtId="0" fontId="43" fillId="10" borderId="0" applyNumberFormat="0" applyBorder="0" applyAlignment="0" applyProtection="0"/>
    <xf numFmtId="0" fontId="44" fillId="11" borderId="0" applyNumberFormat="0" applyBorder="0" applyAlignment="0" applyProtection="0"/>
    <xf numFmtId="0" fontId="45" fillId="12" borderId="8" applyNumberFormat="0" applyAlignment="0" applyProtection="0"/>
    <xf numFmtId="0" fontId="46" fillId="13" borderId="9" applyNumberFormat="0" applyAlignment="0" applyProtection="0"/>
    <xf numFmtId="0" fontId="47" fillId="13" borderId="8" applyNumberFormat="0" applyAlignment="0" applyProtection="0"/>
    <xf numFmtId="0" fontId="48" fillId="0" borderId="10" applyNumberFormat="0" applyFill="0" applyAlignment="0" applyProtection="0"/>
    <xf numFmtId="0" fontId="49" fillId="14" borderId="11" applyNumberFormat="0" applyAlignment="0" applyProtection="0"/>
    <xf numFmtId="0" fontId="2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5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51" fillId="39" borderId="0" applyNumberFormat="0" applyBorder="0" applyAlignment="0" applyProtection="0"/>
    <xf numFmtId="0" fontId="2" fillId="0" borderId="0"/>
    <xf numFmtId="0" fontId="2" fillId="15" borderId="12" applyNumberFormat="0" applyFont="0" applyAlignment="0" applyProtection="0"/>
    <xf numFmtId="0" fontId="1" fillId="0" borderId="0"/>
    <xf numFmtId="0" fontId="1" fillId="15" borderId="12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227">
    <xf numFmtId="0" fontId="0" fillId="0" borderId="0" xfId="0"/>
    <xf numFmtId="0" fontId="4" fillId="0" borderId="0" xfId="0" applyFont="1"/>
    <xf numFmtId="0" fontId="0" fillId="0" borderId="0" xfId="0" quotePrefix="1" applyAlignment="1">
      <alignment horizontal="left"/>
    </xf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0" xfId="0" quotePrefix="1" applyFont="1" applyAlignment="1">
      <alignment horizontal="left"/>
    </xf>
    <xf numFmtId="165" fontId="4" fillId="0" borderId="0" xfId="0" applyNumberFormat="1" applyFont="1" applyAlignment="1">
      <alignment horizontal="right"/>
    </xf>
    <xf numFmtId="167" fontId="0" fillId="0" borderId="0" xfId="0" applyNumberFormat="1"/>
    <xf numFmtId="168" fontId="0" fillId="0" borderId="0" xfId="0" applyNumberFormat="1"/>
    <xf numFmtId="168" fontId="4" fillId="0" borderId="0" xfId="0" quotePrefix="1" applyNumberFormat="1" applyFont="1" applyAlignment="1">
      <alignment horizontal="right"/>
    </xf>
    <xf numFmtId="168" fontId="0" fillId="0" borderId="0" xfId="0" quotePrefix="1" applyNumberFormat="1" applyAlignment="1"/>
    <xf numFmtId="7" fontId="0" fillId="0" borderId="0" xfId="0" applyNumberFormat="1"/>
    <xf numFmtId="7" fontId="0" fillId="0" borderId="0" xfId="0" quotePrefix="1" applyNumberFormat="1" applyAlignment="1"/>
    <xf numFmtId="164" fontId="4" fillId="0" borderId="0" xfId="0" applyNumberFormat="1" applyFont="1" applyAlignment="1">
      <alignment horizontal="right"/>
    </xf>
    <xf numFmtId="168" fontId="0" fillId="0" borderId="0" xfId="0" quotePrefix="1" applyNumberFormat="1" applyAlignment="1">
      <alignment horizontal="left"/>
    </xf>
    <xf numFmtId="167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 applyProtection="1">
      <protection locked="0"/>
    </xf>
    <xf numFmtId="7" fontId="7" fillId="0" borderId="0" xfId="0" applyNumberFormat="1" applyFont="1" applyProtection="1"/>
    <xf numFmtId="169" fontId="7" fillId="0" borderId="0" xfId="0" applyNumberFormat="1" applyFont="1" applyProtection="1"/>
    <xf numFmtId="7" fontId="8" fillId="0" borderId="0" xfId="0" applyNumberFormat="1" applyFont="1" applyProtection="1"/>
    <xf numFmtId="37" fontId="7" fillId="0" borderId="0" xfId="0" applyNumberFormat="1" applyFont="1" applyProtection="1"/>
    <xf numFmtId="166" fontId="7" fillId="0" borderId="0" xfId="0" applyNumberFormat="1" applyFont="1" applyProtection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left"/>
    </xf>
    <xf numFmtId="168" fontId="7" fillId="0" borderId="0" xfId="0" applyNumberFormat="1" applyFont="1"/>
    <xf numFmtId="7" fontId="7" fillId="0" borderId="0" xfId="0" quotePrefix="1" applyNumberFormat="1" applyFont="1" applyAlignment="1" applyProtection="1">
      <alignment horizontal="right"/>
    </xf>
    <xf numFmtId="0" fontId="8" fillId="0" borderId="0" xfId="0" quotePrefix="1" applyFont="1" applyAlignment="1">
      <alignment horizontal="right"/>
    </xf>
    <xf numFmtId="172" fontId="0" fillId="0" borderId="0" xfId="0" applyNumberFormat="1"/>
    <xf numFmtId="1" fontId="7" fillId="0" borderId="0" xfId="0" applyNumberFormat="1" applyFont="1" applyAlignment="1"/>
    <xf numFmtId="1" fontId="7" fillId="0" borderId="0" xfId="0" applyNumberFormat="1" applyFont="1"/>
    <xf numFmtId="0" fontId="7" fillId="0" borderId="0" xfId="0" quotePrefix="1" applyFont="1" applyAlignment="1">
      <alignment horizontal="left"/>
    </xf>
    <xf numFmtId="173" fontId="0" fillId="0" borderId="0" xfId="0" applyNumberFormat="1"/>
    <xf numFmtId="173" fontId="4" fillId="0" borderId="0" xfId="0" applyNumberFormat="1" applyFont="1" applyAlignment="1">
      <alignment horizontal="right"/>
    </xf>
    <xf numFmtId="173" fontId="0" fillId="0" borderId="0" xfId="0" quotePrefix="1" applyNumberFormat="1" applyAlignment="1"/>
    <xf numFmtId="173" fontId="7" fillId="0" borderId="0" xfId="0" applyNumberFormat="1" applyFont="1"/>
    <xf numFmtId="0" fontId="8" fillId="0" borderId="0" xfId="0" applyFont="1" applyAlignment="1">
      <alignment horizontal="center"/>
    </xf>
    <xf numFmtId="37" fontId="0" fillId="0" borderId="0" xfId="0" applyNumberFormat="1"/>
    <xf numFmtId="37" fontId="4" fillId="0" borderId="0" xfId="0" quotePrefix="1" applyNumberFormat="1" applyFont="1" applyAlignment="1">
      <alignment horizontal="right"/>
    </xf>
    <xf numFmtId="37" fontId="0" fillId="0" borderId="0" xfId="0" quotePrefix="1" applyNumberFormat="1" applyAlignmen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left"/>
    </xf>
    <xf numFmtId="166" fontId="0" fillId="0" borderId="0" xfId="0" quotePrefix="1" applyNumberFormat="1" applyAlignment="1"/>
    <xf numFmtId="166" fontId="0" fillId="0" borderId="0" xfId="0" applyNumberFormat="1"/>
    <xf numFmtId="37" fontId="4" fillId="0" borderId="0" xfId="0" applyNumberFormat="1" applyFont="1" applyAlignment="1">
      <alignment horizontal="right"/>
    </xf>
    <xf numFmtId="174" fontId="0" fillId="0" borderId="0" xfId="0" applyNumberFormat="1"/>
    <xf numFmtId="0" fontId="0" fillId="0" borderId="0" xfId="0" quotePrefix="1"/>
    <xf numFmtId="168" fontId="6" fillId="0" borderId="0" xfId="0" quotePrefix="1" applyNumberFormat="1" applyFont="1" applyAlignment="1">
      <alignment horizontal="right"/>
    </xf>
    <xf numFmtId="7" fontId="4" fillId="0" borderId="0" xfId="0" quotePrefix="1" applyNumberFormat="1" applyFont="1" applyAlignment="1"/>
    <xf numFmtId="165" fontId="0" fillId="0" borderId="0" xfId="0" applyNumberForma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7" fontId="12" fillId="0" borderId="0" xfId="0" applyNumberFormat="1" applyFont="1"/>
    <xf numFmtId="178" fontId="0" fillId="0" borderId="0" xfId="0" applyNumberFormat="1"/>
    <xf numFmtId="179" fontId="0" fillId="0" borderId="0" xfId="0" applyNumberFormat="1"/>
    <xf numFmtId="0" fontId="4" fillId="0" borderId="0" xfId="0" quotePrefix="1" applyFont="1"/>
    <xf numFmtId="180" fontId="0" fillId="0" borderId="0" xfId="0" quotePrefix="1" applyNumberFormat="1"/>
    <xf numFmtId="177" fontId="0" fillId="0" borderId="0" xfId="0" applyNumberFormat="1"/>
    <xf numFmtId="175" fontId="0" fillId="0" borderId="0" xfId="0" applyNumberFormat="1"/>
    <xf numFmtId="17" fontId="0" fillId="0" borderId="0" xfId="0" applyNumberFormat="1"/>
    <xf numFmtId="0" fontId="8" fillId="0" borderId="0" xfId="0" quotePrefix="1" applyFont="1" applyAlignment="1">
      <alignment horizontal="center"/>
    </xf>
    <xf numFmtId="7" fontId="4" fillId="0" borderId="0" xfId="0" quotePrefix="1" applyNumberFormat="1" applyFont="1" applyAlignment="1">
      <alignment horizontal="right"/>
    </xf>
    <xf numFmtId="181" fontId="7" fillId="0" borderId="0" xfId="0" applyNumberFormat="1" applyFont="1"/>
    <xf numFmtId="7" fontId="7" fillId="0" borderId="0" xfId="0" applyNumberFormat="1" applyFont="1"/>
    <xf numFmtId="7" fontId="7" fillId="0" borderId="0" xfId="0" quotePrefix="1" applyNumberFormat="1" applyFont="1" applyProtection="1"/>
    <xf numFmtId="7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37" fontId="14" fillId="0" borderId="0" xfId="0" applyNumberFormat="1" applyFont="1"/>
    <xf numFmtId="0" fontId="0" fillId="0" borderId="0" xfId="0" applyNumberFormat="1"/>
    <xf numFmtId="176" fontId="0" fillId="0" borderId="0" xfId="0" applyNumberFormat="1"/>
    <xf numFmtId="0" fontId="0" fillId="0" borderId="0" xfId="0" applyAlignment="1">
      <alignment horizontal="right"/>
    </xf>
    <xf numFmtId="173" fontId="4" fillId="0" borderId="0" xfId="0" applyNumberFormat="1" applyFont="1"/>
    <xf numFmtId="37" fontId="6" fillId="0" borderId="0" xfId="0" applyNumberFormat="1" applyFont="1"/>
    <xf numFmtId="9" fontId="0" fillId="0" borderId="0" xfId="0" applyNumberFormat="1"/>
    <xf numFmtId="0" fontId="6" fillId="0" borderId="0" xfId="0" applyFont="1"/>
    <xf numFmtId="14" fontId="4" fillId="0" borderId="0" xfId="0" applyNumberFormat="1" applyFont="1"/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182" fontId="0" fillId="0" borderId="0" xfId="0" applyNumberFormat="1"/>
    <xf numFmtId="0" fontId="6" fillId="0" borderId="0" xfId="0" quotePrefix="1" applyFont="1" applyAlignment="1">
      <alignment horizontal="right"/>
    </xf>
    <xf numFmtId="37" fontId="6" fillId="0" borderId="0" xfId="0" quotePrefix="1" applyNumberFormat="1" applyFont="1" applyAlignment="1"/>
    <xf numFmtId="0" fontId="10" fillId="0" borderId="0" xfId="0" applyFont="1" applyAlignment="1">
      <alignment horizontal="center"/>
    </xf>
    <xf numFmtId="9" fontId="9" fillId="0" borderId="0" xfId="0" applyNumberFormat="1" applyFont="1" applyProtection="1"/>
    <xf numFmtId="9" fontId="7" fillId="0" borderId="0" xfId="3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/>
    <xf numFmtId="14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0" fontId="4" fillId="0" borderId="0" xfId="0" applyNumberFormat="1" applyFont="1"/>
    <xf numFmtId="9" fontId="21" fillId="0" borderId="0" xfId="3" applyFont="1" applyAlignment="1"/>
    <xf numFmtId="7" fontId="21" fillId="0" borderId="0" xfId="0" applyNumberFormat="1" applyFont="1" applyAlignment="1"/>
    <xf numFmtId="168" fontId="21" fillId="0" borderId="0" xfId="0" applyNumberFormat="1" applyFont="1" applyAlignment="1"/>
    <xf numFmtId="14" fontId="18" fillId="0" borderId="0" xfId="0" applyNumberFormat="1" applyFont="1"/>
    <xf numFmtId="183" fontId="19" fillId="2" borderId="1" xfId="1" applyNumberFormat="1" applyFont="1" applyFill="1" applyBorder="1"/>
    <xf numFmtId="177" fontId="4" fillId="0" borderId="0" xfId="0" applyNumberFormat="1" applyFont="1"/>
    <xf numFmtId="14" fontId="4" fillId="0" borderId="0" xfId="0" quotePrefix="1" applyNumberFormat="1" applyFont="1"/>
    <xf numFmtId="171" fontId="0" fillId="0" borderId="0" xfId="0" applyNumberFormat="1"/>
    <xf numFmtId="2" fontId="0" fillId="0" borderId="0" xfId="0" applyNumberFormat="1"/>
    <xf numFmtId="7" fontId="7" fillId="0" borderId="0" xfId="0" applyNumberFormat="1" applyFont="1" applyAlignment="1"/>
    <xf numFmtId="9" fontId="7" fillId="0" borderId="0" xfId="0" applyNumberFormat="1" applyFont="1"/>
    <xf numFmtId="0" fontId="7" fillId="0" borderId="0" xfId="0" quotePrefix="1" applyFont="1"/>
    <xf numFmtId="170" fontId="7" fillId="0" borderId="0" xfId="0" applyNumberFormat="1" applyFont="1" applyProtection="1"/>
    <xf numFmtId="1" fontId="0" fillId="0" borderId="0" xfId="0" quotePrefix="1" applyNumberFormat="1" applyAlignment="1"/>
    <xf numFmtId="1" fontId="0" fillId="0" borderId="0" xfId="0" applyNumberFormat="1"/>
    <xf numFmtId="0" fontId="12" fillId="0" borderId="0" xfId="0" applyFont="1" applyAlignment="1">
      <alignment horizontal="right"/>
    </xf>
    <xf numFmtId="184" fontId="0" fillId="0" borderId="0" xfId="0" applyNumberFormat="1"/>
    <xf numFmtId="185" fontId="0" fillId="0" borderId="0" xfId="0" applyNumberFormat="1"/>
    <xf numFmtId="1" fontId="12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186" fontId="22" fillId="0" borderId="0" xfId="0" applyNumberFormat="1" applyFont="1"/>
    <xf numFmtId="186" fontId="23" fillId="0" borderId="0" xfId="0" applyNumberFormat="1" applyFont="1"/>
    <xf numFmtId="0" fontId="24" fillId="0" borderId="0" xfId="0" applyFont="1"/>
    <xf numFmtId="0" fontId="20" fillId="0" borderId="0" xfId="0" applyFont="1"/>
    <xf numFmtId="0" fontId="0" fillId="0" borderId="0" xfId="0" quotePrefix="1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26" fillId="0" borderId="0" xfId="0" applyFont="1"/>
    <xf numFmtId="14" fontId="27" fillId="0" borderId="0" xfId="0" applyNumberFormat="1" applyFont="1"/>
    <xf numFmtId="44" fontId="28" fillId="0" borderId="0" xfId="4" applyFont="1"/>
    <xf numFmtId="43" fontId="28" fillId="0" borderId="0" xfId="1" applyFont="1"/>
    <xf numFmtId="44" fontId="0" fillId="0" borderId="0" xfId="0" applyNumberFormat="1"/>
    <xf numFmtId="7" fontId="26" fillId="0" borderId="0" xfId="0" applyNumberFormat="1" applyFont="1"/>
    <xf numFmtId="7" fontId="26" fillId="0" borderId="0" xfId="4" applyNumberFormat="1" applyFont="1"/>
    <xf numFmtId="14" fontId="0" fillId="0" borderId="0" xfId="0" applyNumberFormat="1"/>
    <xf numFmtId="14" fontId="29" fillId="0" borderId="0" xfId="0" applyNumberFormat="1" applyFont="1"/>
    <xf numFmtId="7" fontId="30" fillId="0" borderId="0" xfId="0" applyNumberFormat="1" applyFont="1"/>
    <xf numFmtId="0" fontId="0" fillId="0" borderId="0" xfId="0" applyAlignment="1"/>
    <xf numFmtId="14" fontId="0" fillId="0" borderId="0" xfId="0" applyNumberFormat="1" applyAlignment="1">
      <alignment vertical="top"/>
    </xf>
    <xf numFmtId="187" fontId="0" fillId="0" borderId="0" xfId="0" applyNumberFormat="1"/>
    <xf numFmtId="0" fontId="1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quotePrefix="1" applyFont="1" applyAlignment="1">
      <alignment horizontal="right"/>
    </xf>
    <xf numFmtId="0" fontId="4" fillId="0" borderId="0" xfId="0" quotePrefix="1" applyFont="1" applyAlignment="1"/>
    <xf numFmtId="0" fontId="4" fillId="0" borderId="0" xfId="0" applyFont="1" applyAlignment="1">
      <alignment horizontal="center"/>
    </xf>
    <xf numFmtId="164" fontId="0" fillId="0" borderId="0" xfId="0" applyNumberFormat="1" applyAlignment="1"/>
    <xf numFmtId="7" fontId="4" fillId="0" borderId="0" xfId="0" applyNumberFormat="1" applyFont="1" applyAlignment="1">
      <alignment horizontal="center"/>
    </xf>
    <xf numFmtId="37" fontId="32" fillId="0" borderId="0" xfId="0" applyNumberFormat="1" applyFont="1"/>
    <xf numFmtId="0" fontId="3" fillId="0" borderId="0" xfId="0" applyFont="1" applyAlignment="1">
      <alignment horizontal="center"/>
    </xf>
    <xf numFmtId="7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0" fillId="0" borderId="0" xfId="0" applyFont="1"/>
    <xf numFmtId="0" fontId="30" fillId="0" borderId="0" xfId="0" quotePrefix="1" applyFont="1" applyAlignment="1">
      <alignment horizontal="left"/>
    </xf>
    <xf numFmtId="0" fontId="30" fillId="0" borderId="0" xfId="0" applyFont="1" applyAlignment="1">
      <alignment horizontal="right"/>
    </xf>
    <xf numFmtId="0" fontId="30" fillId="0" borderId="0" xfId="0" quotePrefix="1" applyFont="1" applyAlignment="1">
      <alignment horizontal="right"/>
    </xf>
    <xf numFmtId="166" fontId="3" fillId="0" borderId="0" xfId="3" applyNumberFormat="1" applyFont="1"/>
    <xf numFmtId="0" fontId="0" fillId="0" borderId="0" xfId="0" applyAlignment="1">
      <alignment horizontal="center"/>
    </xf>
    <xf numFmtId="0" fontId="33" fillId="0" borderId="0" xfId="0" quotePrefix="1" applyFont="1" applyAlignment="1">
      <alignment horizontal="left"/>
    </xf>
    <xf numFmtId="0" fontId="33" fillId="0" borderId="0" xfId="0" applyFont="1"/>
    <xf numFmtId="187" fontId="12" fillId="0" borderId="0" xfId="0" applyNumberFormat="1" applyFont="1"/>
    <xf numFmtId="0" fontId="0" fillId="0" borderId="0" xfId="0" applyAlignment="1">
      <alignment horizontal="center"/>
    </xf>
    <xf numFmtId="7" fontId="3" fillId="0" borderId="0" xfId="0" applyNumberFormat="1" applyFont="1"/>
    <xf numFmtId="171" fontId="7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85" fontId="32" fillId="0" borderId="0" xfId="0" applyNumberFormat="1" applyFont="1"/>
    <xf numFmtId="0" fontId="3" fillId="0" borderId="0" xfId="0" quotePrefix="1" applyFont="1" applyAlignment="1">
      <alignment horizontal="left"/>
    </xf>
    <xf numFmtId="0" fontId="35" fillId="0" borderId="0" xfId="0" applyFont="1" applyAlignment="1">
      <alignment horizontal="center"/>
    </xf>
    <xf numFmtId="168" fontId="30" fillId="0" borderId="0" xfId="0" applyNumberFormat="1" applyFont="1"/>
    <xf numFmtId="168" fontId="3" fillId="0" borderId="0" xfId="0" applyNumberFormat="1" applyFont="1"/>
    <xf numFmtId="14" fontId="30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7" fontId="3" fillId="0" borderId="0" xfId="0" applyNumberFormat="1" applyFont="1"/>
    <xf numFmtId="37" fontId="0" fillId="3" borderId="2" xfId="0" quotePrefix="1" applyNumberFormat="1" applyFill="1" applyBorder="1" applyAlignment="1"/>
    <xf numFmtId="173" fontId="0" fillId="3" borderId="2" xfId="0" quotePrefix="1" applyNumberFormat="1" applyFill="1" applyBorder="1" applyAlignment="1"/>
    <xf numFmtId="7" fontId="0" fillId="4" borderId="2" xfId="0" quotePrefix="1" applyNumberFormat="1" applyFill="1" applyBorder="1" applyAlignment="1"/>
    <xf numFmtId="7" fontId="0" fillId="5" borderId="2" xfId="0" quotePrefix="1" applyNumberFormat="1" applyFill="1" applyBorder="1" applyAlignment="1"/>
    <xf numFmtId="37" fontId="0" fillId="2" borderId="2" xfId="1" quotePrefix="1" applyNumberFormat="1" applyFont="1" applyFill="1" applyBorder="1" applyAlignment="1"/>
    <xf numFmtId="166" fontId="0" fillId="6" borderId="2" xfId="0" quotePrefix="1" applyNumberFormat="1" applyFill="1" applyBorder="1" applyAlignment="1"/>
    <xf numFmtId="37" fontId="0" fillId="7" borderId="2" xfId="1" applyNumberFormat="1" applyFont="1" applyFill="1" applyBorder="1"/>
    <xf numFmtId="37" fontId="4" fillId="3" borderId="3" xfId="0" applyNumberFormat="1" applyFont="1" applyFill="1" applyBorder="1" applyAlignment="1">
      <alignment horizontal="right"/>
    </xf>
    <xf numFmtId="173" fontId="4" fillId="4" borderId="3" xfId="0" applyNumberFormat="1" applyFont="1" applyFill="1" applyBorder="1" applyAlignment="1">
      <alignment horizontal="center"/>
    </xf>
    <xf numFmtId="37" fontId="4" fillId="4" borderId="3" xfId="0" applyNumberFormat="1" applyFont="1" applyFill="1" applyBorder="1" applyAlignment="1">
      <alignment horizontal="center"/>
    </xf>
    <xf numFmtId="37" fontId="4" fillId="5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4" fillId="6" borderId="3" xfId="0" applyNumberFormat="1" applyFont="1" applyFill="1" applyBorder="1" applyAlignment="1">
      <alignment horizontal="right"/>
    </xf>
    <xf numFmtId="37" fontId="34" fillId="7" borderId="3" xfId="0" applyNumberFormat="1" applyFont="1" applyFill="1" applyBorder="1" applyAlignment="1">
      <alignment horizontal="center"/>
    </xf>
    <xf numFmtId="37" fontId="4" fillId="3" borderId="4" xfId="0" quotePrefix="1" applyNumberFormat="1" applyFont="1" applyFill="1" applyBorder="1" applyAlignment="1">
      <alignment horizontal="right"/>
    </xf>
    <xf numFmtId="173" fontId="4" fillId="3" borderId="4" xfId="0" applyNumberFormat="1" applyFont="1" applyFill="1" applyBorder="1" applyAlignment="1">
      <alignment horizontal="right"/>
    </xf>
    <xf numFmtId="173" fontId="4" fillId="4" borderId="4" xfId="0" applyNumberFormat="1" applyFont="1" applyFill="1" applyBorder="1" applyAlignment="1">
      <alignment horizontal="center"/>
    </xf>
    <xf numFmtId="7" fontId="4" fillId="5" borderId="4" xfId="0" quotePrefix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6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 applyAlignment="1">
      <alignment horizontal="center"/>
    </xf>
    <xf numFmtId="171" fontId="0" fillId="8" borderId="0" xfId="0" applyNumberFormat="1" applyFill="1"/>
    <xf numFmtId="2" fontId="0" fillId="8" borderId="0" xfId="0" applyNumberFormat="1" applyFill="1"/>
    <xf numFmtId="188" fontId="32" fillId="0" borderId="0" xfId="0" applyNumberFormat="1" applyFont="1"/>
    <xf numFmtId="166" fontId="0" fillId="0" borderId="0" xfId="3" applyNumberFormat="1" applyFont="1"/>
    <xf numFmtId="179" fontId="36" fillId="0" borderId="0" xfId="2" quotePrefix="1" applyNumberFormat="1" applyFont="1" applyAlignment="1" applyProtection="1"/>
    <xf numFmtId="0" fontId="3" fillId="0" borderId="0" xfId="0" quotePrefix="1" applyFont="1"/>
    <xf numFmtId="0" fontId="11" fillId="0" borderId="0" xfId="2" applyFont="1" applyAlignment="1" applyProtection="1"/>
    <xf numFmtId="175" fontId="3" fillId="0" borderId="0" xfId="0" applyNumberFormat="1" applyFont="1"/>
    <xf numFmtId="179" fontId="3" fillId="0" borderId="0" xfId="0" applyNumberFormat="1" applyFont="1"/>
    <xf numFmtId="177" fontId="3" fillId="0" borderId="0" xfId="0" quotePrefix="1" applyNumberFormat="1" applyFont="1"/>
    <xf numFmtId="185" fontId="37" fillId="0" borderId="0" xfId="0" applyNumberFormat="1" applyFont="1"/>
    <xf numFmtId="2" fontId="7" fillId="0" borderId="0" xfId="0" applyNumberFormat="1" applyFont="1"/>
    <xf numFmtId="0" fontId="0" fillId="0" borderId="0" xfId="0" quotePrefix="1" applyAlignment="1">
      <alignment horizontal="right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5" fillId="0" borderId="0" xfId="0" applyFont="1" applyAlignment="1">
      <alignment horizontal="left" vertical="center" wrapText="1"/>
    </xf>
    <xf numFmtId="0" fontId="11" fillId="0" borderId="0" xfId="2" applyAlignment="1" applyProtection="1">
      <alignment horizontal="center" vertical="center" wrapText="1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61">
    <cellStyle name="20% - Accent1" xfId="22" builtinId="30" customBuiltin="1"/>
    <cellStyle name="20% - Accent1 2" xfId="49" xr:uid="{00000000-0005-0000-0000-000001000000}"/>
    <cellStyle name="20% - Accent2" xfId="26" builtinId="34" customBuiltin="1"/>
    <cellStyle name="20% - Accent2 2" xfId="51" xr:uid="{00000000-0005-0000-0000-000003000000}"/>
    <cellStyle name="20% - Accent3" xfId="30" builtinId="38" customBuiltin="1"/>
    <cellStyle name="20% - Accent3 2" xfId="53" xr:uid="{00000000-0005-0000-0000-000005000000}"/>
    <cellStyle name="20% - Accent4" xfId="34" builtinId="42" customBuiltin="1"/>
    <cellStyle name="20% - Accent4 2" xfId="55" xr:uid="{00000000-0005-0000-0000-000007000000}"/>
    <cellStyle name="20% - Accent5" xfId="38" builtinId="46" customBuiltin="1"/>
    <cellStyle name="20% - Accent5 2" xfId="57" xr:uid="{00000000-0005-0000-0000-000009000000}"/>
    <cellStyle name="20% - Accent6" xfId="42" builtinId="50" customBuiltin="1"/>
    <cellStyle name="20% - Accent6 2" xfId="59" xr:uid="{00000000-0005-0000-0000-00000B000000}"/>
    <cellStyle name="40% - Accent1" xfId="23" builtinId="31" customBuiltin="1"/>
    <cellStyle name="40% - Accent1 2" xfId="50" xr:uid="{00000000-0005-0000-0000-00000D000000}"/>
    <cellStyle name="40% - Accent2" xfId="27" builtinId="35" customBuiltin="1"/>
    <cellStyle name="40% - Accent2 2" xfId="52" xr:uid="{00000000-0005-0000-0000-00000F000000}"/>
    <cellStyle name="40% - Accent3" xfId="31" builtinId="39" customBuiltin="1"/>
    <cellStyle name="40% - Accent3 2" xfId="54" xr:uid="{00000000-0005-0000-0000-000011000000}"/>
    <cellStyle name="40% - Accent4" xfId="35" builtinId="43" customBuiltin="1"/>
    <cellStyle name="40% - Accent4 2" xfId="56" xr:uid="{00000000-0005-0000-0000-000013000000}"/>
    <cellStyle name="40% - Accent5" xfId="39" builtinId="47" customBuiltin="1"/>
    <cellStyle name="40% - Accent5 2" xfId="58" xr:uid="{00000000-0005-0000-0000-000015000000}"/>
    <cellStyle name="40% - Accent6" xfId="43" builtinId="51" customBuiltin="1"/>
    <cellStyle name="40% - Accent6 2" xfId="60" xr:uid="{00000000-0005-0000-0000-00001700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urrency" xfId="4" builtinId="4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5" xr:uid="{00000000-0005-0000-0000-000034000000}"/>
    <cellStyle name="Normal 3" xfId="47" xr:uid="{00000000-0005-0000-0000-000035000000}"/>
    <cellStyle name="Note 2" xfId="46" xr:uid="{00000000-0005-0000-0000-000036000000}"/>
    <cellStyle name="Note 3" xfId="48" xr:uid="{00000000-0005-0000-0000-000037000000}"/>
    <cellStyle name="Output" xfId="14" builtinId="21" customBuiltin="1"/>
    <cellStyle name="Percent" xfId="3" builtinId="5"/>
    <cellStyle name="Title" xfId="5" builtinId="15" customBuiltin="1"/>
    <cellStyle name="Total" xfId="20" builtinId="25" customBuiltin="1"/>
    <cellStyle name="Warning Text" xfId="18" builtinId="11" customBuiltin="1"/>
  </cellStyles>
  <dxfs count="32">
    <dxf>
      <numFmt numFmtId="5" formatCode="#,##0_);\(#,##0\)"/>
    </dxf>
    <dxf>
      <font>
        <b/>
        <i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strike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border>
        <top style="thin">
          <color indexed="12"/>
        </top>
      </border>
    </dxf>
    <dxf>
      <font>
        <color rgb="FF0033CC"/>
      </font>
    </dxf>
    <dxf>
      <font>
        <color rgb="FF0033CC"/>
      </font>
    </dxf>
    <dxf>
      <font>
        <color rgb="FF0033CC"/>
      </font>
    </dxf>
    <dxf>
      <font>
        <color rgb="FF0033CC"/>
      </font>
    </dxf>
    <dxf>
      <font>
        <b/>
        <i val="0"/>
        <strike val="0"/>
        <color rgb="FFFF0000"/>
      </font>
    </dxf>
    <dxf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indexed="10"/>
        </patternFill>
      </fill>
    </dxf>
    <dxf>
      <border>
        <top style="thin">
          <color indexed="12"/>
        </top>
      </border>
    </dxf>
    <dxf>
      <font>
        <condense val="0"/>
        <extend val="0"/>
        <color indexed="9"/>
      </font>
      <fill>
        <patternFill patternType="none">
          <bgColor auto="1"/>
        </patternFill>
      </fill>
      <border>
        <left/>
        <right/>
        <top/>
        <bottom/>
      </border>
    </dxf>
    <dxf>
      <font>
        <strike val="0"/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condense val="0"/>
        <extend val="0"/>
        <color indexed="10"/>
      </font>
    </dxf>
    <dxf>
      <border>
        <top style="thin">
          <color indexed="12"/>
        </top>
      </border>
    </dxf>
    <dxf>
      <font>
        <color theme="0"/>
      </font>
    </dxf>
    <dxf>
      <font>
        <b/>
        <i val="0"/>
        <strike val="0"/>
        <color rgb="FFFF0000"/>
      </font>
    </dxf>
    <dxf>
      <font>
        <condense val="0"/>
        <extend val="0"/>
        <color indexed="9"/>
      </font>
    </dxf>
    <dxf>
      <border>
        <top style="thin">
          <color indexed="12"/>
        </top>
      </border>
    </dxf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Electric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Electric!$M$36:$M$47</c:f>
              <c:numCache>
                <c:formatCode>"$"#,##0.00_);\("$"#,##0.00\)</c:formatCode>
                <c:ptCount val="12"/>
                <c:pt idx="0">
                  <c:v>5485.32</c:v>
                </c:pt>
                <c:pt idx="1">
                  <c:v>6204.99</c:v>
                </c:pt>
                <c:pt idx="2">
                  <c:v>5397.75</c:v>
                </c:pt>
                <c:pt idx="3">
                  <c:v>5208.3999999999996</c:v>
                </c:pt>
                <c:pt idx="4">
                  <c:v>5370.33</c:v>
                </c:pt>
                <c:pt idx="5">
                  <c:v>5457.44</c:v>
                </c:pt>
                <c:pt idx="6">
                  <c:v>5084.3500000000004</c:v>
                </c:pt>
                <c:pt idx="7">
                  <c:v>5352.54</c:v>
                </c:pt>
                <c:pt idx="8">
                  <c:v>5753.12</c:v>
                </c:pt>
                <c:pt idx="9">
                  <c:v>6535.98</c:v>
                </c:pt>
                <c:pt idx="10">
                  <c:v>7199.38</c:v>
                </c:pt>
                <c:pt idx="11">
                  <c:v>7066.69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C-4878-B0ED-B68FEA0731AF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Electric!$M$24:$M$35</c:f>
              <c:numCache>
                <c:formatCode>"$"#,##0.00_);\("$"#,##0.00\)</c:formatCode>
                <c:ptCount val="12"/>
                <c:pt idx="0">
                  <c:v>6059.95</c:v>
                </c:pt>
                <c:pt idx="1">
                  <c:v>5176.3999999999996</c:v>
                </c:pt>
                <c:pt idx="2">
                  <c:v>5186.21</c:v>
                </c:pt>
                <c:pt idx="3">
                  <c:v>4495.79</c:v>
                </c:pt>
                <c:pt idx="4">
                  <c:v>5014.18</c:v>
                </c:pt>
                <c:pt idx="5">
                  <c:v>4771.79</c:v>
                </c:pt>
                <c:pt idx="6">
                  <c:v>4983.66</c:v>
                </c:pt>
                <c:pt idx="7">
                  <c:v>5426.94</c:v>
                </c:pt>
                <c:pt idx="8">
                  <c:v>5804.61</c:v>
                </c:pt>
                <c:pt idx="9">
                  <c:v>6729.15</c:v>
                </c:pt>
                <c:pt idx="10">
                  <c:v>7170.3</c:v>
                </c:pt>
                <c:pt idx="11">
                  <c:v>7307.14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C-4878-B0ED-B68FEA0731AF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Electric!$M$12:$M$23</c:f>
              <c:numCache>
                <c:formatCode>"$"#,##0.00_);\("$"#,##0.00\)</c:formatCode>
                <c:ptCount val="12"/>
                <c:pt idx="0">
                  <c:v>5002.2299999999996</c:v>
                </c:pt>
                <c:pt idx="1">
                  <c:v>4225.7700000000004</c:v>
                </c:pt>
                <c:pt idx="2">
                  <c:v>4673.68</c:v>
                </c:pt>
                <c:pt idx="3">
                  <c:v>4674.03</c:v>
                </c:pt>
                <c:pt idx="4">
                  <c:v>4659.33</c:v>
                </c:pt>
                <c:pt idx="5">
                  <c:v>4671.78</c:v>
                </c:pt>
                <c:pt idx="6">
                  <c:v>4596.58</c:v>
                </c:pt>
                <c:pt idx="7">
                  <c:v>4970.59</c:v>
                </c:pt>
                <c:pt idx="8">
                  <c:v>6307.56</c:v>
                </c:pt>
                <c:pt idx="9">
                  <c:v>6690.85</c:v>
                </c:pt>
                <c:pt idx="10">
                  <c:v>7400.24</c:v>
                </c:pt>
                <c:pt idx="11">
                  <c:v>6911.88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C-4878-B0ED-B68FEA073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82336"/>
        <c:axId val="51983872"/>
      </c:barChart>
      <c:dateAx>
        <c:axId val="5198233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983872"/>
        <c:crosses val="autoZero"/>
        <c:auto val="0"/>
        <c:lblOffset val="100"/>
        <c:baseTimeUnit val="months"/>
      </c:dateAx>
      <c:valAx>
        <c:axId val="51983872"/>
        <c:scaling>
          <c:orientation val="minMax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9823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kW Demand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Electric!$G$36:$G$47</c:f>
              <c:numCache>
                <c:formatCode>0.00_);\(0.00\)</c:formatCode>
                <c:ptCount val="12"/>
                <c:pt idx="0">
                  <c:v>142.82</c:v>
                </c:pt>
                <c:pt idx="1">
                  <c:v>139.6</c:v>
                </c:pt>
                <c:pt idx="2">
                  <c:v>125.14</c:v>
                </c:pt>
                <c:pt idx="3">
                  <c:v>125.14</c:v>
                </c:pt>
                <c:pt idx="4">
                  <c:v>123.94</c:v>
                </c:pt>
                <c:pt idx="5">
                  <c:v>110.12</c:v>
                </c:pt>
                <c:pt idx="6">
                  <c:v>121.3</c:v>
                </c:pt>
                <c:pt idx="7">
                  <c:v>130.78</c:v>
                </c:pt>
                <c:pt idx="8">
                  <c:v>145.72</c:v>
                </c:pt>
                <c:pt idx="9">
                  <c:v>140.47999999999999</c:v>
                </c:pt>
                <c:pt idx="10">
                  <c:v>147.30000000000001</c:v>
                </c:pt>
                <c:pt idx="11">
                  <c:v>155.72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4-48E7-A174-F5C529DC7B99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Electric!$G$24:$G$35</c:f>
              <c:numCache>
                <c:formatCode>0.00_);\(0.00\)</c:formatCode>
                <c:ptCount val="12"/>
                <c:pt idx="0">
                  <c:v>138.94</c:v>
                </c:pt>
                <c:pt idx="1">
                  <c:v>117.7</c:v>
                </c:pt>
                <c:pt idx="2">
                  <c:v>111.24</c:v>
                </c:pt>
                <c:pt idx="3">
                  <c:v>108.94</c:v>
                </c:pt>
                <c:pt idx="4">
                  <c:v>111.2</c:v>
                </c:pt>
                <c:pt idx="5">
                  <c:v>99.14</c:v>
                </c:pt>
                <c:pt idx="6">
                  <c:v>111.34</c:v>
                </c:pt>
                <c:pt idx="7">
                  <c:v>133.69999999999999</c:v>
                </c:pt>
                <c:pt idx="8">
                  <c:v>150.44</c:v>
                </c:pt>
                <c:pt idx="9">
                  <c:v>148</c:v>
                </c:pt>
                <c:pt idx="10">
                  <c:v>150.24</c:v>
                </c:pt>
                <c:pt idx="11">
                  <c:v>156.6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4-48E7-A174-F5C529DC7B99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Electric!$G$12:$G$23</c:f>
              <c:numCache>
                <c:formatCode>0.00_);\(0.00\)</c:formatCode>
                <c:ptCount val="12"/>
                <c:pt idx="0">
                  <c:v>124.22</c:v>
                </c:pt>
                <c:pt idx="1">
                  <c:v>115.68</c:v>
                </c:pt>
                <c:pt idx="2">
                  <c:v>105.56</c:v>
                </c:pt>
                <c:pt idx="3">
                  <c:v>108.28</c:v>
                </c:pt>
                <c:pt idx="4">
                  <c:v>105.9199</c:v>
                </c:pt>
                <c:pt idx="5">
                  <c:v>99.14</c:v>
                </c:pt>
                <c:pt idx="6">
                  <c:v>104.28</c:v>
                </c:pt>
                <c:pt idx="7">
                  <c:v>122.8</c:v>
                </c:pt>
                <c:pt idx="8">
                  <c:v>151.69999999999999</c:v>
                </c:pt>
                <c:pt idx="9">
                  <c:v>148.19999999999999</c:v>
                </c:pt>
                <c:pt idx="10">
                  <c:v>155.18</c:v>
                </c:pt>
                <c:pt idx="11">
                  <c:v>148.22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4-48E7-A174-F5C529DC7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09984"/>
        <c:axId val="52011776"/>
      </c:barChart>
      <c:dateAx>
        <c:axId val="5200998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11776"/>
        <c:crosses val="autoZero"/>
        <c:auto val="0"/>
        <c:lblOffset val="100"/>
        <c:baseTimeUnit val="months"/>
        <c:majorUnit val="1"/>
        <c:majorTimeUnit val="months"/>
      </c:dateAx>
      <c:valAx>
        <c:axId val="52011776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09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Average Watts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Electric!$N$36:$N$47</c:f>
              <c:numCache>
                <c:formatCode>#,##0_);\(#,##0\)</c:formatCode>
                <c:ptCount val="12"/>
                <c:pt idx="0">
                  <c:v>43010.752688172041</c:v>
                </c:pt>
                <c:pt idx="1">
                  <c:v>60483.870967741932</c:v>
                </c:pt>
                <c:pt idx="2">
                  <c:v>52777.777777777781</c:v>
                </c:pt>
                <c:pt idx="3">
                  <c:v>55059.523809523802</c:v>
                </c:pt>
                <c:pt idx="4">
                  <c:v>55913.978494623654</c:v>
                </c:pt>
                <c:pt idx="5">
                  <c:v>50537.634408602149</c:v>
                </c:pt>
                <c:pt idx="6">
                  <c:v>48888.888888888883</c:v>
                </c:pt>
                <c:pt idx="7">
                  <c:v>49731.182795698922</c:v>
                </c:pt>
                <c:pt idx="8">
                  <c:v>60277.777777777781</c:v>
                </c:pt>
                <c:pt idx="9">
                  <c:v>62903.225806451614</c:v>
                </c:pt>
                <c:pt idx="10">
                  <c:v>65860.215053763444</c:v>
                </c:pt>
                <c:pt idx="11">
                  <c:v>63333.333333333336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2-4C16-9A34-0DA57C4E497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Electric!$N$24:$N$35</c:f>
              <c:numCache>
                <c:formatCode>#,##0_);\(#,##0\)</c:formatCode>
                <c:ptCount val="12"/>
                <c:pt idx="0">
                  <c:v>53494.62365591398</c:v>
                </c:pt>
                <c:pt idx="1">
                  <c:v>51944.444444444453</c:v>
                </c:pt>
                <c:pt idx="2">
                  <c:v>50806.451612903227</c:v>
                </c:pt>
                <c:pt idx="3">
                  <c:v>51190.476190476198</c:v>
                </c:pt>
                <c:pt idx="4">
                  <c:v>52419.354838709674</c:v>
                </c:pt>
                <c:pt idx="5">
                  <c:v>47849.462365591397</c:v>
                </c:pt>
                <c:pt idx="6">
                  <c:v>48055.555555555547</c:v>
                </c:pt>
                <c:pt idx="7">
                  <c:v>52419.354838709674</c:v>
                </c:pt>
                <c:pt idx="8">
                  <c:v>61388.888888888883</c:v>
                </c:pt>
                <c:pt idx="9">
                  <c:v>63172.043010752692</c:v>
                </c:pt>
                <c:pt idx="10">
                  <c:v>65322.580645161295</c:v>
                </c:pt>
                <c:pt idx="11">
                  <c:v>65277.777777777788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2-4C16-9A34-0DA57C4E497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Electric!$N$12:$N$23</c:f>
              <c:numCache>
                <c:formatCode>#,##0_);\(#,##0\)</c:formatCode>
                <c:ptCount val="12"/>
                <c:pt idx="0">
                  <c:v>48924.731182795702</c:v>
                </c:pt>
                <c:pt idx="1">
                  <c:v>44166.666666666664</c:v>
                </c:pt>
                <c:pt idx="2">
                  <c:v>47849.462365591397</c:v>
                </c:pt>
                <c:pt idx="3">
                  <c:v>53735.632183908048</c:v>
                </c:pt>
                <c:pt idx="4">
                  <c:v>49462.365591397851</c:v>
                </c:pt>
                <c:pt idx="5">
                  <c:v>48387.096774193546</c:v>
                </c:pt>
                <c:pt idx="6">
                  <c:v>47777.777777777781</c:v>
                </c:pt>
                <c:pt idx="7">
                  <c:v>50000</c:v>
                </c:pt>
                <c:pt idx="8">
                  <c:v>63888.888888888883</c:v>
                </c:pt>
                <c:pt idx="9">
                  <c:v>61559.139784946237</c:v>
                </c:pt>
                <c:pt idx="10">
                  <c:v>69086.021505376339</c:v>
                </c:pt>
                <c:pt idx="11">
                  <c:v>63888.888888888883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2-4C16-9A34-0DA57C4E4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43776"/>
        <c:axId val="52045312"/>
      </c:barChart>
      <c:dateAx>
        <c:axId val="5204377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45312"/>
        <c:crosses val="autoZero"/>
        <c:auto val="0"/>
        <c:lblOffset val="100"/>
        <c:baseTimeUnit val="months"/>
      </c:dateAx>
      <c:valAx>
        <c:axId val="52045312"/>
        <c:scaling>
          <c:orientation val="minMax"/>
        </c:scaling>
        <c:delete val="0"/>
        <c:axPos val="l"/>
        <c:majorGridlines/>
        <c:numFmt formatCode="#,##0_);\(#,##0\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437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" l="0.70000000000000062" r="0.70000000000000062" t="0.750000000000006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Load Factor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Electric!$O$36:$O$47</c:f>
              <c:numCache>
                <c:formatCode>0.0%</c:formatCode>
                <c:ptCount val="12"/>
                <c:pt idx="0">
                  <c:v>0.30115356874507804</c:v>
                </c:pt>
                <c:pt idx="1">
                  <c:v>0.43326555134485628</c:v>
                </c:pt>
                <c:pt idx="2">
                  <c:v>0.42174986237636075</c:v>
                </c:pt>
                <c:pt idx="3">
                  <c:v>0.43998340905804545</c:v>
                </c:pt>
                <c:pt idx="4">
                  <c:v>0.45113747373425572</c:v>
                </c:pt>
                <c:pt idx="5">
                  <c:v>0.45893238656558438</c:v>
                </c:pt>
                <c:pt idx="6">
                  <c:v>0.40304112851515983</c:v>
                </c:pt>
                <c:pt idx="7">
                  <c:v>0.3802659641818239</c:v>
                </c:pt>
                <c:pt idx="8">
                  <c:v>0.41365480220819223</c:v>
                </c:pt>
                <c:pt idx="9">
                  <c:v>0.44777353222132416</c:v>
                </c:pt>
                <c:pt idx="10">
                  <c:v>0.4471161918110213</c:v>
                </c:pt>
                <c:pt idx="11">
                  <c:v>0.40671290350201211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1-4AC1-8414-25B32E0A9CA2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Electric!$O$24:$O$35</c:f>
              <c:numCache>
                <c:formatCode>0.0%</c:formatCode>
                <c:ptCount val="12"/>
                <c:pt idx="0">
                  <c:v>0.38501960310863659</c:v>
                </c:pt>
                <c:pt idx="1">
                  <c:v>0.44132917964693663</c:v>
                </c:pt>
                <c:pt idx="2">
                  <c:v>0.45672825973483666</c:v>
                </c:pt>
                <c:pt idx="3">
                  <c:v>0.46989605462159167</c:v>
                </c:pt>
                <c:pt idx="4">
                  <c:v>0.47139707588767693</c:v>
                </c:pt>
                <c:pt idx="5">
                  <c:v>0.48264537387120632</c:v>
                </c:pt>
                <c:pt idx="6">
                  <c:v>0.43161088158393707</c:v>
                </c:pt>
                <c:pt idx="7">
                  <c:v>0.39206697710328858</c:v>
                </c:pt>
                <c:pt idx="8">
                  <c:v>0.40806227658128752</c:v>
                </c:pt>
                <c:pt idx="9">
                  <c:v>0.4268381284510317</c:v>
                </c:pt>
                <c:pt idx="10">
                  <c:v>0.43478820983201066</c:v>
                </c:pt>
                <c:pt idx="11">
                  <c:v>0.41684404711224632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1-4AC1-8414-25B32E0A9CA2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Electric!$O$12:$O$23</c:f>
              <c:numCache>
                <c:formatCode>0.0%</c:formatCode>
                <c:ptCount val="12"/>
                <c:pt idx="0">
                  <c:v>0.39385550783123247</c:v>
                </c:pt>
                <c:pt idx="1">
                  <c:v>0.38180036883356383</c:v>
                </c:pt>
                <c:pt idx="2">
                  <c:v>0.45329161013254449</c:v>
                </c:pt>
                <c:pt idx="3">
                  <c:v>0.49626553549970487</c:v>
                </c:pt>
                <c:pt idx="4">
                  <c:v>0.46697896798805372</c:v>
                </c:pt>
                <c:pt idx="5">
                  <c:v>0.48806835560009632</c:v>
                </c:pt>
                <c:pt idx="6">
                  <c:v>0.458168179687167</c:v>
                </c:pt>
                <c:pt idx="7">
                  <c:v>0.40716612377850164</c:v>
                </c:pt>
                <c:pt idx="8">
                  <c:v>0.4211528601772504</c:v>
                </c:pt>
                <c:pt idx="9">
                  <c:v>0.41537881096454954</c:v>
                </c:pt>
                <c:pt idx="10">
                  <c:v>0.44519926218182976</c:v>
                </c:pt>
                <c:pt idx="11">
                  <c:v>0.43104094514160629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81-4AC1-8414-25B32E0A9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67712"/>
        <c:axId val="52069504"/>
      </c:barChart>
      <c:dateAx>
        <c:axId val="5206771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69504"/>
        <c:crosses val="autoZero"/>
        <c:auto val="0"/>
        <c:lblOffset val="100"/>
        <c:baseTimeUnit val="months"/>
        <c:majorUnit val="1"/>
        <c:majorTimeUnit val="months"/>
      </c:dateAx>
      <c:valAx>
        <c:axId val="52069504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677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Bill</a:t>
            </a:r>
            <a:r>
              <a:rPr lang="en-US" baseline="0"/>
              <a:t> Cycle </a:t>
            </a:r>
            <a:r>
              <a:rPr lang="en-US"/>
              <a:t>Heating Degree Days </a:t>
            </a:r>
            <a:r>
              <a:rPr lang="en-US" sz="1200"/>
              <a:t>(normalized for 30 days)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Electric!$P$36:$P$47</c:f>
              <c:numCache>
                <c:formatCode>#,##0_);\(#,##0\)</c:formatCode>
                <c:ptCount val="12"/>
                <c:pt idx="0">
                  <c:v>17.806451612903224</c:v>
                </c:pt>
                <c:pt idx="1">
                  <c:v>489.29032258064512</c:v>
                </c:pt>
                <c:pt idx="2">
                  <c:v>747.3</c:v>
                </c:pt>
                <c:pt idx="3">
                  <c:v>865.60714285714289</c:v>
                </c:pt>
                <c:pt idx="4">
                  <c:v>1085.9999999999998</c:v>
                </c:pt>
                <c:pt idx="5">
                  <c:v>1095.2903225806451</c:v>
                </c:pt>
                <c:pt idx="6">
                  <c:v>635.69999999999993</c:v>
                </c:pt>
                <c:pt idx="7">
                  <c:v>272.03225806451616</c:v>
                </c:pt>
                <c:pt idx="8">
                  <c:v>78.699999999999989</c:v>
                </c:pt>
                <c:pt idx="9">
                  <c:v>41.709677419354833</c:v>
                </c:pt>
                <c:pt idx="10">
                  <c:v>3.7741935483870965</c:v>
                </c:pt>
                <c:pt idx="11">
                  <c:v>19.000000000000004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0-4D86-87BF-747CF1974DB9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Electric!$P$24:$P$35</c:f>
              <c:numCache>
                <c:formatCode>#,##0_);\(#,##0\)</c:formatCode>
                <c:ptCount val="12"/>
                <c:pt idx="0">
                  <c:v>140.80645161290317</c:v>
                </c:pt>
                <c:pt idx="1">
                  <c:v>323.10000000000002</c:v>
                </c:pt>
                <c:pt idx="2">
                  <c:v>779.32258064516134</c:v>
                </c:pt>
                <c:pt idx="3">
                  <c:v>1034.1428571428571</c:v>
                </c:pt>
                <c:pt idx="4">
                  <c:v>1178.4193548387098</c:v>
                </c:pt>
                <c:pt idx="5">
                  <c:v>941.90322580645159</c:v>
                </c:pt>
                <c:pt idx="6">
                  <c:v>881.19999999999993</c:v>
                </c:pt>
                <c:pt idx="7">
                  <c:v>414.19354838709677</c:v>
                </c:pt>
                <c:pt idx="8">
                  <c:v>66.8</c:v>
                </c:pt>
                <c:pt idx="9">
                  <c:v>4.3548387096774199</c:v>
                </c:pt>
                <c:pt idx="10">
                  <c:v>8.8064516129032242</c:v>
                </c:pt>
                <c:pt idx="11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0-4D86-87BF-747CF1974DB9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Electric!$P$12:$P$23</c:f>
              <c:numCache>
                <c:formatCode>#,##0_);\(#,##0\)</c:formatCode>
                <c:ptCount val="12"/>
                <c:pt idx="0">
                  <c:v>182.12903225806451</c:v>
                </c:pt>
                <c:pt idx="1">
                  <c:v>415.29999999999995</c:v>
                </c:pt>
                <c:pt idx="2">
                  <c:v>584.70967741935499</c:v>
                </c:pt>
                <c:pt idx="3">
                  <c:v>984.72413793103453</c:v>
                </c:pt>
                <c:pt idx="4">
                  <c:v>985.93548387096735</c:v>
                </c:pt>
                <c:pt idx="5">
                  <c:v>845.32258064516111</c:v>
                </c:pt>
                <c:pt idx="6">
                  <c:v>840.80000000000041</c:v>
                </c:pt>
                <c:pt idx="7">
                  <c:v>445.83870967741933</c:v>
                </c:pt>
                <c:pt idx="8">
                  <c:v>22.5</c:v>
                </c:pt>
                <c:pt idx="9">
                  <c:v>14.322580645161288</c:v>
                </c:pt>
                <c:pt idx="10">
                  <c:v>7.741935483870968</c:v>
                </c:pt>
                <c:pt idx="11">
                  <c:v>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0-4D86-87BF-747CF1974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89984"/>
        <c:axId val="52091520"/>
      </c:barChart>
      <c:dateAx>
        <c:axId val="5208998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91520"/>
        <c:crosses val="autoZero"/>
        <c:auto val="0"/>
        <c:lblOffset val="100"/>
        <c:baseTimeUnit val="months"/>
      </c:dateAx>
      <c:valAx>
        <c:axId val="5209152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89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33" l="0.70000000000000062" r="0.70000000000000062" t="0.75000000000000733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Cooling Degree Days </a:t>
            </a:r>
            <a:r>
              <a:rPr lang="en-US" sz="1200" b="1" i="0" u="none" strike="noStrike" baseline="0">
                <a:effectLst/>
              </a:rPr>
              <a:t>(normalized for 30 days)</a:t>
            </a:r>
            <a:endParaRPr lang="en-US" sz="12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Electric!$Q$36:$Q$47</c:f>
              <c:numCache>
                <c:formatCode>#,##0_);\(#,##0\)</c:formatCode>
                <c:ptCount val="12"/>
                <c:pt idx="0">
                  <c:v>304.8387096774195</c:v>
                </c:pt>
                <c:pt idx="1">
                  <c:v>46.838709677419359</c:v>
                </c:pt>
                <c:pt idx="2">
                  <c:v>0</c:v>
                </c:pt>
                <c:pt idx="3">
                  <c:v>0.6428571428571429</c:v>
                </c:pt>
                <c:pt idx="4">
                  <c:v>0</c:v>
                </c:pt>
                <c:pt idx="5">
                  <c:v>0.19354838709677419</c:v>
                </c:pt>
                <c:pt idx="6">
                  <c:v>1.7999999999999998</c:v>
                </c:pt>
                <c:pt idx="7">
                  <c:v>80.225806451612897</c:v>
                </c:pt>
                <c:pt idx="8">
                  <c:v>248.29999999999995</c:v>
                </c:pt>
                <c:pt idx="9">
                  <c:v>226.64516129032262</c:v>
                </c:pt>
                <c:pt idx="10">
                  <c:v>411.19354838709671</c:v>
                </c:pt>
                <c:pt idx="11">
                  <c:v>350.1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F-4D41-9EC0-265C03F4D64E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Electric!$Q$24:$Q$35</c:f>
              <c:numCache>
                <c:formatCode>#,##0_);\(#,##0\)</c:formatCode>
                <c:ptCount val="12"/>
                <c:pt idx="0">
                  <c:v>143.22580645161293</c:v>
                </c:pt>
                <c:pt idx="1">
                  <c:v>30.900000000000002</c:v>
                </c:pt>
                <c:pt idx="2">
                  <c:v>0.967741935483871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61.548387096774199</c:v>
                </c:pt>
                <c:pt idx="8">
                  <c:v>253.69999999999996</c:v>
                </c:pt>
                <c:pt idx="9">
                  <c:v>370.83870967741933</c:v>
                </c:pt>
                <c:pt idx="10">
                  <c:v>325.35483870967744</c:v>
                </c:pt>
                <c:pt idx="11">
                  <c:v>378.2999999999999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F-4D41-9EC0-265C03F4D64E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43865</c:v>
                </c:pt>
                <c:pt idx="5">
                  <c:v>43837</c:v>
                </c:pt>
                <c:pt idx="6">
                  <c:v>43805</c:v>
                </c:pt>
                <c:pt idx="7">
                  <c:v>43775</c:v>
                </c:pt>
                <c:pt idx="8">
                  <c:v>43746</c:v>
                </c:pt>
                <c:pt idx="9">
                  <c:v>43713</c:v>
                </c:pt>
                <c:pt idx="10">
                  <c:v>43682</c:v>
                </c:pt>
                <c:pt idx="11">
                  <c:v>43655</c:v>
                </c:pt>
              </c:numCache>
            </c:numRef>
          </c:cat>
          <c:val>
            <c:numRef>
              <c:f>Electric!$Q$12:$Q$23</c:f>
              <c:numCache>
                <c:formatCode>#,##0_);\(#,##0\)</c:formatCode>
                <c:ptCount val="12"/>
                <c:pt idx="0">
                  <c:v>98.709677419354847</c:v>
                </c:pt>
                <c:pt idx="1">
                  <c:v>29.5</c:v>
                </c:pt>
                <c:pt idx="2">
                  <c:v>2.225806451612903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11.419354838709676</c:v>
                </c:pt>
                <c:pt idx="8">
                  <c:v>275.5</c:v>
                </c:pt>
                <c:pt idx="9">
                  <c:v>263.61290322580646</c:v>
                </c:pt>
                <c:pt idx="10">
                  <c:v>385.64516129032262</c:v>
                </c:pt>
                <c:pt idx="11">
                  <c:v>249.19999999999993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F-4D41-9EC0-265C03F4D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87904"/>
        <c:axId val="52189440"/>
      </c:barChart>
      <c:dateAx>
        <c:axId val="5218790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189440"/>
        <c:crosses val="autoZero"/>
        <c:auto val="0"/>
        <c:lblOffset val="100"/>
        <c:baseTimeUnit val="months"/>
      </c:dateAx>
      <c:valAx>
        <c:axId val="5218944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1879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55" l="0.70000000000000062" r="0.70000000000000062" t="0.7500000000000075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Heating Degree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DDs'!$N$29:$N$40</c:f>
              <c:numCache>
                <c:formatCode>General</c:formatCode>
                <c:ptCount val="12"/>
                <c:pt idx="0">
                  <c:v>0</c:v>
                </c:pt>
                <c:pt idx="1">
                  <c:v>517</c:v>
                </c:pt>
                <c:pt idx="2">
                  <c:v>750</c:v>
                </c:pt>
                <c:pt idx="3">
                  <c:v>862</c:v>
                </c:pt>
                <c:pt idx="4">
                  <c:v>1192</c:v>
                </c:pt>
                <c:pt idx="5">
                  <c:v>1059</c:v>
                </c:pt>
                <c:pt idx="6">
                  <c:v>604</c:v>
                </c:pt>
                <c:pt idx="7">
                  <c:v>225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3-4E9C-A926-E194A321C373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DDs'!$N$17:$N$28</c:f>
              <c:numCache>
                <c:formatCode>General</c:formatCode>
                <c:ptCount val="12"/>
                <c:pt idx="0">
                  <c:v>129</c:v>
                </c:pt>
                <c:pt idx="1">
                  <c:v>330</c:v>
                </c:pt>
                <c:pt idx="2">
                  <c:v>821</c:v>
                </c:pt>
                <c:pt idx="3">
                  <c:v>959</c:v>
                </c:pt>
                <c:pt idx="4">
                  <c:v>1223</c:v>
                </c:pt>
                <c:pt idx="5">
                  <c:v>932</c:v>
                </c:pt>
                <c:pt idx="6">
                  <c:v>888</c:v>
                </c:pt>
                <c:pt idx="7">
                  <c:v>378</c:v>
                </c:pt>
                <c:pt idx="8">
                  <c:v>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3-4E9C-A926-E194A321C373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DDs'!$N$5:$N$16</c:f>
              <c:numCache>
                <c:formatCode>General</c:formatCode>
                <c:ptCount val="12"/>
                <c:pt idx="0">
                  <c:v>225</c:v>
                </c:pt>
                <c:pt idx="1">
                  <c:v>422</c:v>
                </c:pt>
                <c:pt idx="2">
                  <c:v>593</c:v>
                </c:pt>
                <c:pt idx="3">
                  <c:v>952</c:v>
                </c:pt>
                <c:pt idx="4">
                  <c:v>1008</c:v>
                </c:pt>
                <c:pt idx="5">
                  <c:v>899</c:v>
                </c:pt>
                <c:pt idx="6">
                  <c:v>826</c:v>
                </c:pt>
                <c:pt idx="7">
                  <c:v>384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3-4E9C-A926-E194A32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20288"/>
        <c:axId val="52221824"/>
      </c:barChart>
      <c:lineChart>
        <c:grouping val="standard"/>
        <c:varyColors val="0"/>
        <c:ser>
          <c:idx val="3"/>
          <c:order val="3"/>
          <c:tx>
            <c:v>Average</c:v>
          </c:tx>
          <c:marker>
            <c:symbol val="none"/>
          </c:marker>
          <c:val>
            <c:numRef>
              <c:f>'FAF &amp; DDs'!$Y$5:$Y$16</c:f>
              <c:numCache>
                <c:formatCode>0</c:formatCode>
                <c:ptCount val="12"/>
                <c:pt idx="0">
                  <c:v>116.94736842105263</c:v>
                </c:pt>
                <c:pt idx="1">
                  <c:v>324.78947368421052</c:v>
                </c:pt>
                <c:pt idx="2">
                  <c:v>664.63157894736844</c:v>
                </c:pt>
                <c:pt idx="3">
                  <c:v>959.52631578947364</c:v>
                </c:pt>
                <c:pt idx="4">
                  <c:v>1135.5263157894738</c:v>
                </c:pt>
                <c:pt idx="5">
                  <c:v>988.22222222222217</c:v>
                </c:pt>
                <c:pt idx="6">
                  <c:v>640.61111111111109</c:v>
                </c:pt>
                <c:pt idx="7">
                  <c:v>318.5</c:v>
                </c:pt>
                <c:pt idx="8">
                  <c:v>47.777777777777779</c:v>
                </c:pt>
                <c:pt idx="9">
                  <c:v>2.8888888888888888</c:v>
                </c:pt>
                <c:pt idx="10">
                  <c:v>0.77777777777777779</c:v>
                </c:pt>
                <c:pt idx="11">
                  <c:v>5.9444444444444446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B3-4E9C-A926-E194A32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20288"/>
        <c:axId val="52221824"/>
      </c:lineChart>
      <c:dateAx>
        <c:axId val="52220288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2221824"/>
        <c:crosses val="autoZero"/>
        <c:auto val="0"/>
        <c:lblOffset val="100"/>
        <c:baseTimeUnit val="months"/>
      </c:dateAx>
      <c:valAx>
        <c:axId val="52221824"/>
        <c:scaling>
          <c:orientation val="minMax"/>
          <c:max val="140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222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755" l="0.70000000000000062" r="0.70000000000000062" t="0.7500000000000075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Monthly </a:t>
            </a:r>
            <a:r>
              <a:rPr lang="en-US"/>
              <a:t>Cooling Degree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DDs'!$O$29:$O$40</c:f>
              <c:numCache>
                <c:formatCode>General</c:formatCode>
                <c:ptCount val="12"/>
                <c:pt idx="0">
                  <c:v>301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80</c:v>
                </c:pt>
                <c:pt idx="8">
                  <c:v>209</c:v>
                </c:pt>
                <c:pt idx="9">
                  <c:v>220</c:v>
                </c:pt>
                <c:pt idx="10">
                  <c:v>429</c:v>
                </c:pt>
                <c:pt idx="11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2-4FCF-BA4F-2555440EBF57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DDs'!$O$17:$O$28</c:f>
              <c:numCache>
                <c:formatCode>General</c:formatCode>
                <c:ptCount val="12"/>
                <c:pt idx="0">
                  <c:v>114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76</c:v>
                </c:pt>
                <c:pt idx="8">
                  <c:v>252</c:v>
                </c:pt>
                <c:pt idx="9">
                  <c:v>370</c:v>
                </c:pt>
                <c:pt idx="10">
                  <c:v>352</c:v>
                </c:pt>
                <c:pt idx="11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2-4FCF-BA4F-2555440EBF57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DDs'!$O$5:$O$16</c:f>
              <c:numCache>
                <c:formatCode>General</c:formatCode>
                <c:ptCount val="12"/>
                <c:pt idx="0">
                  <c:v>64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</c:v>
                </c:pt>
                <c:pt idx="8">
                  <c:v>241</c:v>
                </c:pt>
                <c:pt idx="9">
                  <c:v>267</c:v>
                </c:pt>
                <c:pt idx="10">
                  <c:v>417</c:v>
                </c:pt>
                <c:pt idx="11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2-4FCF-BA4F-2555440EB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84512"/>
        <c:axId val="52386048"/>
      </c:barChart>
      <c:lineChart>
        <c:grouping val="standard"/>
        <c:varyColors val="0"/>
        <c:ser>
          <c:idx val="3"/>
          <c:order val="3"/>
          <c:tx>
            <c:v>Average</c:v>
          </c:tx>
          <c:marker>
            <c:symbol val="none"/>
          </c:marker>
          <c:val>
            <c:numRef>
              <c:f>'FAF &amp; DDs'!$Z$5:$Z$16</c:f>
              <c:numCache>
                <c:formatCode>0</c:formatCode>
                <c:ptCount val="12"/>
                <c:pt idx="0">
                  <c:v>120.15789473684211</c:v>
                </c:pt>
                <c:pt idx="1">
                  <c:v>21.631578947368421</c:v>
                </c:pt>
                <c:pt idx="2">
                  <c:v>3.7894736842105261</c:v>
                </c:pt>
                <c:pt idx="3">
                  <c:v>0</c:v>
                </c:pt>
                <c:pt idx="4">
                  <c:v>0</c:v>
                </c:pt>
                <c:pt idx="5">
                  <c:v>5.5555555555555552E-2</c:v>
                </c:pt>
                <c:pt idx="6">
                  <c:v>1.1666666666666667</c:v>
                </c:pt>
                <c:pt idx="7">
                  <c:v>35.333333333333336</c:v>
                </c:pt>
                <c:pt idx="8">
                  <c:v>163.72222222222223</c:v>
                </c:pt>
                <c:pt idx="9">
                  <c:v>311.66666666666669</c:v>
                </c:pt>
                <c:pt idx="10">
                  <c:v>360.94444444444446</c:v>
                </c:pt>
                <c:pt idx="11">
                  <c:v>277.38888888888891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2-4FCF-BA4F-2555440EB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4512"/>
        <c:axId val="52386048"/>
      </c:lineChart>
      <c:dateAx>
        <c:axId val="5238451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386048"/>
        <c:crosses val="autoZero"/>
        <c:auto val="0"/>
        <c:lblOffset val="100"/>
        <c:baseTimeUnit val="months"/>
      </c:dateAx>
      <c:valAx>
        <c:axId val="5238604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3845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77" l="0.70000000000000062" r="0.70000000000000062" t="0.75000000000000777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Bill Cycle AVG Watts vs. HDD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Electric!$N$11</c:f>
              <c:strCache>
                <c:ptCount val="1"/>
                <c:pt idx="0">
                  <c:v>WATTS</c:v>
                </c:pt>
              </c:strCache>
            </c:strRef>
          </c:tx>
          <c:spPr>
            <a:ln w="28575">
              <a:noFill/>
            </a:ln>
          </c:spPr>
          <c:xVal>
            <c:numRef>
              <c:f>Electric!$P$12:$P$210</c:f>
              <c:numCache>
                <c:formatCode>#,##0_);\(#,##0\)</c:formatCode>
                <c:ptCount val="199"/>
                <c:pt idx="0">
                  <c:v>182.12903225806451</c:v>
                </c:pt>
                <c:pt idx="1">
                  <c:v>415.29999999999995</c:v>
                </c:pt>
                <c:pt idx="2">
                  <c:v>584.70967741935499</c:v>
                </c:pt>
                <c:pt idx="3">
                  <c:v>984.72413793103453</c:v>
                </c:pt>
                <c:pt idx="4">
                  <c:v>985.93548387096735</c:v>
                </c:pt>
                <c:pt idx="5">
                  <c:v>845.32258064516111</c:v>
                </c:pt>
                <c:pt idx="6">
                  <c:v>840.80000000000041</c:v>
                </c:pt>
                <c:pt idx="7">
                  <c:v>445.83870967741933</c:v>
                </c:pt>
                <c:pt idx="8">
                  <c:v>22.5</c:v>
                </c:pt>
                <c:pt idx="9">
                  <c:v>14.322580645161288</c:v>
                </c:pt>
                <c:pt idx="10">
                  <c:v>7.741935483870968</c:v>
                </c:pt>
                <c:pt idx="11">
                  <c:v>20.6</c:v>
                </c:pt>
                <c:pt idx="12">
                  <c:v>140.80645161290317</c:v>
                </c:pt>
                <c:pt idx="13">
                  <c:v>323.10000000000002</c:v>
                </c:pt>
                <c:pt idx="14">
                  <c:v>779.32258064516134</c:v>
                </c:pt>
                <c:pt idx="15">
                  <c:v>1034.1428571428571</c:v>
                </c:pt>
                <c:pt idx="16">
                  <c:v>1178.4193548387098</c:v>
                </c:pt>
                <c:pt idx="17">
                  <c:v>941.90322580645159</c:v>
                </c:pt>
                <c:pt idx="18">
                  <c:v>881.19999999999993</c:v>
                </c:pt>
                <c:pt idx="19">
                  <c:v>414.19354838709677</c:v>
                </c:pt>
                <c:pt idx="20">
                  <c:v>66.8</c:v>
                </c:pt>
                <c:pt idx="21">
                  <c:v>4.3548387096774199</c:v>
                </c:pt>
                <c:pt idx="22">
                  <c:v>8.8064516129032242</c:v>
                </c:pt>
                <c:pt idx="23">
                  <c:v>7.2</c:v>
                </c:pt>
                <c:pt idx="24">
                  <c:v>17.806451612903224</c:v>
                </c:pt>
                <c:pt idx="25">
                  <c:v>489.29032258064512</c:v>
                </c:pt>
                <c:pt idx="26">
                  <c:v>747.3</c:v>
                </c:pt>
                <c:pt idx="27">
                  <c:v>865.60714285714289</c:v>
                </c:pt>
                <c:pt idx="28">
                  <c:v>1085.9999999999998</c:v>
                </c:pt>
                <c:pt idx="29">
                  <c:v>1095.2903225806451</c:v>
                </c:pt>
                <c:pt idx="30">
                  <c:v>635.69999999999993</c:v>
                </c:pt>
                <c:pt idx="31">
                  <c:v>272.03225806451616</c:v>
                </c:pt>
                <c:pt idx="32">
                  <c:v>78.699999999999989</c:v>
                </c:pt>
                <c:pt idx="33">
                  <c:v>41.709677419354833</c:v>
                </c:pt>
                <c:pt idx="34">
                  <c:v>3.7741935483870965</c:v>
                </c:pt>
                <c:pt idx="35">
                  <c:v>19.000000000000004</c:v>
                </c:pt>
                <c:pt idx="36">
                  <c:v>126.58064516129033</c:v>
                </c:pt>
                <c:pt idx="37">
                  <c:v>231.60000000000002</c:v>
                </c:pt>
                <c:pt idx="38">
                  <c:v>582.00000000000011</c:v>
                </c:pt>
                <c:pt idx="39">
                  <c:v>619.17857142857133</c:v>
                </c:pt>
                <c:pt idx="40">
                  <c:v>940.25806451612914</c:v>
                </c:pt>
                <c:pt idx="41">
                  <c:v>1018.5483870967743</c:v>
                </c:pt>
                <c:pt idx="42">
                  <c:v>539.4</c:v>
                </c:pt>
                <c:pt idx="43">
                  <c:v>180.00000000000003</c:v>
                </c:pt>
                <c:pt idx="44">
                  <c:v>42.6</c:v>
                </c:pt>
                <c:pt idx="45">
                  <c:v>7.3548387096774199</c:v>
                </c:pt>
                <c:pt idx="46">
                  <c:v>2.4193548387096775</c:v>
                </c:pt>
                <c:pt idx="47">
                  <c:v>12.1</c:v>
                </c:pt>
                <c:pt idx="48">
                  <c:v>124.93548387096773</c:v>
                </c:pt>
                <c:pt idx="49">
                  <c:v>302.20000000000005</c:v>
                </c:pt>
                <c:pt idx="50">
                  <c:v>447.19354838709671</c:v>
                </c:pt>
                <c:pt idx="51">
                  <c:v>901.44827586206895</c:v>
                </c:pt>
                <c:pt idx="52">
                  <c:v>1048.4516129032259</c:v>
                </c:pt>
                <c:pt idx="53">
                  <c:v>695.51612903225805</c:v>
                </c:pt>
                <c:pt idx="54">
                  <c:v>542.6</c:v>
                </c:pt>
                <c:pt idx="55">
                  <c:v>272.70967741935482</c:v>
                </c:pt>
                <c:pt idx="56">
                  <c:v>75.3</c:v>
                </c:pt>
                <c:pt idx="57">
                  <c:v>27.096774193548388</c:v>
                </c:pt>
                <c:pt idx="58">
                  <c:v>7.258064516129032</c:v>
                </c:pt>
                <c:pt idx="59">
                  <c:v>5.4</c:v>
                </c:pt>
                <c:pt idx="60">
                  <c:v>84.967741935483872</c:v>
                </c:pt>
                <c:pt idx="61">
                  <c:v>276.79999999999995</c:v>
                </c:pt>
                <c:pt idx="62">
                  <c:v>661.45161290322596</c:v>
                </c:pt>
                <c:pt idx="63">
                  <c:v>1296.5357142857142</c:v>
                </c:pt>
                <c:pt idx="64">
                  <c:v>1127.9032258064515</c:v>
                </c:pt>
                <c:pt idx="65">
                  <c:v>897.00000000000023</c:v>
                </c:pt>
                <c:pt idx="66">
                  <c:v>873</c:v>
                </c:pt>
                <c:pt idx="67">
                  <c:v>354.48387096774189</c:v>
                </c:pt>
                <c:pt idx="68">
                  <c:v>136.39999999999998</c:v>
                </c:pt>
                <c:pt idx="69">
                  <c:v>7.258064516129032</c:v>
                </c:pt>
                <c:pt idx="70">
                  <c:v>41.032258064516121</c:v>
                </c:pt>
                <c:pt idx="71">
                  <c:v>14.399999999999999</c:v>
                </c:pt>
                <c:pt idx="72">
                  <c:v>109.54838709677421</c:v>
                </c:pt>
                <c:pt idx="73">
                  <c:v>325.5</c:v>
                </c:pt>
                <c:pt idx="74">
                  <c:v>774.77419354838696</c:v>
                </c:pt>
                <c:pt idx="75">
                  <c:v>1325.1428571428571</c:v>
                </c:pt>
                <c:pt idx="76">
                  <c:v>1293.8709677419358</c:v>
                </c:pt>
                <c:pt idx="77">
                  <c:v>1151.3225806451615</c:v>
                </c:pt>
                <c:pt idx="78">
                  <c:v>789.4</c:v>
                </c:pt>
                <c:pt idx="79">
                  <c:v>396.96774193548384</c:v>
                </c:pt>
                <c:pt idx="80">
                  <c:v>89.200000000000017</c:v>
                </c:pt>
                <c:pt idx="81">
                  <c:v>27.580645161290324</c:v>
                </c:pt>
                <c:pt idx="82">
                  <c:v>21.290322580645164</c:v>
                </c:pt>
                <c:pt idx="83">
                  <c:v>25.900000000000002</c:v>
                </c:pt>
                <c:pt idx="84">
                  <c:v>134.80645161290323</c:v>
                </c:pt>
                <c:pt idx="85">
                  <c:v>382.9</c:v>
                </c:pt>
                <c:pt idx="86">
                  <c:v>871.25806451612902</c:v>
                </c:pt>
                <c:pt idx="87">
                  <c:v>1007.6785714285714</c:v>
                </c:pt>
                <c:pt idx="88">
                  <c:v>1045.0645161290322</c:v>
                </c:pt>
                <c:pt idx="89">
                  <c:v>875.22580645161281</c:v>
                </c:pt>
                <c:pt idx="90">
                  <c:v>600.29999999999995</c:v>
                </c:pt>
                <c:pt idx="91">
                  <c:v>411.48387096774189</c:v>
                </c:pt>
                <c:pt idx="92">
                  <c:v>149.69999999999996</c:v>
                </c:pt>
                <c:pt idx="93">
                  <c:v>32.032258064516135</c:v>
                </c:pt>
                <c:pt idx="94">
                  <c:v>1.1612903225806455</c:v>
                </c:pt>
                <c:pt idx="95">
                  <c:v>32.199999999999996</c:v>
                </c:pt>
                <c:pt idx="96">
                  <c:v>83.709677419354833</c:v>
                </c:pt>
                <c:pt idx="97">
                  <c:v>277.60000000000002</c:v>
                </c:pt>
                <c:pt idx="98">
                  <c:v>275.51612903225811</c:v>
                </c:pt>
                <c:pt idx="99">
                  <c:v>840.93103448275872</c:v>
                </c:pt>
                <c:pt idx="100">
                  <c:v>927.19354838709683</c:v>
                </c:pt>
                <c:pt idx="101">
                  <c:v>835.25806451612902</c:v>
                </c:pt>
                <c:pt idx="102">
                  <c:v>575.79999999999995</c:v>
                </c:pt>
                <c:pt idx="103">
                  <c:v>316.74193548387092</c:v>
                </c:pt>
                <c:pt idx="104">
                  <c:v>188.4</c:v>
                </c:pt>
                <c:pt idx="105">
                  <c:v>16.935483870967744</c:v>
                </c:pt>
                <c:pt idx="106">
                  <c:v>0.87096774193548376</c:v>
                </c:pt>
                <c:pt idx="107">
                  <c:v>8.1666666666666679</c:v>
                </c:pt>
                <c:pt idx="108">
                  <c:v>27.5</c:v>
                </c:pt>
                <c:pt idx="109">
                  <c:v>96.176470588235276</c:v>
                </c:pt>
                <c:pt idx="110">
                  <c:v>327.96428571428578</c:v>
                </c:pt>
                <c:pt idx="111">
                  <c:v>568.03448275862058</c:v>
                </c:pt>
                <c:pt idx="112">
                  <c:v>836.79999999999984</c:v>
                </c:pt>
                <c:pt idx="113">
                  <c:v>1270.7586206896553</c:v>
                </c:pt>
                <c:pt idx="114">
                  <c:v>1147.0285714285715</c:v>
                </c:pt>
                <c:pt idx="115">
                  <c:v>677.90625</c:v>
                </c:pt>
                <c:pt idx="116">
                  <c:v>307.77777777777771</c:v>
                </c:pt>
                <c:pt idx="117">
                  <c:v>151.86206896551727</c:v>
                </c:pt>
                <c:pt idx="118">
                  <c:v>24.58064516129032</c:v>
                </c:pt>
                <c:pt idx="119">
                  <c:v>0.75</c:v>
                </c:pt>
                <c:pt idx="120">
                  <c:v>4.7</c:v>
                </c:pt>
                <c:pt idx="121">
                  <c:v>98.625000000000014</c:v>
                </c:pt>
                <c:pt idx="122">
                  <c:v>191.89655172413788</c:v>
                </c:pt>
                <c:pt idx="123">
                  <c:v>416.70967741935476</c:v>
                </c:pt>
                <c:pt idx="124">
                  <c:v>1102.2857142857144</c:v>
                </c:pt>
                <c:pt idx="125">
                  <c:v>1085.2500000000002</c:v>
                </c:pt>
                <c:pt idx="126">
                  <c:v>1250.9999999999998</c:v>
                </c:pt>
                <c:pt idx="127">
                  <c:v>639.51724137931035</c:v>
                </c:pt>
                <c:pt idx="128">
                  <c:v>423.5454545454545</c:v>
                </c:pt>
                <c:pt idx="129">
                  <c:v>145.86206896551721</c:v>
                </c:pt>
                <c:pt idx="130">
                  <c:v>45.909090909090907</c:v>
                </c:pt>
                <c:pt idx="131">
                  <c:v>20.896551724137932</c:v>
                </c:pt>
                <c:pt idx="132">
                  <c:v>9.3999999999999986</c:v>
                </c:pt>
                <c:pt idx="133">
                  <c:v>91.451612903225822</c:v>
                </c:pt>
                <c:pt idx="134">
                  <c:v>279.10344827586198</c:v>
                </c:pt>
                <c:pt idx="135">
                  <c:v>555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xVal>
          <c:yVal>
            <c:numRef>
              <c:f>Electric!$N$12:$N$210</c:f>
              <c:numCache>
                <c:formatCode>#,##0_);\(#,##0\)</c:formatCode>
                <c:ptCount val="199"/>
                <c:pt idx="0">
                  <c:v>48924.731182795702</c:v>
                </c:pt>
                <c:pt idx="1">
                  <c:v>44166.666666666664</c:v>
                </c:pt>
                <c:pt idx="2">
                  <c:v>47849.462365591397</c:v>
                </c:pt>
                <c:pt idx="3">
                  <c:v>53735.632183908048</c:v>
                </c:pt>
                <c:pt idx="4">
                  <c:v>49462.365591397851</c:v>
                </c:pt>
                <c:pt idx="5">
                  <c:v>48387.096774193546</c:v>
                </c:pt>
                <c:pt idx="6">
                  <c:v>47777.777777777781</c:v>
                </c:pt>
                <c:pt idx="7">
                  <c:v>50000</c:v>
                </c:pt>
                <c:pt idx="8">
                  <c:v>63888.888888888883</c:v>
                </c:pt>
                <c:pt idx="9">
                  <c:v>61559.139784946237</c:v>
                </c:pt>
                <c:pt idx="10">
                  <c:v>69086.021505376339</c:v>
                </c:pt>
                <c:pt idx="11">
                  <c:v>63888.888888888883</c:v>
                </c:pt>
                <c:pt idx="12">
                  <c:v>53494.62365591398</c:v>
                </c:pt>
                <c:pt idx="13">
                  <c:v>51944.444444444453</c:v>
                </c:pt>
                <c:pt idx="14">
                  <c:v>50806.451612903227</c:v>
                </c:pt>
                <c:pt idx="15">
                  <c:v>51190.476190476198</c:v>
                </c:pt>
                <c:pt idx="16">
                  <c:v>52419.354838709674</c:v>
                </c:pt>
                <c:pt idx="17">
                  <c:v>47849.462365591397</c:v>
                </c:pt>
                <c:pt idx="18">
                  <c:v>48055.555555555547</c:v>
                </c:pt>
                <c:pt idx="19">
                  <c:v>52419.354838709674</c:v>
                </c:pt>
                <c:pt idx="20">
                  <c:v>61388.888888888883</c:v>
                </c:pt>
                <c:pt idx="21">
                  <c:v>63172.043010752692</c:v>
                </c:pt>
                <c:pt idx="22">
                  <c:v>65322.580645161295</c:v>
                </c:pt>
                <c:pt idx="23">
                  <c:v>65277.777777777788</c:v>
                </c:pt>
                <c:pt idx="24">
                  <c:v>43010.752688172041</c:v>
                </c:pt>
                <c:pt idx="25">
                  <c:v>60483.870967741932</c:v>
                </c:pt>
                <c:pt idx="26">
                  <c:v>52777.777777777781</c:v>
                </c:pt>
                <c:pt idx="27">
                  <c:v>55059.523809523802</c:v>
                </c:pt>
                <c:pt idx="28">
                  <c:v>55913.978494623654</c:v>
                </c:pt>
                <c:pt idx="29">
                  <c:v>50537.634408602149</c:v>
                </c:pt>
                <c:pt idx="30">
                  <c:v>48888.888888888883</c:v>
                </c:pt>
                <c:pt idx="31">
                  <c:v>49731.182795698922</c:v>
                </c:pt>
                <c:pt idx="32">
                  <c:v>60277.777777777781</c:v>
                </c:pt>
                <c:pt idx="33">
                  <c:v>62903.225806451614</c:v>
                </c:pt>
                <c:pt idx="34">
                  <c:v>65860.215053763444</c:v>
                </c:pt>
                <c:pt idx="35">
                  <c:v>63333.333333333336</c:v>
                </c:pt>
                <c:pt idx="36">
                  <c:v>41397.849462365593</c:v>
                </c:pt>
                <c:pt idx="37">
                  <c:v>70277.777777777781</c:v>
                </c:pt>
                <c:pt idx="38">
                  <c:v>53494.62365591398</c:v>
                </c:pt>
                <c:pt idx="39">
                  <c:v>112202.38095238095</c:v>
                </c:pt>
                <c:pt idx="40">
                  <c:v>0</c:v>
                </c:pt>
                <c:pt idx="41">
                  <c:v>53225.806451612902</c:v>
                </c:pt>
                <c:pt idx="42">
                  <c:v>53333.333333333336</c:v>
                </c:pt>
                <c:pt idx="43">
                  <c:v>44354.838709677417</c:v>
                </c:pt>
                <c:pt idx="44">
                  <c:v>73888.888888888891</c:v>
                </c:pt>
                <c:pt idx="45">
                  <c:v>67473.118279569884</c:v>
                </c:pt>
                <c:pt idx="46">
                  <c:v>137634.40860215054</c:v>
                </c:pt>
                <c:pt idx="47">
                  <c:v>56944.444444444453</c:v>
                </c:pt>
                <c:pt idx="48">
                  <c:v>52150.537634408603</c:v>
                </c:pt>
                <c:pt idx="49">
                  <c:v>53611.111111111117</c:v>
                </c:pt>
                <c:pt idx="50">
                  <c:v>49193.548387096773</c:v>
                </c:pt>
                <c:pt idx="51">
                  <c:v>58045.977011494251</c:v>
                </c:pt>
                <c:pt idx="52">
                  <c:v>0</c:v>
                </c:pt>
                <c:pt idx="53">
                  <c:v>50000</c:v>
                </c:pt>
                <c:pt idx="54">
                  <c:v>104166.66666666667</c:v>
                </c:pt>
                <c:pt idx="55">
                  <c:v>0</c:v>
                </c:pt>
                <c:pt idx="56">
                  <c:v>58055.555555555547</c:v>
                </c:pt>
                <c:pt idx="57">
                  <c:v>75806.451612903213</c:v>
                </c:pt>
                <c:pt idx="58">
                  <c:v>54569.892473118278</c:v>
                </c:pt>
                <c:pt idx="59">
                  <c:v>119444.44444444444</c:v>
                </c:pt>
                <c:pt idx="60">
                  <c:v>16935.483870967739</c:v>
                </c:pt>
                <c:pt idx="61">
                  <c:v>38888.888888888891</c:v>
                </c:pt>
                <c:pt idx="62">
                  <c:v>106720.43010752689</c:v>
                </c:pt>
                <c:pt idx="63">
                  <c:v>66964.28571428571</c:v>
                </c:pt>
                <c:pt idx="64">
                  <c:v>0</c:v>
                </c:pt>
                <c:pt idx="65">
                  <c:v>56989.247311827959</c:v>
                </c:pt>
                <c:pt idx="66">
                  <c:v>64722.222222222212</c:v>
                </c:pt>
                <c:pt idx="67">
                  <c:v>45430.107526881722</c:v>
                </c:pt>
                <c:pt idx="68">
                  <c:v>52500</c:v>
                </c:pt>
                <c:pt idx="69">
                  <c:v>65860.215053763444</c:v>
                </c:pt>
                <c:pt idx="70">
                  <c:v>56720.430107526881</c:v>
                </c:pt>
                <c:pt idx="71">
                  <c:v>68055.555555555562</c:v>
                </c:pt>
                <c:pt idx="72">
                  <c:v>53494.62365591398</c:v>
                </c:pt>
                <c:pt idx="73">
                  <c:v>46111.111111111117</c:v>
                </c:pt>
                <c:pt idx="74">
                  <c:v>48387.096774193546</c:v>
                </c:pt>
                <c:pt idx="75">
                  <c:v>52678.57142857142</c:v>
                </c:pt>
                <c:pt idx="76">
                  <c:v>52956.989247311831</c:v>
                </c:pt>
                <c:pt idx="77">
                  <c:v>49731.182795698922</c:v>
                </c:pt>
                <c:pt idx="78">
                  <c:v>45833.333333333336</c:v>
                </c:pt>
                <c:pt idx="79">
                  <c:v>47311.827956989247</c:v>
                </c:pt>
                <c:pt idx="80">
                  <c:v>58333.333333333336</c:v>
                </c:pt>
                <c:pt idx="81">
                  <c:v>59677.419354838712</c:v>
                </c:pt>
                <c:pt idx="82">
                  <c:v>62903.225806451614</c:v>
                </c:pt>
                <c:pt idx="83">
                  <c:v>59166.666666666664</c:v>
                </c:pt>
                <c:pt idx="84">
                  <c:v>49193.548387096773</c:v>
                </c:pt>
                <c:pt idx="85">
                  <c:v>51388.888888888883</c:v>
                </c:pt>
                <c:pt idx="86">
                  <c:v>49193.548387096773</c:v>
                </c:pt>
                <c:pt idx="87">
                  <c:v>50000</c:v>
                </c:pt>
                <c:pt idx="88">
                  <c:v>50000</c:v>
                </c:pt>
                <c:pt idx="89">
                  <c:v>47311.827956989247</c:v>
                </c:pt>
                <c:pt idx="90">
                  <c:v>46111.111111111117</c:v>
                </c:pt>
                <c:pt idx="91">
                  <c:v>49731.182795698922</c:v>
                </c:pt>
                <c:pt idx="92">
                  <c:v>53888.888888888883</c:v>
                </c:pt>
                <c:pt idx="93">
                  <c:v>60752.68817204301</c:v>
                </c:pt>
                <c:pt idx="94">
                  <c:v>73655.913978494631</c:v>
                </c:pt>
                <c:pt idx="95">
                  <c:v>63333.333333333336</c:v>
                </c:pt>
                <c:pt idx="96">
                  <c:v>54838.709677419356</c:v>
                </c:pt>
                <c:pt idx="97">
                  <c:v>50000</c:v>
                </c:pt>
                <c:pt idx="98">
                  <c:v>51881.720430107525</c:v>
                </c:pt>
                <c:pt idx="99">
                  <c:v>52586.206896551725</c:v>
                </c:pt>
                <c:pt idx="100">
                  <c:v>56182.795698924732</c:v>
                </c:pt>
                <c:pt idx="101">
                  <c:v>50537.634408602149</c:v>
                </c:pt>
                <c:pt idx="102">
                  <c:v>50277.777777777781</c:v>
                </c:pt>
                <c:pt idx="103">
                  <c:v>50268.817204301078</c:v>
                </c:pt>
                <c:pt idx="104">
                  <c:v>46944.444444444453</c:v>
                </c:pt>
                <c:pt idx="105">
                  <c:v>66397.849462365586</c:v>
                </c:pt>
                <c:pt idx="106">
                  <c:v>69047.619047619053</c:v>
                </c:pt>
                <c:pt idx="107">
                  <c:v>69047.619047619053</c:v>
                </c:pt>
                <c:pt idx="108">
                  <c:v>59722.222222222219</c:v>
                </c:pt>
                <c:pt idx="109">
                  <c:v>61274.509803921566</c:v>
                </c:pt>
                <c:pt idx="110">
                  <c:v>50892.857142857138</c:v>
                </c:pt>
                <c:pt idx="111">
                  <c:v>53735.632183908048</c:v>
                </c:pt>
                <c:pt idx="112">
                  <c:v>54237.288135593219</c:v>
                </c:pt>
                <c:pt idx="113">
                  <c:v>54237.288135593219</c:v>
                </c:pt>
                <c:pt idx="114">
                  <c:v>53333.333333333336</c:v>
                </c:pt>
                <c:pt idx="115">
                  <c:v>54687.5</c:v>
                </c:pt>
                <c:pt idx="116">
                  <c:v>57716.049382716054</c:v>
                </c:pt>
                <c:pt idx="117">
                  <c:v>69252.873563218382</c:v>
                </c:pt>
                <c:pt idx="118">
                  <c:v>73924.731182795702</c:v>
                </c:pt>
                <c:pt idx="119">
                  <c:v>87760.416666666672</c:v>
                </c:pt>
                <c:pt idx="120">
                  <c:v>73055.555555555562</c:v>
                </c:pt>
                <c:pt idx="121">
                  <c:v>71093.75</c:v>
                </c:pt>
                <c:pt idx="122">
                  <c:v>60632.183908045983</c:v>
                </c:pt>
                <c:pt idx="123">
                  <c:v>59745.762711864409</c:v>
                </c:pt>
                <c:pt idx="124">
                  <c:v>59745.762711864409</c:v>
                </c:pt>
                <c:pt idx="125">
                  <c:v>60119.047619047618</c:v>
                </c:pt>
                <c:pt idx="126">
                  <c:v>53921.568627450972</c:v>
                </c:pt>
                <c:pt idx="127">
                  <c:v>54022.988505747126</c:v>
                </c:pt>
                <c:pt idx="128">
                  <c:v>52020.202020202021</c:v>
                </c:pt>
                <c:pt idx="129">
                  <c:v>59770.114942528744</c:v>
                </c:pt>
                <c:pt idx="130">
                  <c:v>67171.717171717159</c:v>
                </c:pt>
                <c:pt idx="131">
                  <c:v>71264.367816091966</c:v>
                </c:pt>
                <c:pt idx="132">
                  <c:v>73888.888888888891</c:v>
                </c:pt>
                <c:pt idx="133">
                  <c:v>59139.784946236556</c:v>
                </c:pt>
                <c:pt idx="134">
                  <c:v>58333.333333333336</c:v>
                </c:pt>
                <c:pt idx="135">
                  <c:v>58055.555555555547</c:v>
                </c:pt>
                <c:pt idx="136">
                  <c:v>58196.721311475412</c:v>
                </c:pt>
                <c:pt idx="137">
                  <c:v>58196.721311475412</c:v>
                </c:pt>
                <c:pt idx="138">
                  <c:v>52419.354838709674</c:v>
                </c:pt>
                <c:pt idx="139">
                  <c:v>51612.903225806454</c:v>
                </c:pt>
                <c:pt idx="140">
                  <c:v>54166.666666666664</c:v>
                </c:pt>
                <c:pt idx="141">
                  <c:v>59139.784946236556</c:v>
                </c:pt>
                <c:pt idx="142">
                  <c:v>64761.904761904756</c:v>
                </c:pt>
                <c:pt idx="143">
                  <c:v>68434.343434343435</c:v>
                </c:pt>
                <c:pt idx="144">
                  <c:v>68611.111111111109</c:v>
                </c:pt>
                <c:pt idx="145">
                  <c:v>53735.632183908048</c:v>
                </c:pt>
                <c:pt idx="146">
                  <c:v>54012.345679012345</c:v>
                </c:pt>
                <c:pt idx="147">
                  <c:v>52864.583333333336</c:v>
                </c:pt>
                <c:pt idx="148">
                  <c:v>56845.238095238092</c:v>
                </c:pt>
                <c:pt idx="149">
                  <c:v>59677.419354838712</c:v>
                </c:pt>
                <c:pt idx="150">
                  <c:v>50245.098039215693</c:v>
                </c:pt>
                <c:pt idx="151">
                  <c:v>56084.656084656082</c:v>
                </c:pt>
                <c:pt idx="152">
                  <c:v>56084.656084656082</c:v>
                </c:pt>
                <c:pt idx="153">
                  <c:v>75892.857142857145</c:v>
                </c:pt>
                <c:pt idx="154">
                  <c:v>91919.191919191915</c:v>
                </c:pt>
                <c:pt idx="155">
                  <c:v>73655.913978494631</c:v>
                </c:pt>
                <c:pt idx="156">
                  <c:v>72916.666666666672</c:v>
                </c:pt>
                <c:pt idx="157">
                  <c:v>64942.528735632179</c:v>
                </c:pt>
                <c:pt idx="158">
                  <c:v>54292.929292929293</c:v>
                </c:pt>
                <c:pt idx="159">
                  <c:v>55246.91358024691</c:v>
                </c:pt>
                <c:pt idx="160">
                  <c:v>57471.264367816097</c:v>
                </c:pt>
                <c:pt idx="161">
                  <c:v>59195.402298850575</c:v>
                </c:pt>
                <c:pt idx="162">
                  <c:v>51904.761904761908</c:v>
                </c:pt>
                <c:pt idx="163">
                  <c:v>52873.563218390809</c:v>
                </c:pt>
                <c:pt idx="164">
                  <c:v>62239.583333333336</c:v>
                </c:pt>
                <c:pt idx="165">
                  <c:v>68209.876543209873</c:v>
                </c:pt>
                <c:pt idx="166">
                  <c:v>76944.444444444438</c:v>
                </c:pt>
                <c:pt idx="167">
                  <c:v>89080.459770114947</c:v>
                </c:pt>
                <c:pt idx="168">
                  <c:v>79687.5</c:v>
                </c:pt>
                <c:pt idx="169">
                  <c:v>76344.086021505369</c:v>
                </c:pt>
                <c:pt idx="170">
                  <c:v>70572.916666666672</c:v>
                </c:pt>
                <c:pt idx="171">
                  <c:v>67385.057471264372</c:v>
                </c:pt>
                <c:pt idx="172">
                  <c:v>67385.057471264372</c:v>
                </c:pt>
                <c:pt idx="173">
                  <c:v>68888.888888888891</c:v>
                </c:pt>
                <c:pt idx="174">
                  <c:v>61274.509803921566</c:v>
                </c:pt>
                <c:pt idx="175">
                  <c:v>63383.838383838389</c:v>
                </c:pt>
                <c:pt idx="176">
                  <c:v>69252.873563218382</c:v>
                </c:pt>
                <c:pt idx="177">
                  <c:v>85049.019607843133</c:v>
                </c:pt>
                <c:pt idx="178">
                  <c:v>95555.555555555562</c:v>
                </c:pt>
                <c:pt idx="179">
                  <c:v>91666.666666666672</c:v>
                </c:pt>
                <c:pt idx="180">
                  <c:v>89705.882352941175</c:v>
                </c:pt>
                <c:pt idx="181">
                  <c:v>80000</c:v>
                </c:pt>
                <c:pt idx="182">
                  <c:v>74712.643678160923</c:v>
                </c:pt>
                <c:pt idx="183">
                  <c:v>66517.857142857145</c:v>
                </c:pt>
                <c:pt idx="184">
                  <c:v>78672.316384180784</c:v>
                </c:pt>
                <c:pt idx="185">
                  <c:v>72043.010752688177</c:v>
                </c:pt>
                <c:pt idx="186">
                  <c:v>72043.010752688177</c:v>
                </c:pt>
                <c:pt idx="187">
                  <c:v>62916.666666666664</c:v>
                </c:pt>
                <c:pt idx="188">
                  <c:v>72333.333333333328</c:v>
                </c:pt>
                <c:pt idx="189">
                  <c:v>72333.333333333328</c:v>
                </c:pt>
                <c:pt idx="190">
                  <c:v>94758.06451612903</c:v>
                </c:pt>
                <c:pt idx="191">
                  <c:v>104722.22222222223</c:v>
                </c:pt>
                <c:pt idx="192">
                  <c:v>104722.22222222223</c:v>
                </c:pt>
                <c:pt idx="193">
                  <c:v>87121.212121212127</c:v>
                </c:pt>
                <c:pt idx="194">
                  <c:v>87202.380952380947</c:v>
                </c:pt>
                <c:pt idx="195">
                  <c:v>74761.904761904763</c:v>
                </c:pt>
                <c:pt idx="196">
                  <c:v>74404.761904761908</c:v>
                </c:pt>
                <c:pt idx="197">
                  <c:v>80459.770114942527</c:v>
                </c:pt>
                <c:pt idx="198">
                  <c:v>77011.494252873556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7-4E68-A7F5-6B4F3004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2912"/>
        <c:axId val="52425088"/>
      </c:scatterChart>
      <c:valAx>
        <c:axId val="5242291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 Cycle HDD</a:t>
                </a:r>
                <a:r>
                  <a:rPr lang="en-US" sz="1000" b="1" i="0" u="none" strike="noStrike" baseline="0">
                    <a:effectLst/>
                  </a:rPr>
                  <a:t> </a:t>
                </a:r>
                <a:r>
                  <a:rPr lang="en-US" sz="700" b="1" i="0" u="none" strike="noStrike" baseline="0">
                    <a:effectLst/>
                  </a:rPr>
                  <a:t>(per 30 days)</a:t>
                </a:r>
                <a:endParaRPr lang="en-US" sz="700"/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crossAx val="52425088"/>
        <c:crosses val="autoZero"/>
        <c:crossBetween val="midCat"/>
      </c:valAx>
      <c:valAx>
        <c:axId val="5242508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 Cycle Average Watts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52422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Bill Cycle AVG Watts vs. CDD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Electric!$N$11</c:f>
              <c:strCache>
                <c:ptCount val="1"/>
                <c:pt idx="0">
                  <c:v>WATTS</c:v>
                </c:pt>
              </c:strCache>
            </c:strRef>
          </c:tx>
          <c:spPr>
            <a:ln w="28575">
              <a:noFill/>
            </a:ln>
          </c:spPr>
          <c:xVal>
            <c:numRef>
              <c:f>Electric!$Q$12:$Q$210</c:f>
              <c:numCache>
                <c:formatCode>#,##0_);\(#,##0\)</c:formatCode>
                <c:ptCount val="199"/>
                <c:pt idx="0">
                  <c:v>98.709677419354847</c:v>
                </c:pt>
                <c:pt idx="1">
                  <c:v>29.5</c:v>
                </c:pt>
                <c:pt idx="2">
                  <c:v>2.225806451612903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11.419354838709676</c:v>
                </c:pt>
                <c:pt idx="8">
                  <c:v>275.5</c:v>
                </c:pt>
                <c:pt idx="9">
                  <c:v>263.61290322580646</c:v>
                </c:pt>
                <c:pt idx="10">
                  <c:v>385.64516129032262</c:v>
                </c:pt>
                <c:pt idx="11">
                  <c:v>249.19999999999993</c:v>
                </c:pt>
                <c:pt idx="12">
                  <c:v>143.22580645161293</c:v>
                </c:pt>
                <c:pt idx="13">
                  <c:v>30.900000000000002</c:v>
                </c:pt>
                <c:pt idx="14">
                  <c:v>0.967741935483871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61.548387096774199</c:v>
                </c:pt>
                <c:pt idx="20">
                  <c:v>253.69999999999996</c:v>
                </c:pt>
                <c:pt idx="21">
                  <c:v>370.83870967741933</c:v>
                </c:pt>
                <c:pt idx="22">
                  <c:v>325.35483870967744</c:v>
                </c:pt>
                <c:pt idx="23">
                  <c:v>378.2999999999999</c:v>
                </c:pt>
                <c:pt idx="24">
                  <c:v>304.8387096774195</c:v>
                </c:pt>
                <c:pt idx="25">
                  <c:v>46.838709677419359</c:v>
                </c:pt>
                <c:pt idx="26">
                  <c:v>0</c:v>
                </c:pt>
                <c:pt idx="27">
                  <c:v>0.6428571428571429</c:v>
                </c:pt>
                <c:pt idx="28">
                  <c:v>0</c:v>
                </c:pt>
                <c:pt idx="29">
                  <c:v>0.19354838709677419</c:v>
                </c:pt>
                <c:pt idx="30">
                  <c:v>1.7999999999999998</c:v>
                </c:pt>
                <c:pt idx="31">
                  <c:v>80.225806451612897</c:v>
                </c:pt>
                <c:pt idx="32">
                  <c:v>248.29999999999995</c:v>
                </c:pt>
                <c:pt idx="33">
                  <c:v>226.64516129032262</c:v>
                </c:pt>
                <c:pt idx="34">
                  <c:v>411.19354838709671</c:v>
                </c:pt>
                <c:pt idx="35">
                  <c:v>350.1</c:v>
                </c:pt>
                <c:pt idx="36">
                  <c:v>150.09677419354838</c:v>
                </c:pt>
                <c:pt idx="37">
                  <c:v>70.3</c:v>
                </c:pt>
                <c:pt idx="38">
                  <c:v>6.5806451612903238</c:v>
                </c:pt>
                <c:pt idx="39">
                  <c:v>6.9642857142857144</c:v>
                </c:pt>
                <c:pt idx="40">
                  <c:v>0</c:v>
                </c:pt>
                <c:pt idx="41">
                  <c:v>0</c:v>
                </c:pt>
                <c:pt idx="42">
                  <c:v>5.0999999999999996</c:v>
                </c:pt>
                <c:pt idx="43">
                  <c:v>97.645161290322591</c:v>
                </c:pt>
                <c:pt idx="44">
                  <c:v>248.5</c:v>
                </c:pt>
                <c:pt idx="45">
                  <c:v>345.87096774193532</c:v>
                </c:pt>
                <c:pt idx="46">
                  <c:v>384.38709677419359</c:v>
                </c:pt>
                <c:pt idx="47">
                  <c:v>380.8</c:v>
                </c:pt>
                <c:pt idx="48">
                  <c:v>142.35483870967744</c:v>
                </c:pt>
                <c:pt idx="49">
                  <c:v>50.8</c:v>
                </c:pt>
                <c:pt idx="50">
                  <c:v>6.967741935483871</c:v>
                </c:pt>
                <c:pt idx="51">
                  <c:v>2.5862068965517242</c:v>
                </c:pt>
                <c:pt idx="52">
                  <c:v>0</c:v>
                </c:pt>
                <c:pt idx="53">
                  <c:v>0.967741935483871</c:v>
                </c:pt>
                <c:pt idx="54">
                  <c:v>2.6</c:v>
                </c:pt>
                <c:pt idx="55">
                  <c:v>48.967741935483858</c:v>
                </c:pt>
                <c:pt idx="56">
                  <c:v>231.00000000000003</c:v>
                </c:pt>
                <c:pt idx="57">
                  <c:v>284.03225806451604</c:v>
                </c:pt>
                <c:pt idx="58">
                  <c:v>362.22580645161304</c:v>
                </c:pt>
                <c:pt idx="59">
                  <c:v>304</c:v>
                </c:pt>
                <c:pt idx="60">
                  <c:v>164.70967741935485</c:v>
                </c:pt>
                <c:pt idx="61">
                  <c:v>36.200000000000003</c:v>
                </c:pt>
                <c:pt idx="62">
                  <c:v>10.35483870967742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0.8</c:v>
                </c:pt>
                <c:pt idx="67">
                  <c:v>20.129032258064516</c:v>
                </c:pt>
                <c:pt idx="68">
                  <c:v>136.80000000000001</c:v>
                </c:pt>
                <c:pt idx="69">
                  <c:v>320.12903225806451</c:v>
                </c:pt>
                <c:pt idx="70">
                  <c:v>251.41935483870969</c:v>
                </c:pt>
                <c:pt idx="71">
                  <c:v>293.90000000000009</c:v>
                </c:pt>
                <c:pt idx="72">
                  <c:v>213.9677419354839</c:v>
                </c:pt>
                <c:pt idx="73">
                  <c:v>38.699999999999996</c:v>
                </c:pt>
                <c:pt idx="74">
                  <c:v>2.129032258064516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44.612903225806434</c:v>
                </c:pt>
                <c:pt idx="80">
                  <c:v>194.2</c:v>
                </c:pt>
                <c:pt idx="81">
                  <c:v>282.38709677419365</c:v>
                </c:pt>
                <c:pt idx="82">
                  <c:v>310.83870967741939</c:v>
                </c:pt>
                <c:pt idx="83">
                  <c:v>254.79999999999995</c:v>
                </c:pt>
                <c:pt idx="84">
                  <c:v>120.77419354838709</c:v>
                </c:pt>
                <c:pt idx="85">
                  <c:v>35.4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1.7419354838709677</c:v>
                </c:pt>
                <c:pt idx="90">
                  <c:v>4.4000000000000004</c:v>
                </c:pt>
                <c:pt idx="91">
                  <c:v>26.032258064516128</c:v>
                </c:pt>
                <c:pt idx="92">
                  <c:v>125.6</c:v>
                </c:pt>
                <c:pt idx="93">
                  <c:v>330.48387096774189</c:v>
                </c:pt>
                <c:pt idx="94">
                  <c:v>536.80645161290317</c:v>
                </c:pt>
                <c:pt idx="95">
                  <c:v>348.3</c:v>
                </c:pt>
                <c:pt idx="96">
                  <c:v>219.77419354838705</c:v>
                </c:pt>
                <c:pt idx="97">
                  <c:v>47.5</c:v>
                </c:pt>
                <c:pt idx="98">
                  <c:v>89.612903225806448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3.7</c:v>
                </c:pt>
                <c:pt idx="103">
                  <c:v>62.903225806451609</c:v>
                </c:pt>
                <c:pt idx="104">
                  <c:v>86</c:v>
                </c:pt>
                <c:pt idx="105">
                  <c:v>370.0645161290322</c:v>
                </c:pt>
                <c:pt idx="106">
                  <c:v>497.22580645161304</c:v>
                </c:pt>
                <c:pt idx="107">
                  <c:v>261.5</c:v>
                </c:pt>
                <c:pt idx="108">
                  <c:v>187.5</c:v>
                </c:pt>
                <c:pt idx="109">
                  <c:v>233.20588235294116</c:v>
                </c:pt>
                <c:pt idx="110">
                  <c:v>27.857142857142865</c:v>
                </c:pt>
                <c:pt idx="111">
                  <c:v>21.827586206896552</c:v>
                </c:pt>
                <c:pt idx="112">
                  <c:v>0.4</c:v>
                </c:pt>
                <c:pt idx="113">
                  <c:v>0</c:v>
                </c:pt>
                <c:pt idx="114">
                  <c:v>0</c:v>
                </c:pt>
                <c:pt idx="115">
                  <c:v>8.8125</c:v>
                </c:pt>
                <c:pt idx="116">
                  <c:v>52.888888888888872</c:v>
                </c:pt>
                <c:pt idx="117">
                  <c:v>143.58620689655174</c:v>
                </c:pt>
                <c:pt idx="118">
                  <c:v>345.38709677419354</c:v>
                </c:pt>
                <c:pt idx="119">
                  <c:v>428.71874999999994</c:v>
                </c:pt>
                <c:pt idx="120">
                  <c:v>373.50000000000011</c:v>
                </c:pt>
                <c:pt idx="121">
                  <c:v>180.65625000000003</c:v>
                </c:pt>
                <c:pt idx="122">
                  <c:v>75.620689655172413</c:v>
                </c:pt>
                <c:pt idx="123">
                  <c:v>32.70967741935484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0.72413793103448276</c:v>
                </c:pt>
                <c:pt idx="128">
                  <c:v>8.1818181818181817</c:v>
                </c:pt>
                <c:pt idx="129">
                  <c:v>95.586206896551715</c:v>
                </c:pt>
                <c:pt idx="130">
                  <c:v>213.27272727272725</c:v>
                </c:pt>
                <c:pt idx="131">
                  <c:v>224.79310344827584</c:v>
                </c:pt>
                <c:pt idx="132">
                  <c:v>299.90000000000003</c:v>
                </c:pt>
                <c:pt idx="133">
                  <c:v>133.83870967741933</c:v>
                </c:pt>
                <c:pt idx="134">
                  <c:v>54.000000000000007</c:v>
                </c:pt>
                <c:pt idx="135">
                  <c:v>0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xVal>
          <c:yVal>
            <c:numRef>
              <c:f>Electric!$N$12:$N$210</c:f>
              <c:numCache>
                <c:formatCode>#,##0_);\(#,##0\)</c:formatCode>
                <c:ptCount val="199"/>
                <c:pt idx="0">
                  <c:v>48924.731182795702</c:v>
                </c:pt>
                <c:pt idx="1">
                  <c:v>44166.666666666664</c:v>
                </c:pt>
                <c:pt idx="2">
                  <c:v>47849.462365591397</c:v>
                </c:pt>
                <c:pt idx="3">
                  <c:v>53735.632183908048</c:v>
                </c:pt>
                <c:pt idx="4">
                  <c:v>49462.365591397851</c:v>
                </c:pt>
                <c:pt idx="5">
                  <c:v>48387.096774193546</c:v>
                </c:pt>
                <c:pt idx="6">
                  <c:v>47777.777777777781</c:v>
                </c:pt>
                <c:pt idx="7">
                  <c:v>50000</c:v>
                </c:pt>
                <c:pt idx="8">
                  <c:v>63888.888888888883</c:v>
                </c:pt>
                <c:pt idx="9">
                  <c:v>61559.139784946237</c:v>
                </c:pt>
                <c:pt idx="10">
                  <c:v>69086.021505376339</c:v>
                </c:pt>
                <c:pt idx="11">
                  <c:v>63888.888888888883</c:v>
                </c:pt>
                <c:pt idx="12">
                  <c:v>53494.62365591398</c:v>
                </c:pt>
                <c:pt idx="13">
                  <c:v>51944.444444444453</c:v>
                </c:pt>
                <c:pt idx="14">
                  <c:v>50806.451612903227</c:v>
                </c:pt>
                <c:pt idx="15">
                  <c:v>51190.476190476198</c:v>
                </c:pt>
                <c:pt idx="16">
                  <c:v>52419.354838709674</c:v>
                </c:pt>
                <c:pt idx="17">
                  <c:v>47849.462365591397</c:v>
                </c:pt>
                <c:pt idx="18">
                  <c:v>48055.555555555547</c:v>
                </c:pt>
                <c:pt idx="19">
                  <c:v>52419.354838709674</c:v>
                </c:pt>
                <c:pt idx="20">
                  <c:v>61388.888888888883</c:v>
                </c:pt>
                <c:pt idx="21">
                  <c:v>63172.043010752692</c:v>
                </c:pt>
                <c:pt idx="22">
                  <c:v>65322.580645161295</c:v>
                </c:pt>
                <c:pt idx="23">
                  <c:v>65277.777777777788</c:v>
                </c:pt>
                <c:pt idx="24">
                  <c:v>43010.752688172041</c:v>
                </c:pt>
                <c:pt idx="25">
                  <c:v>60483.870967741932</c:v>
                </c:pt>
                <c:pt idx="26">
                  <c:v>52777.777777777781</c:v>
                </c:pt>
                <c:pt idx="27">
                  <c:v>55059.523809523802</c:v>
                </c:pt>
                <c:pt idx="28">
                  <c:v>55913.978494623654</c:v>
                </c:pt>
                <c:pt idx="29">
                  <c:v>50537.634408602149</c:v>
                </c:pt>
                <c:pt idx="30">
                  <c:v>48888.888888888883</c:v>
                </c:pt>
                <c:pt idx="31">
                  <c:v>49731.182795698922</c:v>
                </c:pt>
                <c:pt idx="32">
                  <c:v>60277.777777777781</c:v>
                </c:pt>
                <c:pt idx="33">
                  <c:v>62903.225806451614</c:v>
                </c:pt>
                <c:pt idx="34">
                  <c:v>65860.215053763444</c:v>
                </c:pt>
                <c:pt idx="35">
                  <c:v>63333.333333333336</c:v>
                </c:pt>
                <c:pt idx="36">
                  <c:v>41397.849462365593</c:v>
                </c:pt>
                <c:pt idx="37">
                  <c:v>70277.777777777781</c:v>
                </c:pt>
                <c:pt idx="38">
                  <c:v>53494.62365591398</c:v>
                </c:pt>
                <c:pt idx="39">
                  <c:v>112202.38095238095</c:v>
                </c:pt>
                <c:pt idx="40">
                  <c:v>0</c:v>
                </c:pt>
                <c:pt idx="41">
                  <c:v>53225.806451612902</c:v>
                </c:pt>
                <c:pt idx="42">
                  <c:v>53333.333333333336</c:v>
                </c:pt>
                <c:pt idx="43">
                  <c:v>44354.838709677417</c:v>
                </c:pt>
                <c:pt idx="44">
                  <c:v>73888.888888888891</c:v>
                </c:pt>
                <c:pt idx="45">
                  <c:v>67473.118279569884</c:v>
                </c:pt>
                <c:pt idx="46">
                  <c:v>137634.40860215054</c:v>
                </c:pt>
                <c:pt idx="47">
                  <c:v>56944.444444444453</c:v>
                </c:pt>
                <c:pt idx="48">
                  <c:v>52150.537634408603</c:v>
                </c:pt>
                <c:pt idx="49">
                  <c:v>53611.111111111117</c:v>
                </c:pt>
                <c:pt idx="50">
                  <c:v>49193.548387096773</c:v>
                </c:pt>
                <c:pt idx="51">
                  <c:v>58045.977011494251</c:v>
                </c:pt>
                <c:pt idx="52">
                  <c:v>0</c:v>
                </c:pt>
                <c:pt idx="53">
                  <c:v>50000</c:v>
                </c:pt>
                <c:pt idx="54">
                  <c:v>104166.66666666667</c:v>
                </c:pt>
                <c:pt idx="55">
                  <c:v>0</c:v>
                </c:pt>
                <c:pt idx="56">
                  <c:v>58055.555555555547</c:v>
                </c:pt>
                <c:pt idx="57">
                  <c:v>75806.451612903213</c:v>
                </c:pt>
                <c:pt idx="58">
                  <c:v>54569.892473118278</c:v>
                </c:pt>
                <c:pt idx="59">
                  <c:v>119444.44444444444</c:v>
                </c:pt>
                <c:pt idx="60">
                  <c:v>16935.483870967739</c:v>
                </c:pt>
                <c:pt idx="61">
                  <c:v>38888.888888888891</c:v>
                </c:pt>
                <c:pt idx="62">
                  <c:v>106720.43010752689</c:v>
                </c:pt>
                <c:pt idx="63">
                  <c:v>66964.28571428571</c:v>
                </c:pt>
                <c:pt idx="64">
                  <c:v>0</c:v>
                </c:pt>
                <c:pt idx="65">
                  <c:v>56989.247311827959</c:v>
                </c:pt>
                <c:pt idx="66">
                  <c:v>64722.222222222212</c:v>
                </c:pt>
                <c:pt idx="67">
                  <c:v>45430.107526881722</c:v>
                </c:pt>
                <c:pt idx="68">
                  <c:v>52500</c:v>
                </c:pt>
                <c:pt idx="69">
                  <c:v>65860.215053763444</c:v>
                </c:pt>
                <c:pt idx="70">
                  <c:v>56720.430107526881</c:v>
                </c:pt>
                <c:pt idx="71">
                  <c:v>68055.555555555562</c:v>
                </c:pt>
                <c:pt idx="72">
                  <c:v>53494.62365591398</c:v>
                </c:pt>
                <c:pt idx="73">
                  <c:v>46111.111111111117</c:v>
                </c:pt>
                <c:pt idx="74">
                  <c:v>48387.096774193546</c:v>
                </c:pt>
                <c:pt idx="75">
                  <c:v>52678.57142857142</c:v>
                </c:pt>
                <c:pt idx="76">
                  <c:v>52956.989247311831</c:v>
                </c:pt>
                <c:pt idx="77">
                  <c:v>49731.182795698922</c:v>
                </c:pt>
                <c:pt idx="78">
                  <c:v>45833.333333333336</c:v>
                </c:pt>
                <c:pt idx="79">
                  <c:v>47311.827956989247</c:v>
                </c:pt>
                <c:pt idx="80">
                  <c:v>58333.333333333336</c:v>
                </c:pt>
                <c:pt idx="81">
                  <c:v>59677.419354838712</c:v>
                </c:pt>
                <c:pt idx="82">
                  <c:v>62903.225806451614</c:v>
                </c:pt>
                <c:pt idx="83">
                  <c:v>59166.666666666664</c:v>
                </c:pt>
                <c:pt idx="84">
                  <c:v>49193.548387096773</c:v>
                </c:pt>
                <c:pt idx="85">
                  <c:v>51388.888888888883</c:v>
                </c:pt>
                <c:pt idx="86">
                  <c:v>49193.548387096773</c:v>
                </c:pt>
                <c:pt idx="87">
                  <c:v>50000</c:v>
                </c:pt>
                <c:pt idx="88">
                  <c:v>50000</c:v>
                </c:pt>
                <c:pt idx="89">
                  <c:v>47311.827956989247</c:v>
                </c:pt>
                <c:pt idx="90">
                  <c:v>46111.111111111117</c:v>
                </c:pt>
                <c:pt idx="91">
                  <c:v>49731.182795698922</c:v>
                </c:pt>
                <c:pt idx="92">
                  <c:v>53888.888888888883</c:v>
                </c:pt>
                <c:pt idx="93">
                  <c:v>60752.68817204301</c:v>
                </c:pt>
                <c:pt idx="94">
                  <c:v>73655.913978494631</c:v>
                </c:pt>
                <c:pt idx="95">
                  <c:v>63333.333333333336</c:v>
                </c:pt>
                <c:pt idx="96">
                  <c:v>54838.709677419356</c:v>
                </c:pt>
                <c:pt idx="97">
                  <c:v>50000</c:v>
                </c:pt>
                <c:pt idx="98">
                  <c:v>51881.720430107525</c:v>
                </c:pt>
                <c:pt idx="99">
                  <c:v>52586.206896551725</c:v>
                </c:pt>
                <c:pt idx="100">
                  <c:v>56182.795698924732</c:v>
                </c:pt>
                <c:pt idx="101">
                  <c:v>50537.634408602149</c:v>
                </c:pt>
                <c:pt idx="102">
                  <c:v>50277.777777777781</c:v>
                </c:pt>
                <c:pt idx="103">
                  <c:v>50268.817204301078</c:v>
                </c:pt>
                <c:pt idx="104">
                  <c:v>46944.444444444453</c:v>
                </c:pt>
                <c:pt idx="105">
                  <c:v>66397.849462365586</c:v>
                </c:pt>
                <c:pt idx="106">
                  <c:v>69047.619047619053</c:v>
                </c:pt>
                <c:pt idx="107">
                  <c:v>69047.619047619053</c:v>
                </c:pt>
                <c:pt idx="108">
                  <c:v>59722.222222222219</c:v>
                </c:pt>
                <c:pt idx="109">
                  <c:v>61274.509803921566</c:v>
                </c:pt>
                <c:pt idx="110">
                  <c:v>50892.857142857138</c:v>
                </c:pt>
                <c:pt idx="111">
                  <c:v>53735.632183908048</c:v>
                </c:pt>
                <c:pt idx="112">
                  <c:v>54237.288135593219</c:v>
                </c:pt>
                <c:pt idx="113">
                  <c:v>54237.288135593219</c:v>
                </c:pt>
                <c:pt idx="114">
                  <c:v>53333.333333333336</c:v>
                </c:pt>
                <c:pt idx="115">
                  <c:v>54687.5</c:v>
                </c:pt>
                <c:pt idx="116">
                  <c:v>57716.049382716054</c:v>
                </c:pt>
                <c:pt idx="117">
                  <c:v>69252.873563218382</c:v>
                </c:pt>
                <c:pt idx="118">
                  <c:v>73924.731182795702</c:v>
                </c:pt>
                <c:pt idx="119">
                  <c:v>87760.416666666672</c:v>
                </c:pt>
                <c:pt idx="120">
                  <c:v>73055.555555555562</c:v>
                </c:pt>
                <c:pt idx="121">
                  <c:v>71093.75</c:v>
                </c:pt>
                <c:pt idx="122">
                  <c:v>60632.183908045983</c:v>
                </c:pt>
                <c:pt idx="123">
                  <c:v>59745.762711864409</c:v>
                </c:pt>
                <c:pt idx="124">
                  <c:v>59745.762711864409</c:v>
                </c:pt>
                <c:pt idx="125">
                  <c:v>60119.047619047618</c:v>
                </c:pt>
                <c:pt idx="126">
                  <c:v>53921.568627450972</c:v>
                </c:pt>
                <c:pt idx="127">
                  <c:v>54022.988505747126</c:v>
                </c:pt>
                <c:pt idx="128">
                  <c:v>52020.202020202021</c:v>
                </c:pt>
                <c:pt idx="129">
                  <c:v>59770.114942528744</c:v>
                </c:pt>
                <c:pt idx="130">
                  <c:v>67171.717171717159</c:v>
                </c:pt>
                <c:pt idx="131">
                  <c:v>71264.367816091966</c:v>
                </c:pt>
                <c:pt idx="132">
                  <c:v>73888.888888888891</c:v>
                </c:pt>
                <c:pt idx="133">
                  <c:v>59139.784946236556</c:v>
                </c:pt>
                <c:pt idx="134">
                  <c:v>58333.333333333336</c:v>
                </c:pt>
                <c:pt idx="135">
                  <c:v>58055.555555555547</c:v>
                </c:pt>
                <c:pt idx="136">
                  <c:v>58196.721311475412</c:v>
                </c:pt>
                <c:pt idx="137">
                  <c:v>58196.721311475412</c:v>
                </c:pt>
                <c:pt idx="138">
                  <c:v>52419.354838709674</c:v>
                </c:pt>
                <c:pt idx="139">
                  <c:v>51612.903225806454</c:v>
                </c:pt>
                <c:pt idx="140">
                  <c:v>54166.666666666664</c:v>
                </c:pt>
                <c:pt idx="141">
                  <c:v>59139.784946236556</c:v>
                </c:pt>
                <c:pt idx="142">
                  <c:v>64761.904761904756</c:v>
                </c:pt>
                <c:pt idx="143">
                  <c:v>68434.343434343435</c:v>
                </c:pt>
                <c:pt idx="144">
                  <c:v>68611.111111111109</c:v>
                </c:pt>
                <c:pt idx="145">
                  <c:v>53735.632183908048</c:v>
                </c:pt>
                <c:pt idx="146">
                  <c:v>54012.345679012345</c:v>
                </c:pt>
                <c:pt idx="147">
                  <c:v>52864.583333333336</c:v>
                </c:pt>
                <c:pt idx="148">
                  <c:v>56845.238095238092</c:v>
                </c:pt>
                <c:pt idx="149">
                  <c:v>59677.419354838712</c:v>
                </c:pt>
                <c:pt idx="150">
                  <c:v>50245.098039215693</c:v>
                </c:pt>
                <c:pt idx="151">
                  <c:v>56084.656084656082</c:v>
                </c:pt>
                <c:pt idx="152">
                  <c:v>56084.656084656082</c:v>
                </c:pt>
                <c:pt idx="153">
                  <c:v>75892.857142857145</c:v>
                </c:pt>
                <c:pt idx="154">
                  <c:v>91919.191919191915</c:v>
                </c:pt>
                <c:pt idx="155">
                  <c:v>73655.913978494631</c:v>
                </c:pt>
                <c:pt idx="156">
                  <c:v>72916.666666666672</c:v>
                </c:pt>
                <c:pt idx="157">
                  <c:v>64942.528735632179</c:v>
                </c:pt>
                <c:pt idx="158">
                  <c:v>54292.929292929293</c:v>
                </c:pt>
                <c:pt idx="159">
                  <c:v>55246.91358024691</c:v>
                </c:pt>
                <c:pt idx="160">
                  <c:v>57471.264367816097</c:v>
                </c:pt>
                <c:pt idx="161">
                  <c:v>59195.402298850575</c:v>
                </c:pt>
                <c:pt idx="162">
                  <c:v>51904.761904761908</c:v>
                </c:pt>
                <c:pt idx="163">
                  <c:v>52873.563218390809</c:v>
                </c:pt>
                <c:pt idx="164">
                  <c:v>62239.583333333336</c:v>
                </c:pt>
                <c:pt idx="165">
                  <c:v>68209.876543209873</c:v>
                </c:pt>
                <c:pt idx="166">
                  <c:v>76944.444444444438</c:v>
                </c:pt>
                <c:pt idx="167">
                  <c:v>89080.459770114947</c:v>
                </c:pt>
                <c:pt idx="168">
                  <c:v>79687.5</c:v>
                </c:pt>
                <c:pt idx="169">
                  <c:v>76344.086021505369</c:v>
                </c:pt>
                <c:pt idx="170">
                  <c:v>70572.916666666672</c:v>
                </c:pt>
                <c:pt idx="171">
                  <c:v>67385.057471264372</c:v>
                </c:pt>
                <c:pt idx="172">
                  <c:v>67385.057471264372</c:v>
                </c:pt>
                <c:pt idx="173">
                  <c:v>68888.888888888891</c:v>
                </c:pt>
                <c:pt idx="174">
                  <c:v>61274.509803921566</c:v>
                </c:pt>
                <c:pt idx="175">
                  <c:v>63383.838383838389</c:v>
                </c:pt>
                <c:pt idx="176">
                  <c:v>69252.873563218382</c:v>
                </c:pt>
                <c:pt idx="177">
                  <c:v>85049.019607843133</c:v>
                </c:pt>
                <c:pt idx="178">
                  <c:v>95555.555555555562</c:v>
                </c:pt>
                <c:pt idx="179">
                  <c:v>91666.666666666672</c:v>
                </c:pt>
                <c:pt idx="180">
                  <c:v>89705.882352941175</c:v>
                </c:pt>
                <c:pt idx="181">
                  <c:v>80000</c:v>
                </c:pt>
                <c:pt idx="182">
                  <c:v>74712.643678160923</c:v>
                </c:pt>
                <c:pt idx="183">
                  <c:v>66517.857142857145</c:v>
                </c:pt>
                <c:pt idx="184">
                  <c:v>78672.316384180784</c:v>
                </c:pt>
                <c:pt idx="185">
                  <c:v>72043.010752688177</c:v>
                </c:pt>
                <c:pt idx="186">
                  <c:v>72043.010752688177</c:v>
                </c:pt>
                <c:pt idx="187">
                  <c:v>62916.666666666664</c:v>
                </c:pt>
                <c:pt idx="188">
                  <c:v>72333.333333333328</c:v>
                </c:pt>
                <c:pt idx="189">
                  <c:v>72333.333333333328</c:v>
                </c:pt>
                <c:pt idx="190">
                  <c:v>94758.06451612903</c:v>
                </c:pt>
                <c:pt idx="191">
                  <c:v>104722.22222222223</c:v>
                </c:pt>
                <c:pt idx="192">
                  <c:v>104722.22222222223</c:v>
                </c:pt>
                <c:pt idx="193">
                  <c:v>87121.212121212127</c:v>
                </c:pt>
                <c:pt idx="194">
                  <c:v>87202.380952380947</c:v>
                </c:pt>
                <c:pt idx="195">
                  <c:v>74761.904761904763</c:v>
                </c:pt>
                <c:pt idx="196">
                  <c:v>74404.761904761908</c:v>
                </c:pt>
                <c:pt idx="197">
                  <c:v>80459.770114942527</c:v>
                </c:pt>
                <c:pt idx="198">
                  <c:v>77011.494252873556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6-47A2-913E-80BA18613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9664"/>
        <c:axId val="52451584"/>
      </c:scatterChart>
      <c:valAx>
        <c:axId val="5244966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 Cycle CDD </a:t>
                </a:r>
                <a:r>
                  <a:rPr lang="en-US" sz="700" b="1" i="0" u="none" strike="noStrike" baseline="0">
                    <a:effectLst/>
                  </a:rPr>
                  <a:t>(per 30 days)</a:t>
                </a:r>
                <a:endParaRPr lang="en-US" sz="700"/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crossAx val="52451584"/>
        <c:crosses val="autoZero"/>
        <c:crossBetween val="midCat"/>
      </c:valAx>
      <c:valAx>
        <c:axId val="5245158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 Cycle Average Watts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52449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Water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Water!$G$36:$G$47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B-47A7-9004-FB4D2CB0441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Water!$G$24:$G$35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B-47A7-9004-FB4D2CB0441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Water!$G$12:$G$23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B-47A7-9004-FB4D2CB04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34656"/>
        <c:axId val="54136192"/>
      </c:barChart>
      <c:dateAx>
        <c:axId val="5413465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36192"/>
        <c:crosses val="autoZero"/>
        <c:auto val="0"/>
        <c:lblOffset val="100"/>
        <c:baseTimeUnit val="months"/>
      </c:dateAx>
      <c:valAx>
        <c:axId val="54136192"/>
        <c:scaling>
          <c:orientation val="minMax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346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Water Units Used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Water!$E$36:$E$47</c:f>
              <c:numCache>
                <c:formatCode>#,##0_);\(#,##0\)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1-49E7-8E9F-A0F637CA22EF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Water!$E$24:$E$35</c:f>
              <c:numCache>
                <c:formatCode>#,##0_);\(#,##0\)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1-49E7-8E9F-A0F637CA22EF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Water!$E$12:$E$23</c:f>
              <c:numCache>
                <c:formatCode>#,##0_);\(#,##0\)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1-49E7-8E9F-A0F637CA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78944"/>
        <c:axId val="54180480"/>
      </c:barChart>
      <c:dateAx>
        <c:axId val="5417894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80480"/>
        <c:crosses val="autoZero"/>
        <c:auto val="0"/>
        <c:lblOffset val="100"/>
        <c:baseTimeUnit val="months"/>
        <c:majorUnit val="1"/>
        <c:majorTimeUnit val="months"/>
      </c:dateAx>
      <c:valAx>
        <c:axId val="5418048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789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Sewer/Sanitary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Water!$L$36:$L$47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4-4F06-88D1-AE52786C8A3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Water!$L$24:$L$35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4-4F06-88D1-AE52786C8A3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Water!$L$12:$L$23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34-4F06-88D1-AE52786C8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00096"/>
        <c:axId val="64501632"/>
      </c:barChart>
      <c:dateAx>
        <c:axId val="6450009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01632"/>
        <c:crosses val="autoZero"/>
        <c:auto val="0"/>
        <c:lblOffset val="100"/>
        <c:baseTimeUnit val="months"/>
      </c:dateAx>
      <c:valAx>
        <c:axId val="64501632"/>
        <c:scaling>
          <c:orientation val="minMax"/>
          <c:min val="0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00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11" l="0.70000000000000062" r="0.70000000000000062" t="0.75000000000000711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Sewer Units Used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Water!$J$36:$J$47</c:f>
              <c:numCache>
                <c:formatCode>0_);\(0\)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E-4BF2-B33A-6C9F4145AB77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Water!$J$24:$J$35</c:f>
              <c:numCache>
                <c:formatCode>0_);\(0\)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E-4BF2-B33A-6C9F4145AB77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Water!$J$12:$J$23</c:f>
              <c:numCache>
                <c:formatCode>0_);\(0\)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9E-4BF2-B33A-6C9F4145A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19552"/>
        <c:axId val="64533632"/>
      </c:barChart>
      <c:dateAx>
        <c:axId val="6451955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33632"/>
        <c:crosses val="autoZero"/>
        <c:auto val="0"/>
        <c:lblOffset val="100"/>
        <c:baseTimeUnit val="months"/>
        <c:majorUnit val="1"/>
        <c:majorTimeUnit val="months"/>
      </c:dateAx>
      <c:valAx>
        <c:axId val="64533632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195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1009650</xdr:colOff>
      <xdr:row>19</xdr:row>
      <xdr:rowOff>152400</xdr:rowOff>
    </xdr:to>
    <xdr:graphicFrame macro="">
      <xdr:nvGraphicFramePr>
        <xdr:cNvPr id="8490" name="Chart 1">
          <a:extLst>
            <a:ext uri="{FF2B5EF4-FFF2-40B4-BE49-F238E27FC236}">
              <a16:creationId xmlns:a16="http://schemas.microsoft.com/office/drawing/2014/main" id="{00000000-0008-0000-0400-00002A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7</xdr:col>
      <xdr:colOff>1009650</xdr:colOff>
      <xdr:row>37</xdr:row>
      <xdr:rowOff>152400</xdr:rowOff>
    </xdr:to>
    <xdr:graphicFrame macro="">
      <xdr:nvGraphicFramePr>
        <xdr:cNvPr id="8491" name="Chart 2">
          <a:extLst>
            <a:ext uri="{FF2B5EF4-FFF2-40B4-BE49-F238E27FC236}">
              <a16:creationId xmlns:a16="http://schemas.microsoft.com/office/drawing/2014/main" id="{00000000-0008-0000-0400-00002B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7</xdr:col>
      <xdr:colOff>1019175</xdr:colOff>
      <xdr:row>55</xdr:row>
      <xdr:rowOff>152400</xdr:rowOff>
    </xdr:to>
    <xdr:graphicFrame macro="">
      <xdr:nvGraphicFramePr>
        <xdr:cNvPr id="8492" name="Chart 1">
          <a:extLst>
            <a:ext uri="{FF2B5EF4-FFF2-40B4-BE49-F238E27FC236}">
              <a16:creationId xmlns:a16="http://schemas.microsoft.com/office/drawing/2014/main" id="{00000000-0008-0000-0400-00002C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7</xdr:col>
      <xdr:colOff>1009650</xdr:colOff>
      <xdr:row>73</xdr:row>
      <xdr:rowOff>152400</xdr:rowOff>
    </xdr:to>
    <xdr:graphicFrame macro="">
      <xdr:nvGraphicFramePr>
        <xdr:cNvPr id="8493" name="Chart 2">
          <a:extLst>
            <a:ext uri="{FF2B5EF4-FFF2-40B4-BE49-F238E27FC236}">
              <a16:creationId xmlns:a16="http://schemas.microsoft.com/office/drawing/2014/main" id="{00000000-0008-0000-0400-00002D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66675</xdr:colOff>
      <xdr:row>41</xdr:row>
      <xdr:rowOff>0</xdr:rowOff>
    </xdr:from>
    <xdr:to>
      <xdr:col>15</xdr:col>
      <xdr:colOff>1009650</xdr:colOff>
      <xdr:row>57</xdr:row>
      <xdr:rowOff>152400</xdr:rowOff>
    </xdr:to>
    <xdr:graphicFrame macro="">
      <xdr:nvGraphicFramePr>
        <xdr:cNvPr id="8500" name="Chart 12">
          <a:extLst>
            <a:ext uri="{FF2B5EF4-FFF2-40B4-BE49-F238E27FC236}">
              <a16:creationId xmlns:a16="http://schemas.microsoft.com/office/drawing/2014/main" id="{00000000-0008-0000-0400-000034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47625</xdr:colOff>
      <xdr:row>59</xdr:row>
      <xdr:rowOff>0</xdr:rowOff>
    </xdr:from>
    <xdr:to>
      <xdr:col>15</xdr:col>
      <xdr:colOff>1019175</xdr:colOff>
      <xdr:row>75</xdr:row>
      <xdr:rowOff>152400</xdr:rowOff>
    </xdr:to>
    <xdr:graphicFrame macro="">
      <xdr:nvGraphicFramePr>
        <xdr:cNvPr id="8501" name="Chart 14">
          <a:extLst>
            <a:ext uri="{FF2B5EF4-FFF2-40B4-BE49-F238E27FC236}">
              <a16:creationId xmlns:a16="http://schemas.microsoft.com/office/drawing/2014/main" id="{00000000-0008-0000-0400-000035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108857</xdr:colOff>
      <xdr:row>3</xdr:row>
      <xdr:rowOff>54428</xdr:rowOff>
    </xdr:from>
    <xdr:to>
      <xdr:col>32</xdr:col>
      <xdr:colOff>439510</xdr:colOff>
      <xdr:row>20</xdr:row>
      <xdr:rowOff>43543</xdr:rowOff>
    </xdr:to>
    <xdr:graphicFrame macro="">
      <xdr:nvGraphicFramePr>
        <xdr:cNvPr id="14" name="Chart 1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95250</xdr:colOff>
      <xdr:row>21</xdr:row>
      <xdr:rowOff>68036</xdr:rowOff>
    </xdr:from>
    <xdr:to>
      <xdr:col>32</xdr:col>
      <xdr:colOff>454478</xdr:colOff>
      <xdr:row>38</xdr:row>
      <xdr:rowOff>57151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49481</xdr:colOff>
      <xdr:row>41</xdr:row>
      <xdr:rowOff>3340</xdr:rowOff>
    </xdr:from>
    <xdr:to>
      <xdr:col>32</xdr:col>
      <xdr:colOff>335231</xdr:colOff>
      <xdr:row>57</xdr:row>
      <xdr:rowOff>133968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68036</xdr:colOff>
      <xdr:row>59</xdr:row>
      <xdr:rowOff>0</xdr:rowOff>
    </xdr:from>
    <xdr:to>
      <xdr:col>32</xdr:col>
      <xdr:colOff>353786</xdr:colOff>
      <xdr:row>75</xdr:row>
      <xdr:rowOff>130628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23</xdr:col>
      <xdr:colOff>904875</xdr:colOff>
      <xdr:row>19</xdr:row>
      <xdr:rowOff>152400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28575</xdr:colOff>
      <xdr:row>21</xdr:row>
      <xdr:rowOff>0</xdr:rowOff>
    </xdr:from>
    <xdr:to>
      <xdr:col>23</xdr:col>
      <xdr:colOff>933450</xdr:colOff>
      <xdr:row>37</xdr:row>
      <xdr:rowOff>152400</xdr:rowOff>
    </xdr:to>
    <xdr:graphicFrame macro="">
      <xdr:nvGraphicFramePr>
        <xdr:cNvPr id="17" name="Chart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19050</xdr:colOff>
      <xdr:row>41</xdr:row>
      <xdr:rowOff>0</xdr:rowOff>
    </xdr:from>
    <xdr:to>
      <xdr:col>23</xdr:col>
      <xdr:colOff>904875</xdr:colOff>
      <xdr:row>57</xdr:row>
      <xdr:rowOff>152400</xdr:rowOff>
    </xdr:to>
    <xdr:graphicFrame macro="">
      <xdr:nvGraphicFramePr>
        <xdr:cNvPr id="19" name="Chart 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59</xdr:row>
      <xdr:rowOff>0</xdr:rowOff>
    </xdr:from>
    <xdr:to>
      <xdr:col>23</xdr:col>
      <xdr:colOff>904875</xdr:colOff>
      <xdr:row>75</xdr:row>
      <xdr:rowOff>152400</xdr:rowOff>
    </xdr:to>
    <xdr:graphicFrame macro="">
      <xdr:nvGraphicFramePr>
        <xdr:cNvPr id="20" name="Chart 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greedays.ne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457"/>
  <sheetViews>
    <sheetView tabSelected="1" workbookViewId="0">
      <selection activeCell="C14" sqref="C14"/>
    </sheetView>
  </sheetViews>
  <sheetFormatPr defaultRowHeight="12.75" x14ac:dyDescent="0.2"/>
  <cols>
    <col min="1" max="1" width="8.42578125" bestFit="1" customWidth="1"/>
    <col min="2" max="2" width="15.85546875" bestFit="1" customWidth="1"/>
    <col min="3" max="3" width="9" bestFit="1" customWidth="1"/>
    <col min="4" max="4" width="10.140625" bestFit="1" customWidth="1"/>
    <col min="5" max="5" width="13.7109375" bestFit="1" customWidth="1"/>
    <col min="6" max="6" width="8.7109375" bestFit="1" customWidth="1"/>
    <col min="7" max="7" width="7.7109375" bestFit="1" customWidth="1"/>
    <col min="8" max="8" width="5.140625" bestFit="1" customWidth="1"/>
    <col min="9" max="9" width="12" bestFit="1" customWidth="1"/>
    <col min="10" max="10" width="8.28515625" bestFit="1" customWidth="1"/>
    <col min="11" max="11" width="6.140625" bestFit="1" customWidth="1"/>
    <col min="12" max="12" width="17" bestFit="1" customWidth="1"/>
    <col min="13" max="13" width="11.42578125" bestFit="1" customWidth="1"/>
    <col min="14" max="14" width="8.28515625" bestFit="1" customWidth="1"/>
    <col min="15" max="15" width="19.7109375" bestFit="1" customWidth="1"/>
    <col min="16" max="16" width="19.5703125" bestFit="1" customWidth="1"/>
    <col min="17" max="17" width="12.42578125" bestFit="1" customWidth="1"/>
    <col min="18" max="18" width="5.7109375" bestFit="1" customWidth="1"/>
    <col min="19" max="19" width="15" bestFit="1" customWidth="1"/>
    <col min="20" max="20" width="6" bestFit="1" customWidth="1"/>
    <col min="21" max="21" width="3.140625" bestFit="1" customWidth="1"/>
    <col min="22" max="22" width="6.85546875" bestFit="1" customWidth="1"/>
    <col min="23" max="23" width="11.5703125" bestFit="1" customWidth="1"/>
    <col min="24" max="24" width="10" bestFit="1" customWidth="1"/>
    <col min="25" max="25" width="6.42578125" bestFit="1" customWidth="1"/>
    <col min="26" max="26" width="19" bestFit="1" customWidth="1"/>
    <col min="27" max="27" width="14.28515625" bestFit="1" customWidth="1"/>
    <col min="28" max="28" width="18.28515625" bestFit="1" customWidth="1"/>
    <col min="29" max="29" width="14" bestFit="1" customWidth="1"/>
    <col min="30" max="31" width="14.42578125" bestFit="1" customWidth="1"/>
    <col min="32" max="32" width="10.5703125" bestFit="1" customWidth="1"/>
    <col min="33" max="33" width="10.7109375" bestFit="1" customWidth="1"/>
    <col min="34" max="34" width="15.7109375" bestFit="1" customWidth="1"/>
  </cols>
  <sheetData>
    <row r="2" spans="1:34" x14ac:dyDescent="0.2">
      <c r="A2" t="s">
        <v>268</v>
      </c>
    </row>
    <row r="3" spans="1:34" x14ac:dyDescent="0.2">
      <c r="A3" t="s">
        <v>259</v>
      </c>
    </row>
    <row r="4" spans="1:34" x14ac:dyDescent="0.2">
      <c r="A4" t="s">
        <v>269</v>
      </c>
    </row>
    <row r="5" spans="1:34" x14ac:dyDescent="0.2">
      <c r="A5" t="s">
        <v>260</v>
      </c>
    </row>
    <row r="6" spans="1:34" x14ac:dyDescent="0.2">
      <c r="A6" t="s">
        <v>22</v>
      </c>
    </row>
    <row r="7" spans="1:34" x14ac:dyDescent="0.2">
      <c r="A7" t="s">
        <v>261</v>
      </c>
    </row>
    <row r="8" spans="1:34" x14ac:dyDescent="0.2">
      <c r="A8" t="s">
        <v>262</v>
      </c>
    </row>
    <row r="9" spans="1:34" x14ac:dyDescent="0.2">
      <c r="A9" t="s">
        <v>263</v>
      </c>
    </row>
    <row r="11" spans="1:34" ht="15.75" x14ac:dyDescent="0.25">
      <c r="A11" s="125"/>
    </row>
    <row r="12" spans="1:34" s="126" customFormat="1" ht="15" x14ac:dyDescent="0.25">
      <c r="A12" s="126" t="s">
        <v>0</v>
      </c>
      <c r="B12" s="126" t="s">
        <v>1</v>
      </c>
      <c r="C12" s="126" t="s">
        <v>76</v>
      </c>
      <c r="D12" s="126" t="s">
        <v>2</v>
      </c>
      <c r="E12" s="126" t="s">
        <v>3</v>
      </c>
      <c r="F12" s="126" t="s">
        <v>4</v>
      </c>
      <c r="G12" s="126" t="s">
        <v>5</v>
      </c>
      <c r="H12" s="126" t="s">
        <v>6</v>
      </c>
      <c r="I12" s="126" t="s">
        <v>7</v>
      </c>
      <c r="J12" s="126" t="s">
        <v>8</v>
      </c>
      <c r="K12" s="126" t="s">
        <v>9</v>
      </c>
      <c r="L12" s="126" t="s">
        <v>264</v>
      </c>
      <c r="M12" s="126" t="s">
        <v>254</v>
      </c>
      <c r="N12" s="126" t="s">
        <v>10</v>
      </c>
      <c r="O12" s="126" t="s">
        <v>11</v>
      </c>
      <c r="P12" s="126" t="s">
        <v>12</v>
      </c>
      <c r="Q12" s="126" t="s">
        <v>13</v>
      </c>
      <c r="R12" s="126" t="s">
        <v>14</v>
      </c>
      <c r="S12" s="126" t="s">
        <v>143</v>
      </c>
      <c r="T12" s="126" t="s">
        <v>15</v>
      </c>
      <c r="U12" s="126" t="s">
        <v>16</v>
      </c>
      <c r="V12" s="126" t="s">
        <v>17</v>
      </c>
      <c r="W12" s="126" t="s">
        <v>18</v>
      </c>
      <c r="X12" s="126" t="s">
        <v>19</v>
      </c>
      <c r="Y12" s="126" t="s">
        <v>20</v>
      </c>
      <c r="Z12" s="126" t="s">
        <v>107</v>
      </c>
      <c r="AA12" s="126" t="s">
        <v>108</v>
      </c>
      <c r="AB12" s="126" t="s">
        <v>109</v>
      </c>
      <c r="AC12" s="126" t="s">
        <v>110</v>
      </c>
      <c r="AD12" s="126" t="s">
        <v>224</v>
      </c>
      <c r="AE12" s="126" t="s">
        <v>225</v>
      </c>
      <c r="AF12" s="126" t="s">
        <v>226</v>
      </c>
      <c r="AG12" s="126" t="s">
        <v>232</v>
      </c>
      <c r="AH12" s="126" t="s">
        <v>233</v>
      </c>
    </row>
    <row r="14" spans="1:34" x14ac:dyDescent="0.2">
      <c r="A14" s="127" t="s">
        <v>23</v>
      </c>
      <c r="B14" s="128">
        <v>43985.78460648148</v>
      </c>
      <c r="C14" s="127" t="s">
        <v>270</v>
      </c>
      <c r="D14" s="127" t="s">
        <v>271</v>
      </c>
      <c r="E14" s="127" t="s">
        <v>21</v>
      </c>
      <c r="F14" s="129">
        <v>0.57840000000000003</v>
      </c>
      <c r="G14" s="129">
        <v>0.62109999999999999</v>
      </c>
      <c r="H14" s="129">
        <v>31</v>
      </c>
      <c r="I14" s="129">
        <v>124.22</v>
      </c>
      <c r="J14" s="129" t="b">
        <v>0</v>
      </c>
      <c r="K14" s="129" t="b">
        <v>0</v>
      </c>
      <c r="L14" s="129">
        <v>200</v>
      </c>
      <c r="M14" s="129">
        <v>0</v>
      </c>
      <c r="N14" s="129">
        <v>4.01</v>
      </c>
      <c r="O14" s="129">
        <v>0</v>
      </c>
      <c r="P14" s="129">
        <v>0</v>
      </c>
      <c r="Q14" s="129">
        <v>124.22</v>
      </c>
      <c r="R14" s="127" t="s">
        <v>271</v>
      </c>
      <c r="S14" s="129">
        <v>124.22</v>
      </c>
      <c r="T14" s="129">
        <v>39.39</v>
      </c>
      <c r="U14" s="129">
        <v>0</v>
      </c>
      <c r="V14" s="129" t="b">
        <v>0</v>
      </c>
      <c r="W14" s="129">
        <v>106669593</v>
      </c>
      <c r="X14" s="129">
        <v>0</v>
      </c>
      <c r="Y14" s="129">
        <v>0</v>
      </c>
      <c r="Z14" s="129"/>
      <c r="AA14" s="129">
        <v>0</v>
      </c>
      <c r="AB14" s="129" t="b">
        <v>0</v>
      </c>
      <c r="AC14" s="127" t="s">
        <v>142</v>
      </c>
      <c r="AD14" s="127" t="s">
        <v>142</v>
      </c>
      <c r="AE14" s="127" t="s">
        <v>142</v>
      </c>
      <c r="AF14" s="129">
        <v>4.2700000000000002E-2</v>
      </c>
      <c r="AG14" s="144">
        <v>43992</v>
      </c>
      <c r="AH14" s="129"/>
    </row>
    <row r="15" spans="1:34" x14ac:dyDescent="0.2">
      <c r="A15" s="127" t="s">
        <v>23</v>
      </c>
      <c r="B15" s="128">
        <v>43954.786527777775</v>
      </c>
      <c r="C15" s="127" t="s">
        <v>270</v>
      </c>
      <c r="D15" s="127" t="s">
        <v>271</v>
      </c>
      <c r="E15" s="127" t="s">
        <v>21</v>
      </c>
      <c r="F15" s="129">
        <v>0.52780000000000005</v>
      </c>
      <c r="G15" s="129">
        <v>0.57840000000000003</v>
      </c>
      <c r="H15" s="129">
        <v>28</v>
      </c>
      <c r="I15" s="129">
        <v>115.68</v>
      </c>
      <c r="J15" s="129" t="b">
        <v>0</v>
      </c>
      <c r="K15" s="129" t="b">
        <v>0</v>
      </c>
      <c r="L15" s="129">
        <v>200</v>
      </c>
      <c r="M15" s="129">
        <v>0</v>
      </c>
      <c r="N15" s="129">
        <v>4.13</v>
      </c>
      <c r="O15" s="129">
        <v>0</v>
      </c>
      <c r="P15" s="129">
        <v>0</v>
      </c>
      <c r="Q15" s="129">
        <v>115.68</v>
      </c>
      <c r="R15" s="127" t="s">
        <v>271</v>
      </c>
      <c r="S15" s="129">
        <v>115.68</v>
      </c>
      <c r="T15" s="129">
        <v>40.909999999999997</v>
      </c>
      <c r="U15" s="129">
        <v>0</v>
      </c>
      <c r="V15" s="129" t="b">
        <v>0</v>
      </c>
      <c r="W15" s="129">
        <v>106593249</v>
      </c>
      <c r="X15" s="129">
        <v>0</v>
      </c>
      <c r="Y15" s="129">
        <v>0</v>
      </c>
      <c r="Z15" s="129"/>
      <c r="AA15" s="129">
        <v>0</v>
      </c>
      <c r="AB15" s="129" t="b">
        <v>0</v>
      </c>
      <c r="AC15" s="127" t="s">
        <v>142</v>
      </c>
      <c r="AD15" s="127" t="s">
        <v>142</v>
      </c>
      <c r="AE15" s="127" t="s">
        <v>142</v>
      </c>
      <c r="AF15" s="129">
        <v>5.0599999999999999E-2</v>
      </c>
      <c r="AG15" s="144">
        <v>43962</v>
      </c>
      <c r="AH15" s="129"/>
    </row>
    <row r="16" spans="1:34" x14ac:dyDescent="0.2">
      <c r="A16" s="127" t="s">
        <v>23</v>
      </c>
      <c r="B16" s="128">
        <v>43926.787060185183</v>
      </c>
      <c r="C16" s="127" t="s">
        <v>270</v>
      </c>
      <c r="D16" s="127" t="s">
        <v>271</v>
      </c>
      <c r="E16" s="127" t="s">
        <v>21</v>
      </c>
      <c r="F16" s="129">
        <v>0.54139999999999999</v>
      </c>
      <c r="G16" s="129">
        <v>0.52780000000000005</v>
      </c>
      <c r="H16" s="129">
        <v>32</v>
      </c>
      <c r="I16" s="129">
        <v>105.56</v>
      </c>
      <c r="J16" s="129" t="b">
        <v>0</v>
      </c>
      <c r="K16" s="129" t="b">
        <v>0</v>
      </c>
      <c r="L16" s="129">
        <v>200</v>
      </c>
      <c r="M16" s="129">
        <v>0</v>
      </c>
      <c r="N16" s="129">
        <v>3.3</v>
      </c>
      <c r="O16" s="129">
        <v>0</v>
      </c>
      <c r="P16" s="129">
        <v>0</v>
      </c>
      <c r="Q16" s="129">
        <v>105.56</v>
      </c>
      <c r="R16" s="127" t="s">
        <v>271</v>
      </c>
      <c r="S16" s="129">
        <v>105.56</v>
      </c>
      <c r="T16" s="129">
        <v>43.91</v>
      </c>
      <c r="U16" s="129">
        <v>0</v>
      </c>
      <c r="V16" s="129" t="b">
        <v>0</v>
      </c>
      <c r="W16" s="129">
        <v>106511215</v>
      </c>
      <c r="X16" s="129">
        <v>0</v>
      </c>
      <c r="Y16" s="129">
        <v>0</v>
      </c>
      <c r="Z16" s="129"/>
      <c r="AA16" s="129">
        <v>0</v>
      </c>
      <c r="AB16" s="129" t="b">
        <v>0</v>
      </c>
      <c r="AC16" s="127" t="s">
        <v>142</v>
      </c>
      <c r="AD16" s="127" t="s">
        <v>142</v>
      </c>
      <c r="AE16" s="127" t="s">
        <v>142</v>
      </c>
      <c r="AF16" s="129">
        <v>99.986400000000003</v>
      </c>
      <c r="AG16" s="144">
        <v>43930</v>
      </c>
      <c r="AH16" s="129"/>
    </row>
    <row r="17" spans="1:34" x14ac:dyDescent="0.2">
      <c r="A17" s="127" t="s">
        <v>23</v>
      </c>
      <c r="B17" s="128">
        <v>43894.742858796293</v>
      </c>
      <c r="C17" s="127" t="s">
        <v>270</v>
      </c>
      <c r="D17" s="127" t="s">
        <v>271</v>
      </c>
      <c r="E17" s="127" t="s">
        <v>21</v>
      </c>
      <c r="F17" s="129">
        <v>0.52959999999999996</v>
      </c>
      <c r="G17" s="129">
        <v>0.54139999999999999</v>
      </c>
      <c r="H17" s="129">
        <v>29</v>
      </c>
      <c r="I17" s="129">
        <v>108.28</v>
      </c>
      <c r="J17" s="129" t="b">
        <v>0</v>
      </c>
      <c r="K17" s="129" t="b">
        <v>0</v>
      </c>
      <c r="L17" s="129">
        <v>200</v>
      </c>
      <c r="M17" s="129">
        <v>0</v>
      </c>
      <c r="N17" s="129">
        <v>3.73</v>
      </c>
      <c r="O17" s="129">
        <v>0</v>
      </c>
      <c r="P17" s="129">
        <v>0</v>
      </c>
      <c r="Q17" s="129">
        <v>108.28</v>
      </c>
      <c r="R17" s="127" t="s">
        <v>271</v>
      </c>
      <c r="S17" s="129">
        <v>108.28</v>
      </c>
      <c r="T17" s="129">
        <v>49.63</v>
      </c>
      <c r="U17" s="129">
        <v>0</v>
      </c>
      <c r="V17" s="129" t="b">
        <v>0</v>
      </c>
      <c r="W17" s="129">
        <v>106434829</v>
      </c>
      <c r="X17" s="129">
        <v>0</v>
      </c>
      <c r="Y17" s="129">
        <v>0</v>
      </c>
      <c r="Z17" s="129"/>
      <c r="AA17" s="129">
        <v>0</v>
      </c>
      <c r="AB17" s="129" t="b">
        <v>0</v>
      </c>
      <c r="AC17" s="127" t="s">
        <v>142</v>
      </c>
      <c r="AD17" s="127" t="s">
        <v>142</v>
      </c>
      <c r="AE17" s="127" t="s">
        <v>142</v>
      </c>
      <c r="AF17" s="129">
        <v>1.18E-2</v>
      </c>
      <c r="AG17" s="144">
        <v>43901</v>
      </c>
      <c r="AH17" s="129"/>
    </row>
    <row r="18" spans="1:34" x14ac:dyDescent="0.2">
      <c r="A18" s="127" t="s">
        <v>23</v>
      </c>
      <c r="B18" s="128">
        <v>43865.298993055556</v>
      </c>
      <c r="C18" s="127" t="s">
        <v>270</v>
      </c>
      <c r="D18" s="127" t="s">
        <v>271</v>
      </c>
      <c r="E18" s="127" t="s">
        <v>21</v>
      </c>
      <c r="F18" s="129">
        <v>0.49569999999999997</v>
      </c>
      <c r="G18" s="129">
        <v>0.52959999999999996</v>
      </c>
      <c r="H18" s="129">
        <v>28</v>
      </c>
      <c r="I18" s="129">
        <v>105.9199</v>
      </c>
      <c r="J18" s="129" t="b">
        <v>0</v>
      </c>
      <c r="K18" s="129" t="b">
        <v>0</v>
      </c>
      <c r="L18" s="129">
        <v>200</v>
      </c>
      <c r="M18" s="129">
        <v>0</v>
      </c>
      <c r="N18" s="129">
        <v>3.78</v>
      </c>
      <c r="O18" s="129">
        <v>0</v>
      </c>
      <c r="P18" s="129">
        <v>0</v>
      </c>
      <c r="Q18" s="129">
        <v>105.92</v>
      </c>
      <c r="R18" s="127" t="s">
        <v>271</v>
      </c>
      <c r="S18" s="129">
        <v>105.9199</v>
      </c>
      <c r="T18" s="129">
        <v>51.7</v>
      </c>
      <c r="U18" s="129">
        <v>0</v>
      </c>
      <c r="V18" s="129" t="b">
        <v>0</v>
      </c>
      <c r="W18" s="129">
        <v>106354313</v>
      </c>
      <c r="X18" s="129">
        <v>0</v>
      </c>
      <c r="Y18" s="129">
        <v>0</v>
      </c>
      <c r="Z18" s="127" t="s">
        <v>246</v>
      </c>
      <c r="AA18" s="129">
        <v>0</v>
      </c>
      <c r="AB18" s="129" t="b">
        <v>0</v>
      </c>
      <c r="AC18" s="127" t="s">
        <v>142</v>
      </c>
      <c r="AD18" s="127" t="s">
        <v>142</v>
      </c>
      <c r="AE18" s="127" t="s">
        <v>142</v>
      </c>
      <c r="AF18" s="129">
        <v>3.39E-2</v>
      </c>
      <c r="AG18" s="144">
        <v>43871</v>
      </c>
      <c r="AH18" s="129"/>
    </row>
    <row r="19" spans="1:34" x14ac:dyDescent="0.2">
      <c r="A19" s="127" t="s">
        <v>23</v>
      </c>
      <c r="B19" s="128">
        <v>43837.479097222225</v>
      </c>
      <c r="C19" s="127" t="s">
        <v>270</v>
      </c>
      <c r="D19" s="127" t="s">
        <v>271</v>
      </c>
      <c r="E19" s="127" t="s">
        <v>21</v>
      </c>
      <c r="F19" s="129">
        <v>0.52139999999999997</v>
      </c>
      <c r="G19" s="129">
        <v>0.49569999999999997</v>
      </c>
      <c r="H19" s="129">
        <v>32</v>
      </c>
      <c r="I19" s="129">
        <v>99.14</v>
      </c>
      <c r="J19" s="129" t="b">
        <v>0</v>
      </c>
      <c r="K19" s="129" t="b">
        <v>0</v>
      </c>
      <c r="L19" s="129">
        <v>200</v>
      </c>
      <c r="M19" s="129">
        <v>0</v>
      </c>
      <c r="N19" s="129">
        <v>3.1</v>
      </c>
      <c r="O19" s="129">
        <v>0</v>
      </c>
      <c r="P19" s="129">
        <v>0</v>
      </c>
      <c r="Q19" s="129">
        <v>99.14</v>
      </c>
      <c r="R19" s="127" t="s">
        <v>271</v>
      </c>
      <c r="S19" s="129">
        <v>99.14</v>
      </c>
      <c r="T19" s="129">
        <v>47.28</v>
      </c>
      <c r="U19" s="129">
        <v>0</v>
      </c>
      <c r="V19" s="129" t="b">
        <v>0</v>
      </c>
      <c r="W19" s="129">
        <v>106267526</v>
      </c>
      <c r="X19" s="129">
        <v>0</v>
      </c>
      <c r="Y19" s="129">
        <v>0</v>
      </c>
      <c r="Z19" s="127" t="s">
        <v>246</v>
      </c>
      <c r="AA19" s="129">
        <v>0</v>
      </c>
      <c r="AB19" s="129" t="b">
        <v>0</v>
      </c>
      <c r="AC19" s="127" t="s">
        <v>142</v>
      </c>
      <c r="AD19" s="127" t="s">
        <v>142</v>
      </c>
      <c r="AE19" s="127" t="s">
        <v>142</v>
      </c>
      <c r="AF19" s="129">
        <v>99.974299999999999</v>
      </c>
      <c r="AG19" s="144">
        <v>43840</v>
      </c>
      <c r="AH19" s="129"/>
    </row>
    <row r="20" spans="1:34" x14ac:dyDescent="0.2">
      <c r="A20" s="127" t="s">
        <v>23</v>
      </c>
      <c r="B20" s="128">
        <v>43805.304722222223</v>
      </c>
      <c r="C20" s="127" t="s">
        <v>270</v>
      </c>
      <c r="D20" s="127" t="s">
        <v>271</v>
      </c>
      <c r="E20" s="127" t="s">
        <v>21</v>
      </c>
      <c r="F20" s="129">
        <v>0.61399999999999999</v>
      </c>
      <c r="G20" s="129">
        <v>0.52139999999999997</v>
      </c>
      <c r="H20" s="129">
        <v>30</v>
      </c>
      <c r="I20" s="129">
        <v>104.28</v>
      </c>
      <c r="J20" s="129" t="b">
        <v>0</v>
      </c>
      <c r="K20" s="129" t="b">
        <v>0</v>
      </c>
      <c r="L20" s="129">
        <v>200</v>
      </c>
      <c r="M20" s="129">
        <v>0</v>
      </c>
      <c r="N20" s="129">
        <v>3.48</v>
      </c>
      <c r="O20" s="129">
        <v>0</v>
      </c>
      <c r="P20" s="129">
        <v>0</v>
      </c>
      <c r="Q20" s="129">
        <v>104.28</v>
      </c>
      <c r="R20" s="127" t="s">
        <v>271</v>
      </c>
      <c r="S20" s="129">
        <v>104.28</v>
      </c>
      <c r="T20" s="129">
        <v>45.82</v>
      </c>
      <c r="U20" s="129">
        <v>0</v>
      </c>
      <c r="V20" s="129" t="b">
        <v>0</v>
      </c>
      <c r="W20" s="129">
        <v>106189931</v>
      </c>
      <c r="X20" s="129">
        <v>0</v>
      </c>
      <c r="Y20" s="129">
        <v>0</v>
      </c>
      <c r="Z20" s="127" t="s">
        <v>246</v>
      </c>
      <c r="AA20" s="129">
        <v>0</v>
      </c>
      <c r="AB20" s="129" t="b">
        <v>0</v>
      </c>
      <c r="AC20" s="127" t="s">
        <v>142</v>
      </c>
      <c r="AD20" s="127" t="s">
        <v>142</v>
      </c>
      <c r="AE20" s="127" t="s">
        <v>142</v>
      </c>
      <c r="AF20" s="129">
        <v>99.907399999999996</v>
      </c>
      <c r="AG20" s="144">
        <v>43810</v>
      </c>
      <c r="AH20" s="129"/>
    </row>
    <row r="21" spans="1:34" x14ac:dyDescent="0.2">
      <c r="A21" s="127" t="s">
        <v>23</v>
      </c>
      <c r="B21" s="128">
        <v>43775.299085648148</v>
      </c>
      <c r="C21" s="127" t="s">
        <v>270</v>
      </c>
      <c r="D21" s="127" t="s">
        <v>271</v>
      </c>
      <c r="E21" s="127" t="s">
        <v>21</v>
      </c>
      <c r="F21" s="129">
        <v>0.75849999999999995</v>
      </c>
      <c r="G21" s="129">
        <v>0.61399999999999999</v>
      </c>
      <c r="H21" s="129">
        <v>29</v>
      </c>
      <c r="I21" s="129">
        <v>122.8</v>
      </c>
      <c r="J21" s="129" t="b">
        <v>0</v>
      </c>
      <c r="K21" s="129" t="b">
        <v>0</v>
      </c>
      <c r="L21" s="129">
        <v>200</v>
      </c>
      <c r="M21" s="129">
        <v>0</v>
      </c>
      <c r="N21" s="129">
        <v>4.2300000000000004</v>
      </c>
      <c r="O21" s="129">
        <v>0</v>
      </c>
      <c r="P21" s="129">
        <v>0</v>
      </c>
      <c r="Q21" s="129">
        <v>122.8</v>
      </c>
      <c r="R21" s="127" t="s">
        <v>271</v>
      </c>
      <c r="S21" s="129">
        <v>122.8</v>
      </c>
      <c r="T21" s="129">
        <v>43.52</v>
      </c>
      <c r="U21" s="129">
        <v>0</v>
      </c>
      <c r="V21" s="129" t="b">
        <v>0</v>
      </c>
      <c r="W21" s="129">
        <v>106112680</v>
      </c>
      <c r="X21" s="129">
        <v>0</v>
      </c>
      <c r="Y21" s="129">
        <v>0</v>
      </c>
      <c r="Z21" s="127" t="s">
        <v>246</v>
      </c>
      <c r="AA21" s="129">
        <v>0</v>
      </c>
      <c r="AB21" s="129" t="b">
        <v>0</v>
      </c>
      <c r="AC21" s="127" t="s">
        <v>142</v>
      </c>
      <c r="AD21" s="127" t="s">
        <v>142</v>
      </c>
      <c r="AE21" s="127" t="s">
        <v>142</v>
      </c>
      <c r="AF21" s="129">
        <v>99.855500000000006</v>
      </c>
      <c r="AG21" s="144">
        <v>43781</v>
      </c>
      <c r="AH21" s="129"/>
    </row>
    <row r="22" spans="1:34" x14ac:dyDescent="0.2">
      <c r="A22" s="127" t="s">
        <v>23</v>
      </c>
      <c r="B22" s="128">
        <v>43746.30028935185</v>
      </c>
      <c r="C22" s="127" t="s">
        <v>270</v>
      </c>
      <c r="D22" s="127" t="s">
        <v>271</v>
      </c>
      <c r="E22" s="127" t="s">
        <v>21</v>
      </c>
      <c r="F22" s="129">
        <v>0.74099999999999999</v>
      </c>
      <c r="G22" s="129">
        <v>0.75849999999999995</v>
      </c>
      <c r="H22" s="129">
        <v>33</v>
      </c>
      <c r="I22" s="129">
        <v>151.69999999999999</v>
      </c>
      <c r="J22" s="129" t="b">
        <v>0</v>
      </c>
      <c r="K22" s="129" t="b">
        <v>0</v>
      </c>
      <c r="L22" s="129">
        <v>200</v>
      </c>
      <c r="M22" s="129">
        <v>0</v>
      </c>
      <c r="N22" s="129">
        <v>4.5999999999999996</v>
      </c>
      <c r="O22" s="129">
        <v>0</v>
      </c>
      <c r="P22" s="129">
        <v>0</v>
      </c>
      <c r="Q22" s="129">
        <v>151.69999999999999</v>
      </c>
      <c r="R22" s="127" t="s">
        <v>271</v>
      </c>
      <c r="S22" s="129">
        <v>151.69999999999999</v>
      </c>
      <c r="T22" s="129">
        <v>38.29</v>
      </c>
      <c r="U22" s="129">
        <v>0</v>
      </c>
      <c r="V22" s="129" t="b">
        <v>0</v>
      </c>
      <c r="W22" s="129">
        <v>106036296</v>
      </c>
      <c r="X22" s="129">
        <v>0</v>
      </c>
      <c r="Y22" s="129">
        <v>0</v>
      </c>
      <c r="Z22" s="127" t="s">
        <v>246</v>
      </c>
      <c r="AA22" s="129">
        <v>0</v>
      </c>
      <c r="AB22" s="129" t="b">
        <v>0</v>
      </c>
      <c r="AC22" s="127" t="s">
        <v>142</v>
      </c>
      <c r="AD22" s="127" t="s">
        <v>142</v>
      </c>
      <c r="AE22" s="127" t="s">
        <v>142</v>
      </c>
      <c r="AF22" s="129">
        <v>1.7500000000000002E-2</v>
      </c>
      <c r="AG22" s="144">
        <v>43749</v>
      </c>
      <c r="AH22" s="129"/>
    </row>
    <row r="23" spans="1:34" x14ac:dyDescent="0.2">
      <c r="A23" s="127" t="s">
        <v>23</v>
      </c>
      <c r="B23" s="128">
        <v>43713.602268518516</v>
      </c>
      <c r="C23" s="127" t="s">
        <v>270</v>
      </c>
      <c r="D23" s="127" t="s">
        <v>271</v>
      </c>
      <c r="E23" s="127" t="s">
        <v>21</v>
      </c>
      <c r="F23" s="129">
        <v>0.77590000000000003</v>
      </c>
      <c r="G23" s="129">
        <v>0.74099999999999999</v>
      </c>
      <c r="H23" s="129">
        <v>31</v>
      </c>
      <c r="I23" s="129">
        <v>148.19999999999999</v>
      </c>
      <c r="J23" s="129" t="b">
        <v>0</v>
      </c>
      <c r="K23" s="129" t="b">
        <v>0</v>
      </c>
      <c r="L23" s="129">
        <v>200</v>
      </c>
      <c r="M23" s="129">
        <v>0</v>
      </c>
      <c r="N23" s="129">
        <v>4.78</v>
      </c>
      <c r="O23" s="129">
        <v>0</v>
      </c>
      <c r="P23" s="129">
        <v>0</v>
      </c>
      <c r="Q23" s="129">
        <v>148.19999999999999</v>
      </c>
      <c r="R23" s="127" t="s">
        <v>271</v>
      </c>
      <c r="S23" s="129">
        <v>148.19999999999999</v>
      </c>
      <c r="T23" s="129">
        <v>41.54</v>
      </c>
      <c r="U23" s="129">
        <v>0</v>
      </c>
      <c r="V23" s="129" t="b">
        <v>0</v>
      </c>
      <c r="W23" s="129">
        <v>105952891</v>
      </c>
      <c r="X23" s="129">
        <v>0</v>
      </c>
      <c r="Y23" s="129">
        <v>0</v>
      </c>
      <c r="Z23" s="127" t="s">
        <v>246</v>
      </c>
      <c r="AA23" s="129">
        <v>0</v>
      </c>
      <c r="AB23" s="129" t="b">
        <v>0</v>
      </c>
      <c r="AC23" s="127" t="s">
        <v>142</v>
      </c>
      <c r="AD23" s="127" t="s">
        <v>142</v>
      </c>
      <c r="AE23" s="127" t="s">
        <v>142</v>
      </c>
      <c r="AF23" s="129">
        <v>99.965100000000007</v>
      </c>
      <c r="AG23" s="144">
        <v>43719</v>
      </c>
      <c r="AH23" s="129"/>
    </row>
    <row r="24" spans="1:34" x14ac:dyDescent="0.2">
      <c r="A24" s="127" t="s">
        <v>23</v>
      </c>
      <c r="B24" s="128">
        <v>43682.307106481479</v>
      </c>
      <c r="C24" s="127" t="s">
        <v>270</v>
      </c>
      <c r="D24" s="127" t="s">
        <v>271</v>
      </c>
      <c r="E24" s="127" t="s">
        <v>21</v>
      </c>
      <c r="F24" s="129">
        <v>0.74109999999999998</v>
      </c>
      <c r="G24" s="129">
        <v>0.77590000000000003</v>
      </c>
      <c r="H24" s="129">
        <v>27</v>
      </c>
      <c r="I24" s="129">
        <v>155.18</v>
      </c>
      <c r="J24" s="129" t="b">
        <v>0</v>
      </c>
      <c r="K24" s="129" t="b">
        <v>0</v>
      </c>
      <c r="L24" s="129">
        <v>200</v>
      </c>
      <c r="M24" s="129">
        <v>0</v>
      </c>
      <c r="N24" s="129">
        <v>5.75</v>
      </c>
      <c r="O24" s="129">
        <v>0</v>
      </c>
      <c r="P24" s="129">
        <v>0</v>
      </c>
      <c r="Q24" s="129">
        <v>155.18</v>
      </c>
      <c r="R24" s="127" t="s">
        <v>271</v>
      </c>
      <c r="S24" s="129">
        <v>155.18</v>
      </c>
      <c r="T24" s="129">
        <v>51.12</v>
      </c>
      <c r="U24" s="129">
        <v>0</v>
      </c>
      <c r="V24" s="129" t="b">
        <v>0</v>
      </c>
      <c r="W24" s="129">
        <v>105873787</v>
      </c>
      <c r="X24" s="129">
        <v>0</v>
      </c>
      <c r="Y24" s="129">
        <v>0</v>
      </c>
      <c r="Z24" s="127" t="s">
        <v>246</v>
      </c>
      <c r="AA24" s="129">
        <v>0</v>
      </c>
      <c r="AB24" s="129" t="b">
        <v>0</v>
      </c>
      <c r="AC24" s="127" t="s">
        <v>142</v>
      </c>
      <c r="AD24" s="127" t="s">
        <v>142</v>
      </c>
      <c r="AE24" s="127" t="s">
        <v>142</v>
      </c>
      <c r="AF24" s="129">
        <v>3.4799999999999998E-2</v>
      </c>
      <c r="AG24" s="144">
        <v>43689</v>
      </c>
      <c r="AH24" s="129"/>
    </row>
    <row r="25" spans="1:34" x14ac:dyDescent="0.2">
      <c r="A25" s="127" t="s">
        <v>23</v>
      </c>
      <c r="B25" s="128">
        <v>43655.301585648151</v>
      </c>
      <c r="C25" s="127" t="s">
        <v>270</v>
      </c>
      <c r="D25" s="127" t="s">
        <v>271</v>
      </c>
      <c r="E25" s="127" t="s">
        <v>21</v>
      </c>
      <c r="F25" s="129">
        <v>0.69469999999999998</v>
      </c>
      <c r="G25" s="129">
        <v>0.74109999999999998</v>
      </c>
      <c r="H25" s="129">
        <v>33</v>
      </c>
      <c r="I25" s="129">
        <v>148.22</v>
      </c>
      <c r="J25" s="129" t="b">
        <v>0</v>
      </c>
      <c r="K25" s="129" t="b">
        <v>0</v>
      </c>
      <c r="L25" s="129">
        <v>200</v>
      </c>
      <c r="M25" s="129">
        <v>0</v>
      </c>
      <c r="N25" s="129">
        <v>4.49</v>
      </c>
      <c r="O25" s="129">
        <v>0</v>
      </c>
      <c r="P25" s="129">
        <v>0</v>
      </c>
      <c r="Q25" s="129">
        <v>148.22</v>
      </c>
      <c r="R25" s="127" t="s">
        <v>271</v>
      </c>
      <c r="S25" s="129">
        <v>148.22</v>
      </c>
      <c r="T25" s="129">
        <v>39.19</v>
      </c>
      <c r="U25" s="129">
        <v>0</v>
      </c>
      <c r="V25" s="129" t="b">
        <v>0</v>
      </c>
      <c r="W25" s="129">
        <v>105794193</v>
      </c>
      <c r="X25" s="129">
        <v>0</v>
      </c>
      <c r="Y25" s="129">
        <v>0</v>
      </c>
      <c r="Z25" s="127" t="s">
        <v>246</v>
      </c>
      <c r="AA25" s="129">
        <v>0</v>
      </c>
      <c r="AB25" s="129" t="b">
        <v>0</v>
      </c>
      <c r="AC25" s="127" t="s">
        <v>142</v>
      </c>
      <c r="AD25" s="127" t="s">
        <v>142</v>
      </c>
      <c r="AE25" s="127" t="s">
        <v>142</v>
      </c>
      <c r="AF25" s="129">
        <v>4.6399999999999997E-2</v>
      </c>
      <c r="AG25" s="144">
        <v>43658</v>
      </c>
      <c r="AH25" s="129"/>
    </row>
    <row r="26" spans="1:34" x14ac:dyDescent="0.2">
      <c r="A26" s="127" t="s">
        <v>23</v>
      </c>
      <c r="B26" s="128">
        <v>43622.313923611109</v>
      </c>
      <c r="C26" s="127" t="s">
        <v>270</v>
      </c>
      <c r="D26" s="127" t="s">
        <v>271</v>
      </c>
      <c r="E26" s="127" t="s">
        <v>21</v>
      </c>
      <c r="F26" s="129">
        <v>0.58850000000000002</v>
      </c>
      <c r="G26" s="129">
        <v>0.69469999999999998</v>
      </c>
      <c r="H26" s="129">
        <v>30</v>
      </c>
      <c r="I26" s="129">
        <v>138.94</v>
      </c>
      <c r="J26" s="129" t="b">
        <v>0</v>
      </c>
      <c r="K26" s="129" t="b">
        <v>0</v>
      </c>
      <c r="L26" s="129">
        <v>200</v>
      </c>
      <c r="M26" s="129">
        <v>0</v>
      </c>
      <c r="N26" s="129">
        <v>4.63</v>
      </c>
      <c r="O26" s="129">
        <v>0</v>
      </c>
      <c r="P26" s="129">
        <v>0</v>
      </c>
      <c r="Q26" s="129">
        <v>138.94</v>
      </c>
      <c r="R26" s="127" t="s">
        <v>271</v>
      </c>
      <c r="S26" s="129">
        <v>138.94</v>
      </c>
      <c r="T26" s="129">
        <v>39.79</v>
      </c>
      <c r="U26" s="129">
        <v>0</v>
      </c>
      <c r="V26" s="129" t="b">
        <v>0</v>
      </c>
      <c r="W26" s="129">
        <v>105714199</v>
      </c>
      <c r="X26" s="129">
        <v>0</v>
      </c>
      <c r="Y26" s="129">
        <v>0</v>
      </c>
      <c r="Z26" s="127" t="s">
        <v>246</v>
      </c>
      <c r="AA26" s="129">
        <v>0</v>
      </c>
      <c r="AB26" s="129" t="b">
        <v>0</v>
      </c>
      <c r="AC26" s="127" t="s">
        <v>142</v>
      </c>
      <c r="AD26" s="127" t="s">
        <v>142</v>
      </c>
      <c r="AE26" s="127" t="s">
        <v>142</v>
      </c>
      <c r="AF26" s="129">
        <v>0.1062</v>
      </c>
      <c r="AG26" s="144">
        <v>43627</v>
      </c>
      <c r="AH26" s="129"/>
    </row>
    <row r="27" spans="1:34" x14ac:dyDescent="0.2">
      <c r="A27" s="127" t="s">
        <v>23</v>
      </c>
      <c r="B27" s="128">
        <v>43592.301979166667</v>
      </c>
      <c r="C27" s="127" t="s">
        <v>270</v>
      </c>
      <c r="D27" s="127" t="s">
        <v>271</v>
      </c>
      <c r="E27" s="127" t="s">
        <v>21</v>
      </c>
      <c r="F27" s="129">
        <v>0.55620000000000003</v>
      </c>
      <c r="G27" s="129">
        <v>0.58850000000000002</v>
      </c>
      <c r="H27" s="129">
        <v>32</v>
      </c>
      <c r="I27" s="129">
        <v>117.7</v>
      </c>
      <c r="J27" s="129" t="b">
        <v>0</v>
      </c>
      <c r="K27" s="129" t="b">
        <v>0</v>
      </c>
      <c r="L27" s="129">
        <v>200</v>
      </c>
      <c r="M27" s="129">
        <v>0</v>
      </c>
      <c r="N27" s="129">
        <v>3.68</v>
      </c>
      <c r="O27" s="129">
        <v>0</v>
      </c>
      <c r="P27" s="129">
        <v>0</v>
      </c>
      <c r="Q27" s="129">
        <v>117.7</v>
      </c>
      <c r="R27" s="127" t="s">
        <v>271</v>
      </c>
      <c r="S27" s="129">
        <v>117.7</v>
      </c>
      <c r="T27" s="129">
        <v>41.37</v>
      </c>
      <c r="U27" s="129">
        <v>0</v>
      </c>
      <c r="V27" s="129" t="b">
        <v>0</v>
      </c>
      <c r="W27" s="129">
        <v>105636728</v>
      </c>
      <c r="X27" s="129">
        <v>0</v>
      </c>
      <c r="Y27" s="129">
        <v>0</v>
      </c>
      <c r="Z27" s="127" t="s">
        <v>246</v>
      </c>
      <c r="AA27" s="129">
        <v>0</v>
      </c>
      <c r="AB27" s="129" t="b">
        <v>0</v>
      </c>
      <c r="AC27" s="127" t="s">
        <v>142</v>
      </c>
      <c r="AD27" s="127" t="s">
        <v>142</v>
      </c>
      <c r="AE27" s="127" t="s">
        <v>142</v>
      </c>
      <c r="AF27" s="129">
        <v>3.2300000000000002E-2</v>
      </c>
      <c r="AG27" s="144">
        <v>43598</v>
      </c>
      <c r="AH27" s="129"/>
    </row>
    <row r="28" spans="1:34" x14ac:dyDescent="0.2">
      <c r="A28" s="127" t="s">
        <v>23</v>
      </c>
      <c r="B28" s="128">
        <v>43560.313136574077</v>
      </c>
      <c r="C28" s="127" t="s">
        <v>270</v>
      </c>
      <c r="D28" s="127" t="s">
        <v>271</v>
      </c>
      <c r="E28" s="127" t="s">
        <v>21</v>
      </c>
      <c r="F28" s="129">
        <v>0.54469999999999996</v>
      </c>
      <c r="G28" s="129">
        <v>0.55620000000000003</v>
      </c>
      <c r="H28" s="129">
        <v>29</v>
      </c>
      <c r="I28" s="129">
        <v>111.24</v>
      </c>
      <c r="J28" s="129" t="b">
        <v>0</v>
      </c>
      <c r="K28" s="129" t="b">
        <v>0</v>
      </c>
      <c r="L28" s="129">
        <v>200</v>
      </c>
      <c r="M28" s="129">
        <v>0</v>
      </c>
      <c r="N28" s="129">
        <v>3.84</v>
      </c>
      <c r="O28" s="129">
        <v>0</v>
      </c>
      <c r="P28" s="129">
        <v>0</v>
      </c>
      <c r="Q28" s="129">
        <v>111.24</v>
      </c>
      <c r="R28" s="127" t="s">
        <v>271</v>
      </c>
      <c r="S28" s="129">
        <v>111.24</v>
      </c>
      <c r="T28" s="129">
        <v>48.82</v>
      </c>
      <c r="U28" s="129">
        <v>0</v>
      </c>
      <c r="V28" s="129" t="b">
        <v>0</v>
      </c>
      <c r="W28" s="129">
        <v>105554275</v>
      </c>
      <c r="X28" s="129">
        <v>0</v>
      </c>
      <c r="Y28" s="129">
        <v>0</v>
      </c>
      <c r="Z28" s="127" t="s">
        <v>246</v>
      </c>
      <c r="AA28" s="129">
        <v>0</v>
      </c>
      <c r="AB28" s="129" t="b">
        <v>0</v>
      </c>
      <c r="AC28" s="127" t="s">
        <v>142</v>
      </c>
      <c r="AD28" s="127" t="s">
        <v>142</v>
      </c>
      <c r="AE28" s="127" t="s">
        <v>142</v>
      </c>
      <c r="AF28" s="129">
        <v>1.15E-2</v>
      </c>
      <c r="AG28" s="144">
        <v>43567</v>
      </c>
      <c r="AH28" s="129"/>
    </row>
    <row r="29" spans="1:34" x14ac:dyDescent="0.2">
      <c r="A29" s="127" t="s">
        <v>23</v>
      </c>
      <c r="B29" s="128">
        <v>43531.299849537034</v>
      </c>
      <c r="C29" s="127" t="s">
        <v>270</v>
      </c>
      <c r="D29" s="127" t="s">
        <v>271</v>
      </c>
      <c r="E29" s="127" t="s">
        <v>21</v>
      </c>
      <c r="F29" s="129">
        <v>0.55600000000000005</v>
      </c>
      <c r="G29" s="129">
        <v>0.54469999999999996</v>
      </c>
      <c r="H29" s="129">
        <v>29</v>
      </c>
      <c r="I29" s="129">
        <v>108.94</v>
      </c>
      <c r="J29" s="129" t="b">
        <v>0</v>
      </c>
      <c r="K29" s="129" t="b">
        <v>0</v>
      </c>
      <c r="L29" s="129">
        <v>200</v>
      </c>
      <c r="M29" s="129">
        <v>0</v>
      </c>
      <c r="N29" s="129">
        <v>3.76</v>
      </c>
      <c r="O29" s="129">
        <v>0</v>
      </c>
      <c r="P29" s="129">
        <v>0</v>
      </c>
      <c r="Q29" s="129">
        <v>108.94</v>
      </c>
      <c r="R29" s="127" t="s">
        <v>271</v>
      </c>
      <c r="S29" s="129">
        <v>108.94</v>
      </c>
      <c r="T29" s="129">
        <v>45.37</v>
      </c>
      <c r="U29" s="129">
        <v>0</v>
      </c>
      <c r="V29" s="129" t="b">
        <v>0</v>
      </c>
      <c r="W29" s="129">
        <v>105473212</v>
      </c>
      <c r="X29" s="129">
        <v>0</v>
      </c>
      <c r="Y29" s="129">
        <v>0</v>
      </c>
      <c r="Z29" s="127" t="s">
        <v>246</v>
      </c>
      <c r="AA29" s="129">
        <v>0</v>
      </c>
      <c r="AB29" s="129" t="b">
        <v>0</v>
      </c>
      <c r="AC29" s="127" t="s">
        <v>142</v>
      </c>
      <c r="AD29" s="127" t="s">
        <v>142</v>
      </c>
      <c r="AE29" s="127" t="s">
        <v>142</v>
      </c>
      <c r="AF29" s="129">
        <v>99.988699999999994</v>
      </c>
      <c r="AG29" s="144">
        <v>43538</v>
      </c>
      <c r="AH29" s="129"/>
    </row>
    <row r="30" spans="1:34" x14ac:dyDescent="0.2">
      <c r="A30" s="127" t="s">
        <v>23</v>
      </c>
      <c r="B30" s="128">
        <v>43502.323078703703</v>
      </c>
      <c r="C30" s="127" t="s">
        <v>270</v>
      </c>
      <c r="D30" s="127" t="s">
        <v>271</v>
      </c>
      <c r="E30" s="127" t="s">
        <v>21</v>
      </c>
      <c r="F30" s="129">
        <v>0.49569999999999997</v>
      </c>
      <c r="G30" s="129">
        <v>0.55600000000000005</v>
      </c>
      <c r="H30" s="129">
        <v>29</v>
      </c>
      <c r="I30" s="129">
        <v>111.2</v>
      </c>
      <c r="J30" s="129" t="b">
        <v>0</v>
      </c>
      <c r="K30" s="129" t="b">
        <v>0</v>
      </c>
      <c r="L30" s="129">
        <v>200</v>
      </c>
      <c r="M30" s="129">
        <v>0</v>
      </c>
      <c r="N30" s="129">
        <v>3.83</v>
      </c>
      <c r="O30" s="129">
        <v>0</v>
      </c>
      <c r="P30" s="129">
        <v>0</v>
      </c>
      <c r="Q30" s="129">
        <v>111.2</v>
      </c>
      <c r="R30" s="127" t="s">
        <v>271</v>
      </c>
      <c r="S30" s="129">
        <v>111.2</v>
      </c>
      <c r="T30" s="129">
        <v>50.39</v>
      </c>
      <c r="U30" s="129">
        <v>0</v>
      </c>
      <c r="V30" s="129" t="b">
        <v>0</v>
      </c>
      <c r="W30" s="129">
        <v>105392080</v>
      </c>
      <c r="X30" s="129">
        <v>0</v>
      </c>
      <c r="Y30" s="129">
        <v>0</v>
      </c>
      <c r="Z30" s="127" t="s">
        <v>246</v>
      </c>
      <c r="AA30" s="129">
        <v>0</v>
      </c>
      <c r="AB30" s="129" t="b">
        <v>0</v>
      </c>
      <c r="AC30" s="127" t="s">
        <v>142</v>
      </c>
      <c r="AD30" s="127" t="s">
        <v>142</v>
      </c>
      <c r="AE30" s="127" t="s">
        <v>142</v>
      </c>
      <c r="AF30" s="129">
        <v>6.0299999999999999E-2</v>
      </c>
      <c r="AG30" s="144">
        <v>43509</v>
      </c>
      <c r="AH30" s="129"/>
    </row>
    <row r="31" spans="1:34" x14ac:dyDescent="0.2">
      <c r="A31" s="127" t="s">
        <v>23</v>
      </c>
      <c r="B31" s="128">
        <v>43473.2971412037</v>
      </c>
      <c r="C31" s="127" t="s">
        <v>270</v>
      </c>
      <c r="D31" s="127" t="s">
        <v>271</v>
      </c>
      <c r="E31" s="127" t="s">
        <v>21</v>
      </c>
      <c r="F31" s="129">
        <v>0.55669999999999997</v>
      </c>
      <c r="G31" s="129">
        <v>0.49569999999999997</v>
      </c>
      <c r="H31" s="129">
        <v>33</v>
      </c>
      <c r="I31" s="129">
        <v>99.14</v>
      </c>
      <c r="J31" s="129" t="b">
        <v>0</v>
      </c>
      <c r="K31" s="129" t="b">
        <v>0</v>
      </c>
      <c r="L31" s="129">
        <v>200</v>
      </c>
      <c r="M31" s="129">
        <v>0</v>
      </c>
      <c r="N31" s="129">
        <v>3</v>
      </c>
      <c r="O31" s="129">
        <v>0</v>
      </c>
      <c r="P31" s="129">
        <v>0</v>
      </c>
      <c r="Q31" s="129">
        <v>99.14</v>
      </c>
      <c r="R31" s="127" t="s">
        <v>271</v>
      </c>
      <c r="S31" s="129">
        <v>99.14</v>
      </c>
      <c r="T31" s="129">
        <v>45.34</v>
      </c>
      <c r="U31" s="129">
        <v>0</v>
      </c>
      <c r="V31" s="129" t="b">
        <v>0</v>
      </c>
      <c r="W31" s="129">
        <v>105315466</v>
      </c>
      <c r="X31" s="129">
        <v>0</v>
      </c>
      <c r="Y31" s="129">
        <v>0</v>
      </c>
      <c r="Z31" s="127" t="s">
        <v>246</v>
      </c>
      <c r="AA31" s="129">
        <v>0</v>
      </c>
      <c r="AB31" s="129" t="b">
        <v>0</v>
      </c>
      <c r="AC31" s="127" t="s">
        <v>142</v>
      </c>
      <c r="AD31" s="127" t="s">
        <v>142</v>
      </c>
      <c r="AE31" s="127" t="s">
        <v>142</v>
      </c>
      <c r="AF31" s="129">
        <v>99.938999999999993</v>
      </c>
      <c r="AG31" s="144">
        <v>43479</v>
      </c>
      <c r="AH31" s="129"/>
    </row>
    <row r="32" spans="1:34" x14ac:dyDescent="0.2">
      <c r="A32" s="127" t="s">
        <v>23</v>
      </c>
      <c r="B32" s="128">
        <v>43440.532581018517</v>
      </c>
      <c r="C32" s="127" t="s">
        <v>270</v>
      </c>
      <c r="D32" s="127" t="s">
        <v>271</v>
      </c>
      <c r="E32" s="127" t="s">
        <v>21</v>
      </c>
      <c r="F32" s="129">
        <v>0.66849999999999998</v>
      </c>
      <c r="G32" s="129">
        <v>0.55669999999999997</v>
      </c>
      <c r="H32" s="129">
        <v>30</v>
      </c>
      <c r="I32" s="129">
        <v>111.34</v>
      </c>
      <c r="J32" s="129" t="b">
        <v>0</v>
      </c>
      <c r="K32" s="129" t="b">
        <v>0</v>
      </c>
      <c r="L32" s="129">
        <v>200</v>
      </c>
      <c r="M32" s="129">
        <v>0</v>
      </c>
      <c r="N32" s="129">
        <v>3.71</v>
      </c>
      <c r="O32" s="129">
        <v>0</v>
      </c>
      <c r="P32" s="129">
        <v>0</v>
      </c>
      <c r="Q32" s="129">
        <v>111.34</v>
      </c>
      <c r="R32" s="127" t="s">
        <v>271</v>
      </c>
      <c r="S32" s="129">
        <v>111.34</v>
      </c>
      <c r="T32" s="129">
        <v>43.16</v>
      </c>
      <c r="U32" s="129">
        <v>0</v>
      </c>
      <c r="V32" s="129" t="b">
        <v>0</v>
      </c>
      <c r="W32" s="129">
        <v>105235726</v>
      </c>
      <c r="X32" s="129">
        <v>0</v>
      </c>
      <c r="Y32" s="129">
        <v>0</v>
      </c>
      <c r="Z32" s="127" t="s">
        <v>246</v>
      </c>
      <c r="AA32" s="129">
        <v>0</v>
      </c>
      <c r="AB32" s="129" t="b">
        <v>0</v>
      </c>
      <c r="AC32" s="127" t="s">
        <v>142</v>
      </c>
      <c r="AD32" s="127" t="s">
        <v>142</v>
      </c>
      <c r="AE32" s="127" t="s">
        <v>142</v>
      </c>
      <c r="AF32" s="129">
        <v>99.888199999999998</v>
      </c>
      <c r="AG32" s="144">
        <v>43448</v>
      </c>
      <c r="AH32" s="129"/>
    </row>
    <row r="33" spans="1:34" x14ac:dyDescent="0.2">
      <c r="A33" s="127" t="s">
        <v>23</v>
      </c>
      <c r="B33" s="128">
        <v>43410.305115740739</v>
      </c>
      <c r="C33" s="127" t="s">
        <v>270</v>
      </c>
      <c r="D33" s="127" t="s">
        <v>271</v>
      </c>
      <c r="E33" s="127" t="s">
        <v>21</v>
      </c>
      <c r="F33" s="129">
        <v>0.75219999999999998</v>
      </c>
      <c r="G33" s="129">
        <v>0.66849999999999998</v>
      </c>
      <c r="H33" s="129">
        <v>32</v>
      </c>
      <c r="I33" s="129">
        <v>133.69999999999999</v>
      </c>
      <c r="J33" s="129" t="b">
        <v>0</v>
      </c>
      <c r="K33" s="129" t="b">
        <v>0</v>
      </c>
      <c r="L33" s="129">
        <v>200</v>
      </c>
      <c r="M33" s="129">
        <v>0</v>
      </c>
      <c r="N33" s="129">
        <v>4.18</v>
      </c>
      <c r="O33" s="129">
        <v>0</v>
      </c>
      <c r="P33" s="129">
        <v>0</v>
      </c>
      <c r="Q33" s="129">
        <v>133.69999999999999</v>
      </c>
      <c r="R33" s="127" t="s">
        <v>271</v>
      </c>
      <c r="S33" s="129">
        <v>133.69999999999999</v>
      </c>
      <c r="T33" s="129">
        <v>37.979999999999997</v>
      </c>
      <c r="U33" s="129">
        <v>0</v>
      </c>
      <c r="V33" s="129" t="b">
        <v>0</v>
      </c>
      <c r="W33" s="129">
        <v>105152774</v>
      </c>
      <c r="X33" s="129">
        <v>0</v>
      </c>
      <c r="Y33" s="129">
        <v>0</v>
      </c>
      <c r="Z33" s="127" t="s">
        <v>246</v>
      </c>
      <c r="AA33" s="129">
        <v>0</v>
      </c>
      <c r="AB33" s="129" t="b">
        <v>0</v>
      </c>
      <c r="AC33" s="127" t="s">
        <v>142</v>
      </c>
      <c r="AD33" s="127" t="s">
        <v>142</v>
      </c>
      <c r="AE33" s="127" t="s">
        <v>142</v>
      </c>
      <c r="AF33" s="129">
        <v>99.916300000000007</v>
      </c>
      <c r="AG33" s="144">
        <v>43418</v>
      </c>
      <c r="AH33" s="129"/>
    </row>
    <row r="34" spans="1:34" x14ac:dyDescent="0.2">
      <c r="A34" s="127" t="s">
        <v>23</v>
      </c>
      <c r="B34" s="128">
        <v>43378.301828703705</v>
      </c>
      <c r="C34" s="127" t="s">
        <v>270</v>
      </c>
      <c r="D34" s="127" t="s">
        <v>271</v>
      </c>
      <c r="E34" s="127" t="s">
        <v>21</v>
      </c>
      <c r="F34" s="129">
        <v>0.74</v>
      </c>
      <c r="G34" s="129">
        <v>0.75219999999999998</v>
      </c>
      <c r="H34" s="129">
        <v>25</v>
      </c>
      <c r="I34" s="129">
        <v>150.44</v>
      </c>
      <c r="J34" s="129" t="b">
        <v>0</v>
      </c>
      <c r="K34" s="129" t="b">
        <v>0</v>
      </c>
      <c r="L34" s="129">
        <v>200</v>
      </c>
      <c r="M34" s="129">
        <v>0</v>
      </c>
      <c r="N34" s="129">
        <v>6.02</v>
      </c>
      <c r="O34" s="129">
        <v>0</v>
      </c>
      <c r="P34" s="129">
        <v>0</v>
      </c>
      <c r="Q34" s="129">
        <v>150.44</v>
      </c>
      <c r="R34" s="127" t="s">
        <v>271</v>
      </c>
      <c r="S34" s="129">
        <v>150.44</v>
      </c>
      <c r="T34" s="129">
        <v>48.97</v>
      </c>
      <c r="U34" s="129">
        <v>0</v>
      </c>
      <c r="V34" s="129" t="b">
        <v>0</v>
      </c>
      <c r="W34" s="129">
        <v>105073373</v>
      </c>
      <c r="X34" s="129">
        <v>0</v>
      </c>
      <c r="Y34" s="129">
        <v>0</v>
      </c>
      <c r="Z34" s="127" t="s">
        <v>246</v>
      </c>
      <c r="AA34" s="129">
        <v>0</v>
      </c>
      <c r="AB34" s="129" t="b">
        <v>0</v>
      </c>
      <c r="AC34" s="127" t="s">
        <v>142</v>
      </c>
      <c r="AD34" s="127" t="s">
        <v>142</v>
      </c>
      <c r="AE34" s="127" t="s">
        <v>142</v>
      </c>
      <c r="AF34" s="129">
        <v>1.2200000000000001E-2</v>
      </c>
      <c r="AG34" s="144">
        <v>43385</v>
      </c>
      <c r="AH34" s="129"/>
    </row>
    <row r="35" spans="1:34" x14ac:dyDescent="0.2">
      <c r="A35" s="127" t="s">
        <v>23</v>
      </c>
      <c r="B35" s="128">
        <v>43353.306770833333</v>
      </c>
      <c r="C35" s="127" t="s">
        <v>270</v>
      </c>
      <c r="D35" s="127" t="s">
        <v>271</v>
      </c>
      <c r="E35" s="127" t="s">
        <v>21</v>
      </c>
      <c r="F35" s="129">
        <v>0.75119999999999998</v>
      </c>
      <c r="G35" s="129">
        <v>0.74</v>
      </c>
      <c r="H35" s="129">
        <v>35</v>
      </c>
      <c r="I35" s="129">
        <v>148</v>
      </c>
      <c r="J35" s="129" t="b">
        <v>0</v>
      </c>
      <c r="K35" s="129" t="b">
        <v>0</v>
      </c>
      <c r="L35" s="129">
        <v>200</v>
      </c>
      <c r="M35" s="129">
        <v>0</v>
      </c>
      <c r="N35" s="129">
        <v>4.2300000000000004</v>
      </c>
      <c r="O35" s="129">
        <v>0</v>
      </c>
      <c r="P35" s="129">
        <v>0</v>
      </c>
      <c r="Q35" s="129">
        <v>148</v>
      </c>
      <c r="R35" s="127" t="s">
        <v>271</v>
      </c>
      <c r="S35" s="129">
        <v>148</v>
      </c>
      <c r="T35" s="129">
        <v>37.81</v>
      </c>
      <c r="U35" s="129">
        <v>0</v>
      </c>
      <c r="V35" s="129" t="b">
        <v>0</v>
      </c>
      <c r="W35" s="129">
        <v>104987825</v>
      </c>
      <c r="X35" s="129">
        <v>0</v>
      </c>
      <c r="Y35" s="129">
        <v>0</v>
      </c>
      <c r="Z35" s="127" t="s">
        <v>246</v>
      </c>
      <c r="AA35" s="129">
        <v>0</v>
      </c>
      <c r="AB35" s="129" t="b">
        <v>0</v>
      </c>
      <c r="AC35" s="127" t="s">
        <v>142</v>
      </c>
      <c r="AD35" s="127" t="s">
        <v>142</v>
      </c>
      <c r="AE35" s="127" t="s">
        <v>142</v>
      </c>
      <c r="AF35" s="129">
        <v>99.988799999999998</v>
      </c>
      <c r="AG35" s="144">
        <v>43355</v>
      </c>
      <c r="AH35" s="129"/>
    </row>
    <row r="36" spans="1:34" x14ac:dyDescent="0.2">
      <c r="A36" s="127" t="s">
        <v>23</v>
      </c>
      <c r="B36" s="128">
        <v>43318.309560185182</v>
      </c>
      <c r="C36" s="127" t="s">
        <v>270</v>
      </c>
      <c r="D36" s="127" t="s">
        <v>271</v>
      </c>
      <c r="E36" s="127" t="s">
        <v>21</v>
      </c>
      <c r="F36" s="129">
        <v>0.78300000000000003</v>
      </c>
      <c r="G36" s="129">
        <v>0.75119999999999998</v>
      </c>
      <c r="H36" s="129">
        <v>28</v>
      </c>
      <c r="I36" s="129">
        <v>150.24</v>
      </c>
      <c r="J36" s="129" t="b">
        <v>0</v>
      </c>
      <c r="K36" s="129" t="b">
        <v>0</v>
      </c>
      <c r="L36" s="129">
        <v>200</v>
      </c>
      <c r="M36" s="129">
        <v>0</v>
      </c>
      <c r="N36" s="129">
        <v>5.37</v>
      </c>
      <c r="O36" s="129">
        <v>0</v>
      </c>
      <c r="P36" s="129">
        <v>0</v>
      </c>
      <c r="Q36" s="129">
        <v>150.24</v>
      </c>
      <c r="R36" s="127" t="s">
        <v>271</v>
      </c>
      <c r="S36" s="129">
        <v>150.24</v>
      </c>
      <c r="T36" s="129">
        <v>48.14</v>
      </c>
      <c r="U36" s="129">
        <v>0</v>
      </c>
      <c r="V36" s="129" t="b">
        <v>0</v>
      </c>
      <c r="W36" s="129">
        <v>104903133</v>
      </c>
      <c r="X36" s="129">
        <v>0</v>
      </c>
      <c r="Y36" s="129">
        <v>0</v>
      </c>
      <c r="Z36" s="127" t="s">
        <v>258</v>
      </c>
      <c r="AA36" s="129">
        <v>0</v>
      </c>
      <c r="AB36" s="129" t="b">
        <v>0</v>
      </c>
      <c r="AC36" s="127" t="s">
        <v>142</v>
      </c>
      <c r="AD36" s="127" t="s">
        <v>142</v>
      </c>
      <c r="AE36" s="127" t="s">
        <v>142</v>
      </c>
      <c r="AF36" s="129">
        <v>99.968199999999996</v>
      </c>
      <c r="AG36" s="144">
        <v>43322</v>
      </c>
      <c r="AH36" s="129"/>
    </row>
    <row r="37" spans="1:34" x14ac:dyDescent="0.2">
      <c r="A37" s="127" t="s">
        <v>23</v>
      </c>
      <c r="B37" s="128">
        <v>43290.308263888888</v>
      </c>
      <c r="C37" s="127" t="s">
        <v>270</v>
      </c>
      <c r="D37" s="127" t="s">
        <v>271</v>
      </c>
      <c r="E37" s="127" t="s">
        <v>21</v>
      </c>
      <c r="F37" s="129">
        <v>0.71409999999999996</v>
      </c>
      <c r="G37" s="129">
        <v>0.78300000000000003</v>
      </c>
      <c r="H37" s="129">
        <v>33</v>
      </c>
      <c r="I37" s="129">
        <v>156.6</v>
      </c>
      <c r="J37" s="129" t="b">
        <v>0</v>
      </c>
      <c r="K37" s="129" t="b">
        <v>0</v>
      </c>
      <c r="L37" s="129">
        <v>200</v>
      </c>
      <c r="M37" s="129">
        <v>0</v>
      </c>
      <c r="N37" s="129">
        <v>4.75</v>
      </c>
      <c r="O37" s="129">
        <v>0</v>
      </c>
      <c r="P37" s="129">
        <v>0</v>
      </c>
      <c r="Q37" s="129">
        <v>156.6</v>
      </c>
      <c r="R37" s="127" t="s">
        <v>271</v>
      </c>
      <c r="S37" s="129">
        <v>156.6</v>
      </c>
      <c r="T37" s="129">
        <v>37.89</v>
      </c>
      <c r="U37" s="129">
        <v>0</v>
      </c>
      <c r="V37" s="129" t="b">
        <v>0</v>
      </c>
      <c r="W37" s="129">
        <v>104825520</v>
      </c>
      <c r="X37" s="129">
        <v>0</v>
      </c>
      <c r="Y37" s="129">
        <v>0</v>
      </c>
      <c r="Z37" s="127" t="s">
        <v>258</v>
      </c>
      <c r="AA37" s="129">
        <v>0</v>
      </c>
      <c r="AB37" s="129" t="b">
        <v>0</v>
      </c>
      <c r="AC37" s="127" t="s">
        <v>142</v>
      </c>
      <c r="AD37" s="127" t="s">
        <v>142</v>
      </c>
      <c r="AE37" s="127" t="s">
        <v>142</v>
      </c>
      <c r="AF37" s="129">
        <v>6.8900000000000003E-2</v>
      </c>
      <c r="AG37" s="144">
        <v>43292</v>
      </c>
      <c r="AH37" s="129"/>
    </row>
    <row r="38" spans="1:34" x14ac:dyDescent="0.2">
      <c r="A38" s="127" t="s">
        <v>23</v>
      </c>
      <c r="B38" s="128">
        <v>43257.367349537039</v>
      </c>
      <c r="C38" s="127" t="s">
        <v>270</v>
      </c>
      <c r="D38" s="127" t="s">
        <v>271</v>
      </c>
      <c r="E38" s="127" t="s">
        <v>21</v>
      </c>
      <c r="F38" s="129">
        <v>0</v>
      </c>
      <c r="G38" s="129">
        <v>0.71409999999999996</v>
      </c>
      <c r="H38" s="129">
        <v>27</v>
      </c>
      <c r="I38" s="129">
        <v>142.82</v>
      </c>
      <c r="J38" s="129" t="b">
        <v>0</v>
      </c>
      <c r="K38" s="129" t="b">
        <v>0</v>
      </c>
      <c r="L38" s="129">
        <v>200</v>
      </c>
      <c r="M38" s="129">
        <v>0</v>
      </c>
      <c r="N38" s="129">
        <v>8.93</v>
      </c>
      <c r="O38" s="129">
        <v>0</v>
      </c>
      <c r="P38" s="129">
        <v>0</v>
      </c>
      <c r="Q38" s="129">
        <v>142.82</v>
      </c>
      <c r="R38" s="127" t="s">
        <v>271</v>
      </c>
      <c r="S38" s="129">
        <v>142.82</v>
      </c>
      <c r="T38" s="129">
        <v>34.58</v>
      </c>
      <c r="U38" s="129">
        <v>0</v>
      </c>
      <c r="V38" s="129" t="b">
        <v>0</v>
      </c>
      <c r="W38" s="129">
        <v>104747581</v>
      </c>
      <c r="X38" s="129">
        <v>0</v>
      </c>
      <c r="Y38" s="129">
        <v>0</v>
      </c>
      <c r="Z38" s="129"/>
      <c r="AA38" s="129">
        <v>0</v>
      </c>
      <c r="AB38" s="129" t="b">
        <v>0</v>
      </c>
      <c r="AC38" s="127" t="s">
        <v>142</v>
      </c>
      <c r="AD38" s="127" t="s">
        <v>142</v>
      </c>
      <c r="AE38" s="127" t="s">
        <v>142</v>
      </c>
      <c r="AF38" s="129">
        <v>0.71409999999999996</v>
      </c>
      <c r="AG38" s="144">
        <v>43262</v>
      </c>
      <c r="AH38" s="129"/>
    </row>
    <row r="39" spans="1:34" x14ac:dyDescent="0.2">
      <c r="A39" s="127" t="s">
        <v>23</v>
      </c>
      <c r="B39" s="128">
        <v>43230</v>
      </c>
      <c r="C39" s="127" t="s">
        <v>272</v>
      </c>
      <c r="D39" s="127" t="s">
        <v>271</v>
      </c>
      <c r="E39" s="127" t="s">
        <v>21</v>
      </c>
      <c r="F39" s="129">
        <v>0.62570000000000003</v>
      </c>
      <c r="G39" s="129">
        <v>0.69799999999999995</v>
      </c>
      <c r="H39" s="129">
        <v>38</v>
      </c>
      <c r="I39" s="129">
        <v>139.6</v>
      </c>
      <c r="J39" s="129" t="b">
        <v>0</v>
      </c>
      <c r="K39" s="129" t="b">
        <v>0</v>
      </c>
      <c r="L39" s="129">
        <v>200</v>
      </c>
      <c r="M39" s="129">
        <v>0</v>
      </c>
      <c r="N39" s="129">
        <v>3.67</v>
      </c>
      <c r="O39" s="129">
        <v>0</v>
      </c>
      <c r="P39" s="129">
        <v>0</v>
      </c>
      <c r="Q39" s="129">
        <v>139.6</v>
      </c>
      <c r="R39" s="127" t="s">
        <v>271</v>
      </c>
      <c r="S39" s="129">
        <v>139.6</v>
      </c>
      <c r="T39" s="129">
        <v>35.35</v>
      </c>
      <c r="U39" s="129">
        <v>0</v>
      </c>
      <c r="V39" s="129" t="b">
        <v>0</v>
      </c>
      <c r="W39" s="129">
        <v>104701547</v>
      </c>
      <c r="X39" s="129">
        <v>0</v>
      </c>
      <c r="Y39" s="129">
        <v>0</v>
      </c>
      <c r="Z39" s="129"/>
      <c r="AA39" s="129">
        <v>0</v>
      </c>
      <c r="AB39" s="129" t="b">
        <v>0</v>
      </c>
      <c r="AC39" s="127" t="s">
        <v>142</v>
      </c>
      <c r="AD39" s="127" t="s">
        <v>142</v>
      </c>
      <c r="AE39" s="127" t="s">
        <v>142</v>
      </c>
      <c r="AF39" s="129">
        <v>7.2300000000000003E-2</v>
      </c>
      <c r="AG39" s="144">
        <v>43242</v>
      </c>
      <c r="AH39" s="129"/>
    </row>
    <row r="40" spans="1:34" x14ac:dyDescent="0.2">
      <c r="A40" s="127" t="s">
        <v>23</v>
      </c>
      <c r="B40" s="128">
        <v>43192.710266203707</v>
      </c>
      <c r="C40" s="127" t="s">
        <v>272</v>
      </c>
      <c r="D40" s="127" t="s">
        <v>271</v>
      </c>
      <c r="E40" s="127" t="s">
        <v>21</v>
      </c>
      <c r="F40" s="129">
        <v>0.62570000000000003</v>
      </c>
      <c r="G40" s="129">
        <v>0.62570000000000003</v>
      </c>
      <c r="H40" s="129">
        <v>26</v>
      </c>
      <c r="I40" s="129">
        <v>125.14</v>
      </c>
      <c r="J40" s="129" t="b">
        <v>0</v>
      </c>
      <c r="K40" s="129" t="b">
        <v>0</v>
      </c>
      <c r="L40" s="129">
        <v>200</v>
      </c>
      <c r="M40" s="129">
        <v>0</v>
      </c>
      <c r="N40" s="129">
        <v>4.8099999999999996</v>
      </c>
      <c r="O40" s="129">
        <v>0</v>
      </c>
      <c r="P40" s="129">
        <v>0</v>
      </c>
      <c r="Q40" s="129">
        <v>125.14</v>
      </c>
      <c r="R40" s="127" t="s">
        <v>271</v>
      </c>
      <c r="S40" s="129">
        <v>125.14</v>
      </c>
      <c r="T40" s="129">
        <v>48.66</v>
      </c>
      <c r="U40" s="129">
        <v>0</v>
      </c>
      <c r="V40" s="129" t="b">
        <v>0</v>
      </c>
      <c r="W40" s="129">
        <v>104583129</v>
      </c>
      <c r="X40" s="129">
        <v>0</v>
      </c>
      <c r="Y40" s="129">
        <v>0</v>
      </c>
      <c r="Z40" s="129"/>
      <c r="AA40" s="129">
        <v>0</v>
      </c>
      <c r="AB40" s="129" t="b">
        <v>0</v>
      </c>
      <c r="AC40" s="127" t="s">
        <v>142</v>
      </c>
      <c r="AD40" s="127" t="s">
        <v>142</v>
      </c>
      <c r="AE40" s="127" t="s">
        <v>142</v>
      </c>
      <c r="AF40" s="129">
        <v>0</v>
      </c>
      <c r="AG40" s="144">
        <v>43201</v>
      </c>
      <c r="AH40" s="129"/>
    </row>
    <row r="41" spans="1:34" x14ac:dyDescent="0.2">
      <c r="A41" s="127" t="s">
        <v>23</v>
      </c>
      <c r="B41" s="128">
        <v>43167.236585648148</v>
      </c>
      <c r="C41" s="127" t="s">
        <v>272</v>
      </c>
      <c r="D41" s="127" t="s">
        <v>271</v>
      </c>
      <c r="E41" s="127" t="s">
        <v>21</v>
      </c>
      <c r="F41" s="129">
        <v>0.61970000000000003</v>
      </c>
      <c r="G41" s="129">
        <v>0.62570000000000003</v>
      </c>
      <c r="H41" s="129">
        <v>29</v>
      </c>
      <c r="I41" s="129">
        <v>125.14</v>
      </c>
      <c r="J41" s="129" t="b">
        <v>0</v>
      </c>
      <c r="K41" s="129" t="b">
        <v>0</v>
      </c>
      <c r="L41" s="129">
        <v>200</v>
      </c>
      <c r="M41" s="129">
        <v>0</v>
      </c>
      <c r="N41" s="129">
        <v>4.32</v>
      </c>
      <c r="O41" s="129">
        <v>0</v>
      </c>
      <c r="P41" s="129">
        <v>0</v>
      </c>
      <c r="Q41" s="129">
        <v>125.14</v>
      </c>
      <c r="R41" s="127" t="s">
        <v>271</v>
      </c>
      <c r="S41" s="129">
        <v>125.14</v>
      </c>
      <c r="T41" s="129">
        <v>44</v>
      </c>
      <c r="U41" s="129">
        <v>0</v>
      </c>
      <c r="V41" s="129" t="b">
        <v>0</v>
      </c>
      <c r="W41" s="129">
        <v>104505956</v>
      </c>
      <c r="X41" s="129">
        <v>0</v>
      </c>
      <c r="Y41" s="129">
        <v>0</v>
      </c>
      <c r="Z41" s="127" t="s">
        <v>243</v>
      </c>
      <c r="AA41" s="129">
        <v>0</v>
      </c>
      <c r="AB41" s="129" t="b">
        <v>0</v>
      </c>
      <c r="AC41" s="127" t="s">
        <v>142</v>
      </c>
      <c r="AD41" s="127" t="s">
        <v>142</v>
      </c>
      <c r="AE41" s="127" t="s">
        <v>142</v>
      </c>
      <c r="AF41" s="129">
        <v>6.0000000000000001E-3</v>
      </c>
      <c r="AG41" s="144">
        <v>43171</v>
      </c>
      <c r="AH41" s="129"/>
    </row>
    <row r="42" spans="1:34" x14ac:dyDescent="0.2">
      <c r="A42" s="127" t="s">
        <v>23</v>
      </c>
      <c r="B42" s="128">
        <v>43138.042627314811</v>
      </c>
      <c r="C42" s="127" t="s">
        <v>272</v>
      </c>
      <c r="D42" s="127" t="s">
        <v>271</v>
      </c>
      <c r="E42" s="127" t="s">
        <v>21</v>
      </c>
      <c r="F42" s="129">
        <v>0.55059999999999998</v>
      </c>
      <c r="G42" s="129">
        <v>0.61970000000000003</v>
      </c>
      <c r="H42" s="129">
        <v>30</v>
      </c>
      <c r="I42" s="129">
        <v>123.94</v>
      </c>
      <c r="J42" s="129" t="b">
        <v>0</v>
      </c>
      <c r="K42" s="129" t="b">
        <v>0</v>
      </c>
      <c r="L42" s="129">
        <v>200</v>
      </c>
      <c r="M42" s="129">
        <v>0</v>
      </c>
      <c r="N42" s="129">
        <v>4.13</v>
      </c>
      <c r="O42" s="129">
        <v>0</v>
      </c>
      <c r="P42" s="129">
        <v>0</v>
      </c>
      <c r="Q42" s="129">
        <v>123.94</v>
      </c>
      <c r="R42" s="127" t="s">
        <v>271</v>
      </c>
      <c r="S42" s="129">
        <v>123.94</v>
      </c>
      <c r="T42" s="129">
        <v>46.62</v>
      </c>
      <c r="U42" s="129">
        <v>0</v>
      </c>
      <c r="V42" s="129" t="b">
        <v>0</v>
      </c>
      <c r="W42" s="129">
        <v>104422181</v>
      </c>
      <c r="X42" s="129">
        <v>0</v>
      </c>
      <c r="Y42" s="129">
        <v>0</v>
      </c>
      <c r="Z42" s="127" t="s">
        <v>243</v>
      </c>
      <c r="AA42" s="129">
        <v>0</v>
      </c>
      <c r="AB42" s="129" t="b">
        <v>0</v>
      </c>
      <c r="AC42" s="127" t="s">
        <v>142</v>
      </c>
      <c r="AD42" s="127" t="s">
        <v>142</v>
      </c>
      <c r="AE42" s="127" t="s">
        <v>142</v>
      </c>
      <c r="AF42" s="129">
        <v>6.9099999999999995E-2</v>
      </c>
      <c r="AG42" s="144">
        <v>43140</v>
      </c>
      <c r="AH42" s="129"/>
    </row>
    <row r="43" spans="1:34" x14ac:dyDescent="0.2">
      <c r="A43" s="127" t="s">
        <v>23</v>
      </c>
      <c r="B43" s="128">
        <v>43108.364722222221</v>
      </c>
      <c r="C43" s="127" t="s">
        <v>272</v>
      </c>
      <c r="D43" s="127" t="s">
        <v>271</v>
      </c>
      <c r="E43" s="127" t="s">
        <v>21</v>
      </c>
      <c r="F43" s="129">
        <v>0.60650000000000004</v>
      </c>
      <c r="G43" s="129">
        <v>0.55059999999999998</v>
      </c>
      <c r="H43" s="129">
        <v>32</v>
      </c>
      <c r="I43" s="129">
        <v>110.12</v>
      </c>
      <c r="J43" s="129" t="b">
        <v>0</v>
      </c>
      <c r="K43" s="129" t="b">
        <v>0</v>
      </c>
      <c r="L43" s="129">
        <v>200</v>
      </c>
      <c r="M43" s="129">
        <v>0</v>
      </c>
      <c r="N43" s="129">
        <v>3.44</v>
      </c>
      <c r="O43" s="129">
        <v>0</v>
      </c>
      <c r="P43" s="129">
        <v>0</v>
      </c>
      <c r="Q43" s="129">
        <v>110.12</v>
      </c>
      <c r="R43" s="127" t="s">
        <v>271</v>
      </c>
      <c r="S43" s="129">
        <v>110.12</v>
      </c>
      <c r="T43" s="129">
        <v>44.46</v>
      </c>
      <c r="U43" s="129">
        <v>0</v>
      </c>
      <c r="V43" s="129" t="b">
        <v>0</v>
      </c>
      <c r="W43" s="129">
        <v>104335496</v>
      </c>
      <c r="X43" s="129">
        <v>0</v>
      </c>
      <c r="Y43" s="129">
        <v>0</v>
      </c>
      <c r="Z43" s="127" t="s">
        <v>243</v>
      </c>
      <c r="AA43" s="129">
        <v>0</v>
      </c>
      <c r="AB43" s="129" t="b">
        <v>0</v>
      </c>
      <c r="AC43" s="127" t="s">
        <v>142</v>
      </c>
      <c r="AD43" s="127" t="s">
        <v>142</v>
      </c>
      <c r="AE43" s="127" t="s">
        <v>142</v>
      </c>
      <c r="AF43" s="129">
        <v>99.944100000000006</v>
      </c>
      <c r="AG43" s="144">
        <v>43110</v>
      </c>
      <c r="AH43" s="129"/>
    </row>
    <row r="44" spans="1:34" x14ac:dyDescent="0.2">
      <c r="A44" s="127" t="s">
        <v>23</v>
      </c>
      <c r="B44" s="128">
        <v>43076.741898148146</v>
      </c>
      <c r="C44" s="127" t="s">
        <v>272</v>
      </c>
      <c r="D44" s="127" t="s">
        <v>271</v>
      </c>
      <c r="E44" s="127" t="s">
        <v>21</v>
      </c>
      <c r="F44" s="129">
        <v>0.65390000000000004</v>
      </c>
      <c r="G44" s="129">
        <v>0.60650000000000004</v>
      </c>
      <c r="H44" s="129">
        <v>30</v>
      </c>
      <c r="I44" s="129">
        <v>121.3</v>
      </c>
      <c r="J44" s="129" t="b">
        <v>0</v>
      </c>
      <c r="K44" s="129" t="b">
        <v>0</v>
      </c>
      <c r="L44" s="129">
        <v>200</v>
      </c>
      <c r="M44" s="129">
        <v>0</v>
      </c>
      <c r="N44" s="129">
        <v>4.04</v>
      </c>
      <c r="O44" s="129">
        <v>0</v>
      </c>
      <c r="P44" s="129">
        <v>0</v>
      </c>
      <c r="Q44" s="129">
        <v>121.3</v>
      </c>
      <c r="R44" s="127" t="s">
        <v>271</v>
      </c>
      <c r="S44" s="129">
        <v>121.3</v>
      </c>
      <c r="T44" s="129">
        <v>40.299999999999997</v>
      </c>
      <c r="U44" s="129">
        <v>0</v>
      </c>
      <c r="V44" s="129" t="b">
        <v>0</v>
      </c>
      <c r="W44" s="129">
        <v>104257269</v>
      </c>
      <c r="X44" s="129">
        <v>0</v>
      </c>
      <c r="Y44" s="129">
        <v>0</v>
      </c>
      <c r="Z44" s="127" t="s">
        <v>243</v>
      </c>
      <c r="AA44" s="129">
        <v>0</v>
      </c>
      <c r="AB44" s="129" t="b">
        <v>0</v>
      </c>
      <c r="AC44" s="127" t="s">
        <v>142</v>
      </c>
      <c r="AD44" s="127" t="s">
        <v>142</v>
      </c>
      <c r="AE44" s="127" t="s">
        <v>142</v>
      </c>
      <c r="AF44" s="129">
        <v>99.952600000000004</v>
      </c>
      <c r="AG44" s="144">
        <v>43080</v>
      </c>
      <c r="AH44" s="129"/>
    </row>
    <row r="45" spans="1:34" x14ac:dyDescent="0.2">
      <c r="A45" s="127" t="s">
        <v>23</v>
      </c>
      <c r="B45" s="128">
        <v>43046.206909722219</v>
      </c>
      <c r="C45" s="127" t="s">
        <v>272</v>
      </c>
      <c r="D45" s="127" t="s">
        <v>271</v>
      </c>
      <c r="E45" s="127" t="s">
        <v>21</v>
      </c>
      <c r="F45" s="129">
        <v>0.72860000000000003</v>
      </c>
      <c r="G45" s="129">
        <v>0.65390000000000004</v>
      </c>
      <c r="H45" s="129">
        <v>29</v>
      </c>
      <c r="I45" s="129">
        <v>130.78</v>
      </c>
      <c r="J45" s="129" t="b">
        <v>0</v>
      </c>
      <c r="K45" s="129" t="b">
        <v>0</v>
      </c>
      <c r="L45" s="129">
        <v>200</v>
      </c>
      <c r="M45" s="129">
        <v>0</v>
      </c>
      <c r="N45" s="129">
        <v>4.51</v>
      </c>
      <c r="O45" s="129">
        <v>0</v>
      </c>
      <c r="P45" s="129">
        <v>0</v>
      </c>
      <c r="Q45" s="129">
        <v>130.78</v>
      </c>
      <c r="R45" s="127" t="s">
        <v>271</v>
      </c>
      <c r="S45" s="129">
        <v>130.78</v>
      </c>
      <c r="T45" s="129">
        <v>40.65</v>
      </c>
      <c r="U45" s="129">
        <v>0</v>
      </c>
      <c r="V45" s="129" t="b">
        <v>0</v>
      </c>
      <c r="W45" s="129">
        <v>104174919</v>
      </c>
      <c r="X45" s="129">
        <v>0</v>
      </c>
      <c r="Y45" s="129">
        <v>0</v>
      </c>
      <c r="Z45" s="127" t="s">
        <v>243</v>
      </c>
      <c r="AA45" s="129">
        <v>0</v>
      </c>
      <c r="AB45" s="129" t="b">
        <v>0</v>
      </c>
      <c r="AC45" s="127" t="s">
        <v>142</v>
      </c>
      <c r="AD45" s="127" t="s">
        <v>142</v>
      </c>
      <c r="AE45" s="127" t="s">
        <v>142</v>
      </c>
      <c r="AF45" s="129">
        <v>99.925299999999993</v>
      </c>
      <c r="AG45" s="144">
        <v>43048</v>
      </c>
      <c r="AH45" s="129"/>
    </row>
    <row r="46" spans="1:34" x14ac:dyDescent="0.2">
      <c r="A46" s="127" t="s">
        <v>23</v>
      </c>
      <c r="B46" s="128">
        <v>43017.778333333335</v>
      </c>
      <c r="C46" s="127" t="s">
        <v>272</v>
      </c>
      <c r="D46" s="127" t="s">
        <v>271</v>
      </c>
      <c r="E46" s="127" t="s">
        <v>21</v>
      </c>
      <c r="F46" s="129">
        <v>0.70240000000000002</v>
      </c>
      <c r="G46" s="129">
        <v>0.72860000000000003</v>
      </c>
      <c r="H46" s="129">
        <v>29</v>
      </c>
      <c r="I46" s="129">
        <v>145.72</v>
      </c>
      <c r="J46" s="129" t="b">
        <v>0</v>
      </c>
      <c r="K46" s="129" t="b">
        <v>0</v>
      </c>
      <c r="L46" s="129">
        <v>200</v>
      </c>
      <c r="M46" s="129">
        <v>0</v>
      </c>
      <c r="N46" s="129">
        <v>5.0199999999999996</v>
      </c>
      <c r="O46" s="129">
        <v>0</v>
      </c>
      <c r="P46" s="129">
        <v>0</v>
      </c>
      <c r="Q46" s="129">
        <v>145.72</v>
      </c>
      <c r="R46" s="127" t="s">
        <v>271</v>
      </c>
      <c r="S46" s="129">
        <v>145.72</v>
      </c>
      <c r="T46" s="129">
        <v>42.79</v>
      </c>
      <c r="U46" s="129">
        <v>0</v>
      </c>
      <c r="V46" s="129" t="b">
        <v>0</v>
      </c>
      <c r="W46" s="129">
        <v>104091677</v>
      </c>
      <c r="X46" s="129">
        <v>0</v>
      </c>
      <c r="Y46" s="129">
        <v>0</v>
      </c>
      <c r="Z46" s="127" t="s">
        <v>243</v>
      </c>
      <c r="AA46" s="129">
        <v>0</v>
      </c>
      <c r="AB46" s="129" t="b">
        <v>0</v>
      </c>
      <c r="AC46" s="127" t="s">
        <v>142</v>
      </c>
      <c r="AD46" s="127" t="s">
        <v>142</v>
      </c>
      <c r="AE46" s="127" t="s">
        <v>142</v>
      </c>
      <c r="AF46" s="129">
        <v>2.6200000000000001E-2</v>
      </c>
      <c r="AG46" s="144">
        <v>43019</v>
      </c>
      <c r="AH46" s="129"/>
    </row>
    <row r="47" spans="1:34" x14ac:dyDescent="0.2">
      <c r="A47" s="127" t="s">
        <v>23</v>
      </c>
      <c r="B47" s="128">
        <v>42988.789398148147</v>
      </c>
      <c r="C47" s="127" t="s">
        <v>272</v>
      </c>
      <c r="D47" s="127" t="s">
        <v>271</v>
      </c>
      <c r="E47" s="127" t="s">
        <v>21</v>
      </c>
      <c r="F47" s="129">
        <v>0.73650000000000004</v>
      </c>
      <c r="G47" s="129">
        <v>0.70240000000000002</v>
      </c>
      <c r="H47" s="129">
        <v>32</v>
      </c>
      <c r="I47" s="129">
        <v>140.47999999999999</v>
      </c>
      <c r="J47" s="129" t="b">
        <v>0</v>
      </c>
      <c r="K47" s="129" t="b">
        <v>0</v>
      </c>
      <c r="L47" s="129">
        <v>200</v>
      </c>
      <c r="M47" s="129">
        <v>0</v>
      </c>
      <c r="N47" s="129">
        <v>4.3899999999999997</v>
      </c>
      <c r="O47" s="129">
        <v>0</v>
      </c>
      <c r="P47" s="129">
        <v>0</v>
      </c>
      <c r="Q47" s="129">
        <v>140.47999999999999</v>
      </c>
      <c r="R47" s="127" t="s">
        <v>271</v>
      </c>
      <c r="S47" s="129">
        <v>140.47999999999999</v>
      </c>
      <c r="T47" s="129">
        <v>43.38</v>
      </c>
      <c r="U47" s="129">
        <v>0</v>
      </c>
      <c r="V47" s="129" t="b">
        <v>0</v>
      </c>
      <c r="W47" s="129">
        <v>104010589</v>
      </c>
      <c r="X47" s="129">
        <v>0</v>
      </c>
      <c r="Y47" s="129">
        <v>0</v>
      </c>
      <c r="Z47" s="127" t="s">
        <v>243</v>
      </c>
      <c r="AA47" s="129">
        <v>0</v>
      </c>
      <c r="AB47" s="129" t="b">
        <v>0</v>
      </c>
      <c r="AC47" s="127" t="s">
        <v>142</v>
      </c>
      <c r="AD47" s="127" t="s">
        <v>142</v>
      </c>
      <c r="AE47" s="127" t="s">
        <v>142</v>
      </c>
      <c r="AF47" s="129">
        <v>99.965900000000005</v>
      </c>
      <c r="AG47" s="144">
        <v>42990</v>
      </c>
      <c r="AH47" s="129"/>
    </row>
    <row r="48" spans="1:34" x14ac:dyDescent="0.2">
      <c r="A48" s="127" t="s">
        <v>23</v>
      </c>
      <c r="B48" s="128">
        <v>42956.127500000002</v>
      </c>
      <c r="C48" s="127" t="s">
        <v>272</v>
      </c>
      <c r="D48" s="127" t="s">
        <v>271</v>
      </c>
      <c r="E48" s="127" t="s">
        <v>21</v>
      </c>
      <c r="F48" s="129">
        <v>0.77859999999999996</v>
      </c>
      <c r="G48" s="129">
        <v>0.73650000000000004</v>
      </c>
      <c r="H48" s="129">
        <v>31</v>
      </c>
      <c r="I48" s="129">
        <v>147.30000000000001</v>
      </c>
      <c r="J48" s="129" t="b">
        <v>0</v>
      </c>
      <c r="K48" s="129" t="b">
        <v>0</v>
      </c>
      <c r="L48" s="129">
        <v>200</v>
      </c>
      <c r="M48" s="129">
        <v>0</v>
      </c>
      <c r="N48" s="129">
        <v>4.75</v>
      </c>
      <c r="O48" s="129">
        <v>0</v>
      </c>
      <c r="P48" s="129">
        <v>0</v>
      </c>
      <c r="Q48" s="129">
        <v>147.30000000000001</v>
      </c>
      <c r="R48" s="127" t="s">
        <v>271</v>
      </c>
      <c r="S48" s="129">
        <v>147.30000000000001</v>
      </c>
      <c r="T48" s="129">
        <v>44.71</v>
      </c>
      <c r="U48" s="129">
        <v>0</v>
      </c>
      <c r="V48" s="129" t="b">
        <v>0</v>
      </c>
      <c r="W48" s="129">
        <v>103933153</v>
      </c>
      <c r="X48" s="129">
        <v>0</v>
      </c>
      <c r="Y48" s="129">
        <v>0</v>
      </c>
      <c r="Z48" s="127" t="s">
        <v>243</v>
      </c>
      <c r="AA48" s="129">
        <v>0</v>
      </c>
      <c r="AB48" s="129" t="b">
        <v>0</v>
      </c>
      <c r="AC48" s="127" t="s">
        <v>142</v>
      </c>
      <c r="AD48" s="127" t="s">
        <v>142</v>
      </c>
      <c r="AE48" s="127" t="s">
        <v>142</v>
      </c>
      <c r="AF48" s="129">
        <v>99.957899999999995</v>
      </c>
      <c r="AG48" s="144">
        <v>42958</v>
      </c>
      <c r="AH48" s="129"/>
    </row>
    <row r="49" spans="1:34" x14ac:dyDescent="0.2">
      <c r="A49" s="127" t="s">
        <v>23</v>
      </c>
      <c r="B49" s="128">
        <v>42926.256168981483</v>
      </c>
      <c r="C49" s="127" t="s">
        <v>272</v>
      </c>
      <c r="D49" s="127" t="s">
        <v>271</v>
      </c>
      <c r="E49" s="127" t="s">
        <v>21</v>
      </c>
      <c r="F49" s="129">
        <v>0.7722</v>
      </c>
      <c r="G49" s="129">
        <v>0.77859999999999996</v>
      </c>
      <c r="H49" s="129">
        <v>32</v>
      </c>
      <c r="I49" s="129">
        <v>155.72</v>
      </c>
      <c r="J49" s="129" t="b">
        <v>0</v>
      </c>
      <c r="K49" s="129" t="b">
        <v>0</v>
      </c>
      <c r="L49" s="129">
        <v>200</v>
      </c>
      <c r="M49" s="129">
        <v>0</v>
      </c>
      <c r="N49" s="129">
        <v>4.87</v>
      </c>
      <c r="O49" s="129">
        <v>0</v>
      </c>
      <c r="P49" s="129">
        <v>0</v>
      </c>
      <c r="Q49" s="129">
        <v>155.72</v>
      </c>
      <c r="R49" s="127" t="s">
        <v>271</v>
      </c>
      <c r="S49" s="129">
        <v>155.72</v>
      </c>
      <c r="T49" s="129">
        <v>39.36</v>
      </c>
      <c r="U49" s="129">
        <v>0</v>
      </c>
      <c r="V49" s="129" t="b">
        <v>0</v>
      </c>
      <c r="W49" s="129">
        <v>103851751</v>
      </c>
      <c r="X49" s="129">
        <v>0</v>
      </c>
      <c r="Y49" s="129">
        <v>0</v>
      </c>
      <c r="Z49" s="127" t="s">
        <v>243</v>
      </c>
      <c r="AA49" s="129">
        <v>0</v>
      </c>
      <c r="AB49" s="129" t="b">
        <v>0</v>
      </c>
      <c r="AC49" s="127" t="s">
        <v>142</v>
      </c>
      <c r="AD49" s="127" t="s">
        <v>142</v>
      </c>
      <c r="AE49" s="127" t="s">
        <v>142</v>
      </c>
      <c r="AF49" s="129">
        <v>6.4000000000000003E-3</v>
      </c>
      <c r="AG49" s="144">
        <v>42928</v>
      </c>
      <c r="AH49" s="129"/>
    </row>
    <row r="50" spans="1:34" x14ac:dyDescent="0.2">
      <c r="A50" s="127" t="s">
        <v>23</v>
      </c>
      <c r="B50" s="128">
        <v>42894.621076388888</v>
      </c>
      <c r="C50" s="127" t="s">
        <v>272</v>
      </c>
      <c r="D50" s="127" t="s">
        <v>271</v>
      </c>
      <c r="E50" s="127" t="s">
        <v>21</v>
      </c>
      <c r="F50" s="129">
        <v>0.69</v>
      </c>
      <c r="G50" s="129">
        <v>0.7722</v>
      </c>
      <c r="H50" s="129">
        <v>35</v>
      </c>
      <c r="I50" s="129">
        <v>154.44</v>
      </c>
      <c r="J50" s="129" t="b">
        <v>0</v>
      </c>
      <c r="K50" s="129" t="b">
        <v>0</v>
      </c>
      <c r="L50" s="129">
        <v>200</v>
      </c>
      <c r="M50" s="129">
        <v>0</v>
      </c>
      <c r="N50" s="129">
        <v>4.41</v>
      </c>
      <c r="O50" s="129">
        <v>0</v>
      </c>
      <c r="P50" s="129">
        <v>0</v>
      </c>
      <c r="Q50" s="129">
        <v>154.44</v>
      </c>
      <c r="R50" s="127" t="s">
        <v>271</v>
      </c>
      <c r="S50" s="129">
        <v>154.44</v>
      </c>
      <c r="T50" s="129">
        <v>23.74</v>
      </c>
      <c r="U50" s="129">
        <v>0</v>
      </c>
      <c r="V50" s="129" t="b">
        <v>0</v>
      </c>
      <c r="W50" s="129">
        <v>103774593</v>
      </c>
      <c r="X50" s="129">
        <v>0</v>
      </c>
      <c r="Y50" s="129">
        <v>0</v>
      </c>
      <c r="Z50" s="127" t="s">
        <v>243</v>
      </c>
      <c r="AA50" s="129">
        <v>0</v>
      </c>
      <c r="AB50" s="129" t="b">
        <v>0</v>
      </c>
      <c r="AC50" s="127" t="s">
        <v>142</v>
      </c>
      <c r="AD50" s="127" t="s">
        <v>142</v>
      </c>
      <c r="AE50" s="127" t="s">
        <v>142</v>
      </c>
      <c r="AF50" s="129">
        <v>8.2199999999999995E-2</v>
      </c>
      <c r="AG50" s="144">
        <v>42898</v>
      </c>
      <c r="AH50" s="129"/>
    </row>
    <row r="51" spans="1:34" x14ac:dyDescent="0.2">
      <c r="A51" s="127" t="s">
        <v>23</v>
      </c>
      <c r="B51" s="128">
        <v>42859</v>
      </c>
      <c r="C51" s="127" t="s">
        <v>272</v>
      </c>
      <c r="D51" s="127" t="s">
        <v>271</v>
      </c>
      <c r="E51" s="127" t="s">
        <v>21</v>
      </c>
      <c r="F51" s="129">
        <v>0.59450000000000003</v>
      </c>
      <c r="G51" s="129">
        <v>0.69</v>
      </c>
      <c r="H51" s="129">
        <v>27</v>
      </c>
      <c r="I51" s="129">
        <v>138</v>
      </c>
      <c r="J51" s="129" t="b">
        <v>0</v>
      </c>
      <c r="K51" s="129" t="b">
        <v>0</v>
      </c>
      <c r="L51" s="129">
        <v>200</v>
      </c>
      <c r="M51" s="129">
        <v>0</v>
      </c>
      <c r="N51" s="129">
        <v>5.1100000000000003</v>
      </c>
      <c r="O51" s="129">
        <v>0</v>
      </c>
      <c r="P51" s="129">
        <v>0</v>
      </c>
      <c r="Q51" s="129">
        <v>138</v>
      </c>
      <c r="R51" s="127" t="s">
        <v>271</v>
      </c>
      <c r="S51" s="129">
        <v>138</v>
      </c>
      <c r="T51" s="129">
        <v>56.58</v>
      </c>
      <c r="U51" s="129">
        <v>0</v>
      </c>
      <c r="V51" s="129" t="b">
        <v>0</v>
      </c>
      <c r="W51" s="129">
        <v>103709346</v>
      </c>
      <c r="X51" s="129">
        <v>0</v>
      </c>
      <c r="Y51" s="129">
        <v>0</v>
      </c>
      <c r="Z51" s="129"/>
      <c r="AA51" s="129">
        <v>0</v>
      </c>
      <c r="AB51" s="129" t="b">
        <v>0</v>
      </c>
      <c r="AC51" s="127" t="s">
        <v>142</v>
      </c>
      <c r="AD51" s="127" t="s">
        <v>142</v>
      </c>
      <c r="AE51" s="127" t="s">
        <v>142</v>
      </c>
      <c r="AF51" s="129">
        <v>9.5500000000000002E-2</v>
      </c>
      <c r="AG51" s="144">
        <v>42871</v>
      </c>
      <c r="AH51" s="129"/>
    </row>
    <row r="52" spans="1:34" x14ac:dyDescent="0.2">
      <c r="A52" s="127" t="s">
        <v>23</v>
      </c>
      <c r="B52" s="128">
        <v>42832</v>
      </c>
      <c r="C52" s="127" t="s">
        <v>272</v>
      </c>
      <c r="D52" s="127" t="s">
        <v>271</v>
      </c>
      <c r="E52" s="127" t="s">
        <v>21</v>
      </c>
      <c r="F52" s="129">
        <v>0.61399999999999999</v>
      </c>
      <c r="G52" s="129">
        <v>0.59450000000000003</v>
      </c>
      <c r="H52" s="129">
        <v>29</v>
      </c>
      <c r="I52" s="129">
        <v>118.9</v>
      </c>
      <c r="J52" s="129" t="b">
        <v>0</v>
      </c>
      <c r="K52" s="129" t="b">
        <v>0</v>
      </c>
      <c r="L52" s="129">
        <v>200</v>
      </c>
      <c r="M52" s="129">
        <v>0</v>
      </c>
      <c r="N52" s="129">
        <v>4.0999999999999996</v>
      </c>
      <c r="O52" s="129">
        <v>0</v>
      </c>
      <c r="P52" s="129">
        <v>0</v>
      </c>
      <c r="Q52" s="129">
        <v>118.9</v>
      </c>
      <c r="R52" s="127" t="s">
        <v>271</v>
      </c>
      <c r="S52" s="129">
        <v>118.9</v>
      </c>
      <c r="T52" s="129">
        <v>48.09</v>
      </c>
      <c r="U52" s="129">
        <v>0</v>
      </c>
      <c r="V52" s="129" t="b">
        <v>0</v>
      </c>
      <c r="W52" s="129">
        <v>103624069</v>
      </c>
      <c r="X52" s="129">
        <v>0</v>
      </c>
      <c r="Y52" s="129">
        <v>0</v>
      </c>
      <c r="Z52" s="129"/>
      <c r="AA52" s="129">
        <v>0</v>
      </c>
      <c r="AB52" s="129" t="b">
        <v>0</v>
      </c>
      <c r="AC52" s="127" t="s">
        <v>142</v>
      </c>
      <c r="AD52" s="127" t="s">
        <v>142</v>
      </c>
      <c r="AE52" s="127" t="s">
        <v>142</v>
      </c>
      <c r="AF52" s="129">
        <v>99.980500000000006</v>
      </c>
      <c r="AG52" s="144">
        <v>42837</v>
      </c>
      <c r="AH52" s="129"/>
    </row>
    <row r="53" spans="1:34" x14ac:dyDescent="0.2">
      <c r="A53" s="127" t="s">
        <v>23</v>
      </c>
      <c r="B53" s="128">
        <v>42803.632488425923</v>
      </c>
      <c r="C53" s="127" t="s">
        <v>272</v>
      </c>
      <c r="D53" s="127" t="s">
        <v>271</v>
      </c>
      <c r="E53" s="127" t="s">
        <v>21</v>
      </c>
      <c r="F53" s="129">
        <v>0.53090000000000004</v>
      </c>
      <c r="G53" s="129">
        <v>0.61399999999999999</v>
      </c>
      <c r="H53" s="129">
        <v>31</v>
      </c>
      <c r="I53" s="129">
        <v>122.8</v>
      </c>
      <c r="J53" s="129" t="b">
        <v>0</v>
      </c>
      <c r="K53" s="129" t="b">
        <v>0</v>
      </c>
      <c r="L53" s="129">
        <v>200</v>
      </c>
      <c r="M53" s="129">
        <v>0</v>
      </c>
      <c r="N53" s="129">
        <v>3.96</v>
      </c>
      <c r="O53" s="129">
        <v>0</v>
      </c>
      <c r="P53" s="129">
        <v>0</v>
      </c>
      <c r="Q53" s="129">
        <v>122.8</v>
      </c>
      <c r="R53" s="127" t="s">
        <v>271</v>
      </c>
      <c r="S53" s="129">
        <v>122.8</v>
      </c>
      <c r="T53" s="129">
        <v>82.53</v>
      </c>
      <c r="U53" s="129">
        <v>0</v>
      </c>
      <c r="V53" s="129" t="b">
        <v>0</v>
      </c>
      <c r="W53" s="129">
        <v>103535817</v>
      </c>
      <c r="X53" s="129">
        <v>0</v>
      </c>
      <c r="Y53" s="129">
        <v>0</v>
      </c>
      <c r="Z53" s="127" t="s">
        <v>243</v>
      </c>
      <c r="AA53" s="129">
        <v>0</v>
      </c>
      <c r="AB53" s="129" t="b">
        <v>0</v>
      </c>
      <c r="AC53" s="127" t="s">
        <v>142</v>
      </c>
      <c r="AD53" s="127" t="s">
        <v>142</v>
      </c>
      <c r="AE53" s="127" t="s">
        <v>142</v>
      </c>
      <c r="AF53" s="129">
        <v>8.3099999999999993E-2</v>
      </c>
      <c r="AG53" s="144">
        <v>42807</v>
      </c>
      <c r="AH53" s="129"/>
    </row>
    <row r="54" spans="1:34" x14ac:dyDescent="0.2">
      <c r="A54" s="127" t="s">
        <v>23</v>
      </c>
      <c r="B54" s="128">
        <v>42772.705983796295</v>
      </c>
      <c r="C54" s="127" t="s">
        <v>272</v>
      </c>
      <c r="D54" s="127" t="s">
        <v>271</v>
      </c>
      <c r="E54" s="127" t="s">
        <v>21</v>
      </c>
      <c r="F54" s="129">
        <v>0.53090000000000004</v>
      </c>
      <c r="G54" s="129">
        <v>0.53090000000000004</v>
      </c>
      <c r="H54" s="129">
        <v>28</v>
      </c>
      <c r="I54" s="129">
        <v>106.18</v>
      </c>
      <c r="J54" s="129" t="b">
        <v>0</v>
      </c>
      <c r="K54" s="129" t="b">
        <v>0</v>
      </c>
      <c r="L54" s="129">
        <v>200</v>
      </c>
      <c r="M54" s="129">
        <v>0</v>
      </c>
      <c r="N54" s="129">
        <v>3.79</v>
      </c>
      <c r="O54" s="129">
        <v>0</v>
      </c>
      <c r="P54" s="129">
        <v>0</v>
      </c>
      <c r="Q54" s="129">
        <v>106.18</v>
      </c>
      <c r="R54" s="127" t="s">
        <v>271</v>
      </c>
      <c r="S54" s="129">
        <v>106.18</v>
      </c>
      <c r="T54" s="129">
        <v>0</v>
      </c>
      <c r="U54" s="129">
        <v>0</v>
      </c>
      <c r="V54" s="129" t="b">
        <v>0</v>
      </c>
      <c r="W54" s="129">
        <v>103454111</v>
      </c>
      <c r="X54" s="129">
        <v>0</v>
      </c>
      <c r="Y54" s="129">
        <v>0</v>
      </c>
      <c r="Z54" s="127" t="s">
        <v>243</v>
      </c>
      <c r="AA54" s="129">
        <v>0</v>
      </c>
      <c r="AB54" s="129" t="b">
        <v>0</v>
      </c>
      <c r="AC54" s="127" t="s">
        <v>142</v>
      </c>
      <c r="AD54" s="127" t="s">
        <v>142</v>
      </c>
      <c r="AE54" s="127" t="s">
        <v>142</v>
      </c>
      <c r="AF54" s="129">
        <v>0</v>
      </c>
      <c r="AG54" s="144">
        <v>42774</v>
      </c>
      <c r="AH54" s="129"/>
    </row>
    <row r="55" spans="1:34" x14ac:dyDescent="0.2">
      <c r="A55" s="127" t="s">
        <v>23</v>
      </c>
      <c r="B55" s="128">
        <v>42744.574803240743</v>
      </c>
      <c r="C55" s="127" t="s">
        <v>272</v>
      </c>
      <c r="D55" s="127" t="s">
        <v>271</v>
      </c>
      <c r="E55" s="127" t="s">
        <v>21</v>
      </c>
      <c r="F55" s="129">
        <v>0.69279999999999997</v>
      </c>
      <c r="G55" s="129">
        <v>0.53090000000000004</v>
      </c>
      <c r="H55" s="129">
        <v>35</v>
      </c>
      <c r="I55" s="129">
        <v>106.18</v>
      </c>
      <c r="J55" s="129" t="b">
        <v>0</v>
      </c>
      <c r="K55" s="129" t="b">
        <v>0</v>
      </c>
      <c r="L55" s="129">
        <v>200</v>
      </c>
      <c r="M55" s="129">
        <v>0</v>
      </c>
      <c r="N55" s="129">
        <v>3.03</v>
      </c>
      <c r="O55" s="129">
        <v>0</v>
      </c>
      <c r="P55" s="129">
        <v>0</v>
      </c>
      <c r="Q55" s="129">
        <v>106.18</v>
      </c>
      <c r="R55" s="127" t="s">
        <v>271</v>
      </c>
      <c r="S55" s="129">
        <v>106.18</v>
      </c>
      <c r="T55" s="129">
        <v>44.4</v>
      </c>
      <c r="U55" s="129">
        <v>0</v>
      </c>
      <c r="V55" s="129" t="b">
        <v>0</v>
      </c>
      <c r="W55" s="129">
        <v>103378116</v>
      </c>
      <c r="X55" s="129">
        <v>0</v>
      </c>
      <c r="Y55" s="129">
        <v>0</v>
      </c>
      <c r="Z55" s="127" t="s">
        <v>243</v>
      </c>
      <c r="AA55" s="129">
        <v>0</v>
      </c>
      <c r="AB55" s="129" t="b">
        <v>0</v>
      </c>
      <c r="AC55" s="127" t="s">
        <v>142</v>
      </c>
      <c r="AD55" s="127" t="s">
        <v>142</v>
      </c>
      <c r="AE55" s="127" t="s">
        <v>142</v>
      </c>
      <c r="AF55" s="129">
        <v>99.838099999999997</v>
      </c>
      <c r="AG55" s="144">
        <v>42746</v>
      </c>
      <c r="AH55" s="129"/>
    </row>
    <row r="56" spans="1:34" x14ac:dyDescent="0.2">
      <c r="A56" s="127" t="s">
        <v>23</v>
      </c>
      <c r="B56" s="128">
        <v>42709.720462962963</v>
      </c>
      <c r="C56" s="127" t="s">
        <v>272</v>
      </c>
      <c r="D56" s="127" t="s">
        <v>271</v>
      </c>
      <c r="E56" s="127" t="s">
        <v>21</v>
      </c>
      <c r="F56" s="129">
        <v>0.755</v>
      </c>
      <c r="G56" s="129">
        <v>0.69279999999999997</v>
      </c>
      <c r="H56" s="129">
        <v>32</v>
      </c>
      <c r="I56" s="129">
        <v>138.56</v>
      </c>
      <c r="J56" s="129" t="b">
        <v>0</v>
      </c>
      <c r="K56" s="129" t="b">
        <v>0</v>
      </c>
      <c r="L56" s="129">
        <v>200</v>
      </c>
      <c r="M56" s="129">
        <v>0</v>
      </c>
      <c r="N56" s="129">
        <v>4.33</v>
      </c>
      <c r="O56" s="129">
        <v>0</v>
      </c>
      <c r="P56" s="129">
        <v>0</v>
      </c>
      <c r="Q56" s="129">
        <v>138.56</v>
      </c>
      <c r="R56" s="127" t="s">
        <v>271</v>
      </c>
      <c r="S56" s="129">
        <v>138.56</v>
      </c>
      <c r="T56" s="129">
        <v>36.090000000000003</v>
      </c>
      <c r="U56" s="129">
        <v>0</v>
      </c>
      <c r="V56" s="129" t="b">
        <v>0</v>
      </c>
      <c r="W56" s="129">
        <v>103302354</v>
      </c>
      <c r="X56" s="129">
        <v>0</v>
      </c>
      <c r="Y56" s="129">
        <v>0</v>
      </c>
      <c r="Z56" s="127" t="s">
        <v>243</v>
      </c>
      <c r="AA56" s="129">
        <v>0</v>
      </c>
      <c r="AB56" s="129" t="b">
        <v>0</v>
      </c>
      <c r="AC56" s="127" t="s">
        <v>142</v>
      </c>
      <c r="AD56" s="127" t="s">
        <v>142</v>
      </c>
      <c r="AE56" s="127" t="s">
        <v>142</v>
      </c>
      <c r="AF56" s="129">
        <v>99.937799999999996</v>
      </c>
      <c r="AG56" s="144">
        <v>42713</v>
      </c>
      <c r="AH56" s="129"/>
    </row>
    <row r="57" spans="1:34" x14ac:dyDescent="0.2">
      <c r="A57" s="127" t="s">
        <v>23</v>
      </c>
      <c r="B57" s="128">
        <v>42677</v>
      </c>
      <c r="C57" s="127" t="s">
        <v>272</v>
      </c>
      <c r="D57" s="127" t="s">
        <v>271</v>
      </c>
      <c r="E57" s="127" t="s">
        <v>21</v>
      </c>
      <c r="F57" s="129">
        <v>0.60199999999999998</v>
      </c>
      <c r="G57" s="129">
        <v>0.755</v>
      </c>
      <c r="H57" s="129">
        <v>29</v>
      </c>
      <c r="I57" s="129">
        <v>151</v>
      </c>
      <c r="J57" s="129" t="b">
        <v>0</v>
      </c>
      <c r="K57" s="129" t="b">
        <v>0</v>
      </c>
      <c r="L57" s="129">
        <v>200</v>
      </c>
      <c r="M57" s="129">
        <v>0</v>
      </c>
      <c r="N57" s="129">
        <v>5.21</v>
      </c>
      <c r="O57" s="129">
        <v>0</v>
      </c>
      <c r="P57" s="129">
        <v>0</v>
      </c>
      <c r="Q57" s="129">
        <v>151</v>
      </c>
      <c r="R57" s="127" t="s">
        <v>271</v>
      </c>
      <c r="S57" s="129">
        <v>151</v>
      </c>
      <c r="T57" s="129">
        <v>31.4</v>
      </c>
      <c r="U57" s="129">
        <v>0</v>
      </c>
      <c r="V57" s="129" t="b">
        <v>0</v>
      </c>
      <c r="W57" s="129">
        <v>103227741</v>
      </c>
      <c r="X57" s="129">
        <v>0</v>
      </c>
      <c r="Y57" s="129">
        <v>0</v>
      </c>
      <c r="Z57" s="129"/>
      <c r="AA57" s="129">
        <v>0</v>
      </c>
      <c r="AB57" s="129" t="b">
        <v>0</v>
      </c>
      <c r="AC57" s="127" t="s">
        <v>142</v>
      </c>
      <c r="AD57" s="127" t="s">
        <v>142</v>
      </c>
      <c r="AE57" s="127" t="s">
        <v>142</v>
      </c>
      <c r="AF57" s="129">
        <v>0.153</v>
      </c>
      <c r="AG57" s="144">
        <v>42682</v>
      </c>
      <c r="AH57" s="129"/>
    </row>
    <row r="58" spans="1:34" x14ac:dyDescent="0.2">
      <c r="A58" s="127" t="s">
        <v>23</v>
      </c>
      <c r="B58" s="128">
        <v>42648</v>
      </c>
      <c r="C58" s="127" t="s">
        <v>272</v>
      </c>
      <c r="D58" s="127" t="s">
        <v>271</v>
      </c>
      <c r="E58" s="127" t="s">
        <v>21</v>
      </c>
      <c r="F58" s="129">
        <v>0.78590000000000004</v>
      </c>
      <c r="G58" s="129">
        <v>0.60199999999999998</v>
      </c>
      <c r="H58" s="129">
        <v>29</v>
      </c>
      <c r="I58" s="129">
        <v>120.4</v>
      </c>
      <c r="J58" s="129" t="b">
        <v>0</v>
      </c>
      <c r="K58" s="129" t="b">
        <v>0</v>
      </c>
      <c r="L58" s="129">
        <v>200</v>
      </c>
      <c r="M58" s="129">
        <v>0</v>
      </c>
      <c r="N58" s="129">
        <v>4.1500000000000004</v>
      </c>
      <c r="O58" s="129">
        <v>0</v>
      </c>
      <c r="P58" s="129">
        <v>0</v>
      </c>
      <c r="Q58" s="129">
        <v>120.4</v>
      </c>
      <c r="R58" s="127" t="s">
        <v>271</v>
      </c>
      <c r="S58" s="129">
        <v>120.4</v>
      </c>
      <c r="T58" s="129">
        <v>63.49</v>
      </c>
      <c r="U58" s="129">
        <v>0</v>
      </c>
      <c r="V58" s="129" t="b">
        <v>0</v>
      </c>
      <c r="W58" s="129">
        <v>103156771</v>
      </c>
      <c r="X58" s="129">
        <v>0</v>
      </c>
      <c r="Y58" s="129">
        <v>0</v>
      </c>
      <c r="Z58" s="129"/>
      <c r="AA58" s="129">
        <v>0</v>
      </c>
      <c r="AB58" s="129" t="b">
        <v>0</v>
      </c>
      <c r="AC58" s="127" t="s">
        <v>142</v>
      </c>
      <c r="AD58" s="127" t="s">
        <v>142</v>
      </c>
      <c r="AE58" s="127" t="s">
        <v>142</v>
      </c>
      <c r="AF58" s="129">
        <v>99.816100000000006</v>
      </c>
      <c r="AG58" s="144">
        <v>42657</v>
      </c>
      <c r="AH58" s="129"/>
    </row>
    <row r="59" spans="1:34" x14ac:dyDescent="0.2">
      <c r="A59" s="127" t="s">
        <v>23</v>
      </c>
      <c r="B59" s="128">
        <v>42619.777673611112</v>
      </c>
      <c r="C59" s="127" t="s">
        <v>272</v>
      </c>
      <c r="D59" s="127" t="s">
        <v>271</v>
      </c>
      <c r="E59" s="127" t="s">
        <v>21</v>
      </c>
      <c r="F59" s="129">
        <v>0.78590000000000004</v>
      </c>
      <c r="G59" s="129">
        <v>0.78590000000000004</v>
      </c>
      <c r="H59" s="129">
        <v>30</v>
      </c>
      <c r="I59" s="129">
        <v>157.18</v>
      </c>
      <c r="J59" s="129" t="b">
        <v>0</v>
      </c>
      <c r="K59" s="129" t="b">
        <v>0</v>
      </c>
      <c r="L59" s="129">
        <v>200</v>
      </c>
      <c r="M59" s="129">
        <v>0</v>
      </c>
      <c r="N59" s="129">
        <v>5.24</v>
      </c>
      <c r="O59" s="129">
        <v>0</v>
      </c>
      <c r="P59" s="129">
        <v>0</v>
      </c>
      <c r="Q59" s="129">
        <v>157.18</v>
      </c>
      <c r="R59" s="127" t="s">
        <v>271</v>
      </c>
      <c r="S59" s="129">
        <v>157.18</v>
      </c>
      <c r="T59" s="129">
        <v>44.36</v>
      </c>
      <c r="U59" s="129">
        <v>0</v>
      </c>
      <c r="V59" s="129" t="b">
        <v>0</v>
      </c>
      <c r="W59" s="129">
        <v>103066724</v>
      </c>
      <c r="X59" s="129">
        <v>0</v>
      </c>
      <c r="Y59" s="129">
        <v>0</v>
      </c>
      <c r="Z59" s="129"/>
      <c r="AA59" s="129">
        <v>0</v>
      </c>
      <c r="AB59" s="129" t="b">
        <v>0</v>
      </c>
      <c r="AC59" s="127" t="s">
        <v>142</v>
      </c>
      <c r="AD59" s="127" t="s">
        <v>142</v>
      </c>
      <c r="AE59" s="127" t="s">
        <v>142</v>
      </c>
      <c r="AF59" s="129">
        <v>0</v>
      </c>
      <c r="AG59" s="144">
        <v>42625</v>
      </c>
      <c r="AH59" s="129"/>
    </row>
    <row r="60" spans="1:34" x14ac:dyDescent="0.2">
      <c r="A60" s="127" t="s">
        <v>23</v>
      </c>
      <c r="B60" s="128">
        <v>42589.771412037036</v>
      </c>
      <c r="C60" s="127" t="s">
        <v>272</v>
      </c>
      <c r="D60" s="127" t="s">
        <v>271</v>
      </c>
      <c r="E60" s="127" t="s">
        <v>21</v>
      </c>
      <c r="F60" s="129">
        <v>0.69510000000000005</v>
      </c>
      <c r="G60" s="129">
        <v>0.78590000000000004</v>
      </c>
      <c r="H60" s="129">
        <v>32</v>
      </c>
      <c r="I60" s="129">
        <v>157.18</v>
      </c>
      <c r="J60" s="129" t="b">
        <v>0</v>
      </c>
      <c r="K60" s="129" t="b">
        <v>0</v>
      </c>
      <c r="L60" s="129">
        <v>200</v>
      </c>
      <c r="M60" s="129">
        <v>0</v>
      </c>
      <c r="N60" s="129">
        <v>4.91</v>
      </c>
      <c r="O60" s="129">
        <v>0</v>
      </c>
      <c r="P60" s="129">
        <v>0</v>
      </c>
      <c r="Q60" s="129">
        <v>157.18</v>
      </c>
      <c r="R60" s="127" t="s">
        <v>271</v>
      </c>
      <c r="S60" s="129">
        <v>157.18</v>
      </c>
      <c r="T60" s="129">
        <v>84.83</v>
      </c>
      <c r="U60" s="129">
        <v>0</v>
      </c>
      <c r="V60" s="129" t="b">
        <v>0</v>
      </c>
      <c r="W60" s="129">
        <v>102986863</v>
      </c>
      <c r="X60" s="129">
        <v>0</v>
      </c>
      <c r="Y60" s="129">
        <v>0</v>
      </c>
      <c r="Z60" s="129"/>
      <c r="AA60" s="129">
        <v>0</v>
      </c>
      <c r="AB60" s="129" t="b">
        <v>0</v>
      </c>
      <c r="AC60" s="127" t="s">
        <v>142</v>
      </c>
      <c r="AD60" s="127" t="s">
        <v>142</v>
      </c>
      <c r="AE60" s="127" t="s">
        <v>142</v>
      </c>
      <c r="AF60" s="129">
        <v>9.0800000000000006E-2</v>
      </c>
      <c r="AG60" s="144">
        <v>42593</v>
      </c>
      <c r="AH60" s="129"/>
    </row>
    <row r="61" spans="1:34" x14ac:dyDescent="0.2">
      <c r="A61" s="127" t="s">
        <v>23</v>
      </c>
      <c r="B61" s="128">
        <v>42557.778275462966</v>
      </c>
      <c r="C61" s="127" t="s">
        <v>272</v>
      </c>
      <c r="D61" s="127" t="s">
        <v>271</v>
      </c>
      <c r="E61" s="127" t="s">
        <v>21</v>
      </c>
      <c r="F61" s="129">
        <v>0.70230000000000004</v>
      </c>
      <c r="G61" s="129">
        <v>0.69510000000000005</v>
      </c>
      <c r="H61" s="129">
        <v>31</v>
      </c>
      <c r="I61" s="129">
        <v>139.02000000000001</v>
      </c>
      <c r="J61" s="129" t="b">
        <v>0</v>
      </c>
      <c r="K61" s="129" t="b">
        <v>0</v>
      </c>
      <c r="L61" s="129">
        <v>200</v>
      </c>
      <c r="M61" s="129">
        <v>0</v>
      </c>
      <c r="N61" s="129">
        <v>4.4800000000000004</v>
      </c>
      <c r="O61" s="129">
        <v>0</v>
      </c>
      <c r="P61" s="129">
        <v>0</v>
      </c>
      <c r="Q61" s="129">
        <v>139.02000000000001</v>
      </c>
      <c r="R61" s="127" t="s">
        <v>271</v>
      </c>
      <c r="S61" s="129">
        <v>139.02000000000001</v>
      </c>
      <c r="T61" s="129">
        <v>39.64</v>
      </c>
      <c r="U61" s="129">
        <v>0</v>
      </c>
      <c r="V61" s="129" t="b">
        <v>0</v>
      </c>
      <c r="W61" s="129">
        <v>102909281</v>
      </c>
      <c r="X61" s="129">
        <v>0</v>
      </c>
      <c r="Y61" s="129">
        <v>0</v>
      </c>
      <c r="Z61" s="129"/>
      <c r="AA61" s="129">
        <v>0</v>
      </c>
      <c r="AB61" s="129" t="b">
        <v>0</v>
      </c>
      <c r="AC61" s="127" t="s">
        <v>142</v>
      </c>
      <c r="AD61" s="127" t="s">
        <v>142</v>
      </c>
      <c r="AE61" s="127" t="s">
        <v>142</v>
      </c>
      <c r="AF61" s="129">
        <v>99.992800000000003</v>
      </c>
      <c r="AG61" s="144">
        <v>42563</v>
      </c>
      <c r="AH61" s="129"/>
    </row>
    <row r="62" spans="1:34" x14ac:dyDescent="0.2">
      <c r="A62" s="127" t="s">
        <v>23</v>
      </c>
      <c r="B62" s="128">
        <v>42526.657199074078</v>
      </c>
      <c r="C62" s="127" t="s">
        <v>272</v>
      </c>
      <c r="D62" s="127" t="s">
        <v>271</v>
      </c>
      <c r="E62" s="127" t="s">
        <v>21</v>
      </c>
      <c r="F62" s="129">
        <v>0.63109999999999999</v>
      </c>
      <c r="G62" s="129">
        <v>0.70230000000000004</v>
      </c>
      <c r="H62" s="129">
        <v>32</v>
      </c>
      <c r="I62" s="129">
        <v>140.46</v>
      </c>
      <c r="J62" s="129" t="b">
        <v>0</v>
      </c>
      <c r="K62" s="129" t="b">
        <v>0</v>
      </c>
      <c r="L62" s="129">
        <v>200</v>
      </c>
      <c r="M62" s="129">
        <v>0</v>
      </c>
      <c r="N62" s="129">
        <v>4.3899999999999997</v>
      </c>
      <c r="O62" s="129">
        <v>0</v>
      </c>
      <c r="P62" s="129">
        <v>0</v>
      </c>
      <c r="Q62" s="129">
        <v>140.46</v>
      </c>
      <c r="R62" s="127" t="s">
        <v>271</v>
      </c>
      <c r="S62" s="129">
        <v>140.46</v>
      </c>
      <c r="T62" s="129">
        <v>35.97</v>
      </c>
      <c r="U62" s="129">
        <v>0</v>
      </c>
      <c r="V62" s="129" t="b">
        <v>0</v>
      </c>
      <c r="W62" s="129">
        <v>102829013</v>
      </c>
      <c r="X62" s="129">
        <v>0</v>
      </c>
      <c r="Y62" s="129">
        <v>0</v>
      </c>
      <c r="Z62" s="129"/>
      <c r="AA62" s="129">
        <v>0</v>
      </c>
      <c r="AB62" s="129" t="b">
        <v>0</v>
      </c>
      <c r="AC62" s="127" t="s">
        <v>142</v>
      </c>
      <c r="AD62" s="127" t="s">
        <v>142</v>
      </c>
      <c r="AE62" s="127" t="s">
        <v>142</v>
      </c>
      <c r="AF62" s="129">
        <v>7.1199999999999999E-2</v>
      </c>
      <c r="AG62" s="144">
        <v>42531</v>
      </c>
      <c r="AH62" s="129"/>
    </row>
    <row r="63" spans="1:34" x14ac:dyDescent="0.2">
      <c r="A63" s="127" t="s">
        <v>23</v>
      </c>
      <c r="B63" s="128">
        <v>42494.776180555556</v>
      </c>
      <c r="C63" s="127" t="s">
        <v>272</v>
      </c>
      <c r="D63" s="127" t="s">
        <v>271</v>
      </c>
      <c r="E63" s="127" t="s">
        <v>21</v>
      </c>
      <c r="F63" s="129">
        <v>0.54039999999999999</v>
      </c>
      <c r="G63" s="129">
        <v>0.63109999999999999</v>
      </c>
      <c r="H63" s="129">
        <v>29</v>
      </c>
      <c r="I63" s="129">
        <v>126.22</v>
      </c>
      <c r="J63" s="129" t="b">
        <v>0</v>
      </c>
      <c r="K63" s="129" t="b">
        <v>0</v>
      </c>
      <c r="L63" s="129">
        <v>200</v>
      </c>
      <c r="M63" s="129">
        <v>0</v>
      </c>
      <c r="N63" s="129">
        <v>4.3499999999999996</v>
      </c>
      <c r="O63" s="129">
        <v>0</v>
      </c>
      <c r="P63" s="129">
        <v>0</v>
      </c>
      <c r="Q63" s="129">
        <v>126.22</v>
      </c>
      <c r="R63" s="127" t="s">
        <v>271</v>
      </c>
      <c r="S63" s="129">
        <v>126.22</v>
      </c>
      <c r="T63" s="129">
        <v>43.94</v>
      </c>
      <c r="U63" s="129">
        <v>0</v>
      </c>
      <c r="V63" s="129" t="b">
        <v>0</v>
      </c>
      <c r="W63" s="129">
        <v>102751720</v>
      </c>
      <c r="X63" s="129">
        <v>0</v>
      </c>
      <c r="Y63" s="129">
        <v>0</v>
      </c>
      <c r="Z63" s="129"/>
      <c r="AA63" s="129">
        <v>0</v>
      </c>
      <c r="AB63" s="129" t="b">
        <v>0</v>
      </c>
      <c r="AC63" s="127" t="s">
        <v>142</v>
      </c>
      <c r="AD63" s="127" t="s">
        <v>142</v>
      </c>
      <c r="AE63" s="127" t="s">
        <v>142</v>
      </c>
      <c r="AF63" s="129">
        <v>9.0700000000000003E-2</v>
      </c>
      <c r="AG63" s="144">
        <v>42500</v>
      </c>
      <c r="AH63" s="129"/>
    </row>
    <row r="64" spans="1:34" x14ac:dyDescent="0.2">
      <c r="A64" s="127" t="s">
        <v>23</v>
      </c>
      <c r="B64" s="128">
        <v>42465.788298611114</v>
      </c>
      <c r="C64" s="127" t="s">
        <v>272</v>
      </c>
      <c r="D64" s="127" t="s">
        <v>271</v>
      </c>
      <c r="E64" s="127" t="s">
        <v>21</v>
      </c>
      <c r="F64" s="129">
        <v>0.54310000000000003</v>
      </c>
      <c r="G64" s="129">
        <v>0.54039999999999999</v>
      </c>
      <c r="H64" s="129">
        <v>30</v>
      </c>
      <c r="I64" s="129">
        <v>108.08</v>
      </c>
      <c r="J64" s="129" t="b">
        <v>0</v>
      </c>
      <c r="K64" s="129" t="b">
        <v>0</v>
      </c>
      <c r="L64" s="129">
        <v>200</v>
      </c>
      <c r="M64" s="129">
        <v>0</v>
      </c>
      <c r="N64" s="129">
        <v>3.6</v>
      </c>
      <c r="O64" s="129">
        <v>0</v>
      </c>
      <c r="P64" s="129">
        <v>0</v>
      </c>
      <c r="Q64" s="129">
        <v>108.08</v>
      </c>
      <c r="R64" s="127" t="s">
        <v>271</v>
      </c>
      <c r="S64" s="129">
        <v>108.08</v>
      </c>
      <c r="T64" s="129">
        <v>47.03</v>
      </c>
      <c r="U64" s="129">
        <v>0</v>
      </c>
      <c r="V64" s="129" t="b">
        <v>0</v>
      </c>
      <c r="W64" s="129">
        <v>102667842</v>
      </c>
      <c r="X64" s="129">
        <v>0</v>
      </c>
      <c r="Y64" s="129">
        <v>0</v>
      </c>
      <c r="Z64" s="129"/>
      <c r="AA64" s="129">
        <v>0</v>
      </c>
      <c r="AB64" s="129" t="b">
        <v>0</v>
      </c>
      <c r="AC64" s="127" t="s">
        <v>142</v>
      </c>
      <c r="AD64" s="127" t="s">
        <v>142</v>
      </c>
      <c r="AE64" s="127" t="s">
        <v>142</v>
      </c>
      <c r="AF64" s="129">
        <v>99.997299999999996</v>
      </c>
      <c r="AG64" s="144">
        <v>42471</v>
      </c>
      <c r="AH64" s="129"/>
    </row>
    <row r="65" spans="1:34" x14ac:dyDescent="0.2">
      <c r="A65" s="127" t="s">
        <v>23</v>
      </c>
      <c r="B65" s="128">
        <v>42435.747060185182</v>
      </c>
      <c r="C65" s="127" t="s">
        <v>272</v>
      </c>
      <c r="D65" s="127" t="s">
        <v>271</v>
      </c>
      <c r="E65" s="127" t="s">
        <v>21</v>
      </c>
      <c r="F65" s="129">
        <v>0.52690000000000003</v>
      </c>
      <c r="G65" s="129">
        <v>0.54310000000000003</v>
      </c>
      <c r="H65" s="129">
        <v>31</v>
      </c>
      <c r="I65" s="129">
        <v>108.62</v>
      </c>
      <c r="J65" s="129" t="b">
        <v>0</v>
      </c>
      <c r="K65" s="129" t="b">
        <v>0</v>
      </c>
      <c r="L65" s="129">
        <v>200</v>
      </c>
      <c r="M65" s="129">
        <v>0</v>
      </c>
      <c r="N65" s="129">
        <v>3.5</v>
      </c>
      <c r="O65" s="129">
        <v>0</v>
      </c>
      <c r="P65" s="129">
        <v>0</v>
      </c>
      <c r="Q65" s="129">
        <v>108.62</v>
      </c>
      <c r="R65" s="127" t="s">
        <v>271</v>
      </c>
      <c r="S65" s="129">
        <v>108.62</v>
      </c>
      <c r="T65" s="129">
        <v>49.99</v>
      </c>
      <c r="U65" s="129">
        <v>0</v>
      </c>
      <c r="V65" s="129" t="b">
        <v>0</v>
      </c>
      <c r="W65" s="129">
        <v>102587445</v>
      </c>
      <c r="X65" s="129">
        <v>0</v>
      </c>
      <c r="Y65" s="129">
        <v>0</v>
      </c>
      <c r="Z65" s="129"/>
      <c r="AA65" s="129">
        <v>0</v>
      </c>
      <c r="AB65" s="129" t="b">
        <v>0</v>
      </c>
      <c r="AC65" s="127" t="s">
        <v>142</v>
      </c>
      <c r="AD65" s="127" t="s">
        <v>142</v>
      </c>
      <c r="AE65" s="127" t="s">
        <v>142</v>
      </c>
      <c r="AF65" s="129">
        <v>1.6199999999999999E-2</v>
      </c>
      <c r="AG65" s="144">
        <v>42439</v>
      </c>
      <c r="AH65" s="129"/>
    </row>
    <row r="66" spans="1:34" x14ac:dyDescent="0.2">
      <c r="A66" s="127" t="s">
        <v>23</v>
      </c>
      <c r="B66" s="128">
        <v>42404.62259259259</v>
      </c>
      <c r="C66" s="127" t="s">
        <v>272</v>
      </c>
      <c r="D66" s="127" t="s">
        <v>271</v>
      </c>
      <c r="E66" s="127" t="s">
        <v>21</v>
      </c>
      <c r="F66" s="129">
        <v>0.52690000000000003</v>
      </c>
      <c r="G66" s="129">
        <v>0.52690000000000003</v>
      </c>
      <c r="H66" s="129">
        <v>28</v>
      </c>
      <c r="I66" s="129">
        <v>105.38</v>
      </c>
      <c r="J66" s="129" t="b">
        <v>0</v>
      </c>
      <c r="K66" s="129" t="b">
        <v>0</v>
      </c>
      <c r="L66" s="129">
        <v>200</v>
      </c>
      <c r="M66" s="129">
        <v>0</v>
      </c>
      <c r="N66" s="129">
        <v>3.76</v>
      </c>
      <c r="O66" s="129">
        <v>0</v>
      </c>
      <c r="P66" s="129">
        <v>0</v>
      </c>
      <c r="Q66" s="129">
        <v>105.38</v>
      </c>
      <c r="R66" s="127" t="s">
        <v>271</v>
      </c>
      <c r="S66" s="129">
        <v>105.38</v>
      </c>
      <c r="T66" s="129">
        <v>0</v>
      </c>
      <c r="U66" s="129">
        <v>0</v>
      </c>
      <c r="V66" s="129" t="b">
        <v>0</v>
      </c>
      <c r="W66" s="129">
        <v>102508059</v>
      </c>
      <c r="X66" s="129">
        <v>0</v>
      </c>
      <c r="Y66" s="129">
        <v>0</v>
      </c>
      <c r="Z66" s="129"/>
      <c r="AA66" s="129">
        <v>0</v>
      </c>
      <c r="AB66" s="129" t="b">
        <v>0</v>
      </c>
      <c r="AC66" s="127" t="s">
        <v>142</v>
      </c>
      <c r="AD66" s="127" t="s">
        <v>142</v>
      </c>
      <c r="AE66" s="127" t="s">
        <v>142</v>
      </c>
      <c r="AF66" s="129">
        <v>0</v>
      </c>
      <c r="AG66" s="144">
        <v>42409</v>
      </c>
      <c r="AH66" s="129"/>
    </row>
    <row r="67" spans="1:34" x14ac:dyDescent="0.2">
      <c r="A67" s="127" t="s">
        <v>23</v>
      </c>
      <c r="B67" s="128">
        <v>42376.049884259257</v>
      </c>
      <c r="C67" s="127" t="s">
        <v>272</v>
      </c>
      <c r="D67" s="127" t="s">
        <v>271</v>
      </c>
      <c r="E67" s="127" t="s">
        <v>21</v>
      </c>
      <c r="F67" s="129">
        <v>0.57299999999999995</v>
      </c>
      <c r="G67" s="129">
        <v>0.52690000000000003</v>
      </c>
      <c r="H67" s="129">
        <v>30</v>
      </c>
      <c r="I67" s="129">
        <v>105.38</v>
      </c>
      <c r="J67" s="129" t="b">
        <v>0</v>
      </c>
      <c r="K67" s="129" t="b">
        <v>0</v>
      </c>
      <c r="L67" s="129">
        <v>200</v>
      </c>
      <c r="M67" s="129">
        <v>0</v>
      </c>
      <c r="N67" s="129">
        <v>3.51</v>
      </c>
      <c r="O67" s="129">
        <v>0</v>
      </c>
      <c r="P67" s="129">
        <v>0</v>
      </c>
      <c r="Q67" s="129">
        <v>105.38</v>
      </c>
      <c r="R67" s="127" t="s">
        <v>271</v>
      </c>
      <c r="S67" s="129">
        <v>105.38</v>
      </c>
      <c r="T67" s="129">
        <v>49.03</v>
      </c>
      <c r="U67" s="129">
        <v>0</v>
      </c>
      <c r="V67" s="129" t="b">
        <v>0</v>
      </c>
      <c r="W67" s="129">
        <v>102424419</v>
      </c>
      <c r="X67" s="129">
        <v>0</v>
      </c>
      <c r="Y67" s="129">
        <v>0</v>
      </c>
      <c r="Z67" s="129"/>
      <c r="AA67" s="129">
        <v>0</v>
      </c>
      <c r="AB67" s="129" t="b">
        <v>0</v>
      </c>
      <c r="AC67" s="127" t="s">
        <v>142</v>
      </c>
      <c r="AD67" s="127" t="s">
        <v>142</v>
      </c>
      <c r="AE67" s="127" t="s">
        <v>142</v>
      </c>
      <c r="AF67" s="129">
        <v>99.953900000000004</v>
      </c>
      <c r="AG67" s="144">
        <v>42381</v>
      </c>
      <c r="AH67" s="129"/>
    </row>
    <row r="68" spans="1:34" x14ac:dyDescent="0.2">
      <c r="A68" s="127" t="s">
        <v>23</v>
      </c>
      <c r="B68" s="128">
        <v>42346.747777777775</v>
      </c>
      <c r="C68" s="127" t="s">
        <v>272</v>
      </c>
      <c r="D68" s="127" t="s">
        <v>271</v>
      </c>
      <c r="E68" s="127" t="s">
        <v>21</v>
      </c>
      <c r="F68" s="129">
        <v>0.74029999999999996</v>
      </c>
      <c r="G68" s="129">
        <v>0.57299999999999995</v>
      </c>
      <c r="H68" s="129">
        <v>34</v>
      </c>
      <c r="I68" s="129">
        <v>114.6</v>
      </c>
      <c r="J68" s="129" t="b">
        <v>0</v>
      </c>
      <c r="K68" s="129" t="b">
        <v>0</v>
      </c>
      <c r="L68" s="129">
        <v>200</v>
      </c>
      <c r="M68" s="129">
        <v>0</v>
      </c>
      <c r="N68" s="129">
        <v>3.37</v>
      </c>
      <c r="O68" s="129">
        <v>0</v>
      </c>
      <c r="P68" s="129">
        <v>0</v>
      </c>
      <c r="Q68" s="129">
        <v>114.6</v>
      </c>
      <c r="R68" s="127" t="s">
        <v>271</v>
      </c>
      <c r="S68" s="129">
        <v>114.6</v>
      </c>
      <c r="T68" s="129">
        <v>80.2</v>
      </c>
      <c r="U68" s="129">
        <v>0</v>
      </c>
      <c r="V68" s="129" t="b">
        <v>0</v>
      </c>
      <c r="W68" s="129">
        <v>102344005</v>
      </c>
      <c r="X68" s="129">
        <v>0</v>
      </c>
      <c r="Y68" s="129">
        <v>0</v>
      </c>
      <c r="Z68" s="129"/>
      <c r="AA68" s="129">
        <v>0</v>
      </c>
      <c r="AB68" s="129" t="b">
        <v>0</v>
      </c>
      <c r="AC68" s="127" t="s">
        <v>142</v>
      </c>
      <c r="AD68" s="127" t="s">
        <v>142</v>
      </c>
      <c r="AE68" s="127" t="s">
        <v>142</v>
      </c>
      <c r="AF68" s="129">
        <v>99.832700000000003</v>
      </c>
      <c r="AG68" s="144">
        <v>42348</v>
      </c>
      <c r="AH68" s="129"/>
    </row>
    <row r="69" spans="1:34" x14ac:dyDescent="0.2">
      <c r="A69" s="127" t="s">
        <v>23</v>
      </c>
      <c r="B69" s="128">
        <v>42312.723946759259</v>
      </c>
      <c r="C69" s="127" t="s">
        <v>272</v>
      </c>
      <c r="D69" s="127" t="s">
        <v>271</v>
      </c>
      <c r="E69" s="127" t="s">
        <v>21</v>
      </c>
      <c r="F69" s="129">
        <v>0.74029999999999996</v>
      </c>
      <c r="G69" s="129">
        <v>0.74029999999999996</v>
      </c>
      <c r="H69" s="129">
        <v>29</v>
      </c>
      <c r="I69" s="129">
        <v>148.06</v>
      </c>
      <c r="J69" s="129" t="b">
        <v>0</v>
      </c>
      <c r="K69" s="129" t="b">
        <v>0</v>
      </c>
      <c r="L69" s="129">
        <v>200</v>
      </c>
      <c r="M69" s="129">
        <v>0</v>
      </c>
      <c r="N69" s="129">
        <v>5.1100000000000003</v>
      </c>
      <c r="O69" s="129">
        <v>0</v>
      </c>
      <c r="P69" s="129">
        <v>0</v>
      </c>
      <c r="Q69" s="129">
        <v>148.06</v>
      </c>
      <c r="R69" s="127" t="s">
        <v>271</v>
      </c>
      <c r="S69" s="129">
        <v>148.06</v>
      </c>
      <c r="T69" s="129">
        <v>0</v>
      </c>
      <c r="U69" s="129">
        <v>0</v>
      </c>
      <c r="V69" s="129" t="b">
        <v>0</v>
      </c>
      <c r="W69" s="129">
        <v>102260580</v>
      </c>
      <c r="X69" s="129">
        <v>0</v>
      </c>
      <c r="Y69" s="129">
        <v>0</v>
      </c>
      <c r="Z69" s="127" t="s">
        <v>273</v>
      </c>
      <c r="AA69" s="129">
        <v>0</v>
      </c>
      <c r="AB69" s="129" t="b">
        <v>0</v>
      </c>
      <c r="AC69" s="127" t="s">
        <v>142</v>
      </c>
      <c r="AD69" s="127" t="s">
        <v>142</v>
      </c>
      <c r="AE69" s="127" t="s">
        <v>142</v>
      </c>
      <c r="AF69" s="129">
        <v>0</v>
      </c>
      <c r="AG69" s="144">
        <v>42317</v>
      </c>
      <c r="AH69" s="129"/>
    </row>
    <row r="70" spans="1:34" x14ac:dyDescent="0.2">
      <c r="A70" s="127" t="s">
        <v>23</v>
      </c>
      <c r="B70" s="128">
        <v>42283</v>
      </c>
      <c r="C70" s="127" t="s">
        <v>272</v>
      </c>
      <c r="D70" s="127" t="s">
        <v>271</v>
      </c>
      <c r="E70" s="127" t="s">
        <v>21</v>
      </c>
      <c r="F70" s="129">
        <v>0.75829999999999997</v>
      </c>
      <c r="G70" s="129">
        <v>0.74029999999999996</v>
      </c>
      <c r="H70" s="129">
        <v>28</v>
      </c>
      <c r="I70" s="129">
        <v>148.06</v>
      </c>
      <c r="J70" s="129" t="b">
        <v>0</v>
      </c>
      <c r="K70" s="129" t="b">
        <v>0</v>
      </c>
      <c r="L70" s="129">
        <v>200</v>
      </c>
      <c r="M70" s="129">
        <v>0</v>
      </c>
      <c r="N70" s="129">
        <v>5.29</v>
      </c>
      <c r="O70" s="129">
        <v>0</v>
      </c>
      <c r="P70" s="129">
        <v>0</v>
      </c>
      <c r="Q70" s="129">
        <v>148.06</v>
      </c>
      <c r="R70" s="127" t="s">
        <v>271</v>
      </c>
      <c r="S70" s="129">
        <v>148.06</v>
      </c>
      <c r="T70" s="129">
        <v>42.01</v>
      </c>
      <c r="U70" s="129">
        <v>0</v>
      </c>
      <c r="V70" s="129" t="b">
        <v>0</v>
      </c>
      <c r="W70" s="129">
        <v>102215266</v>
      </c>
      <c r="X70" s="129">
        <v>0</v>
      </c>
      <c r="Y70" s="129">
        <v>0</v>
      </c>
      <c r="Z70" s="129"/>
      <c r="AA70" s="129">
        <v>0</v>
      </c>
      <c r="AB70" s="129" t="b">
        <v>0</v>
      </c>
      <c r="AC70" s="127" t="s">
        <v>142</v>
      </c>
      <c r="AD70" s="127" t="s">
        <v>142</v>
      </c>
      <c r="AE70" s="127" t="s">
        <v>142</v>
      </c>
      <c r="AF70" s="129">
        <v>99.981999999999999</v>
      </c>
      <c r="AG70" s="144">
        <v>42298</v>
      </c>
      <c r="AH70" s="129"/>
    </row>
    <row r="71" spans="1:34" x14ac:dyDescent="0.2">
      <c r="A71" s="127" t="s">
        <v>23</v>
      </c>
      <c r="B71" s="128">
        <v>42255.566736111112</v>
      </c>
      <c r="C71" s="127" t="s">
        <v>272</v>
      </c>
      <c r="D71" s="127" t="s">
        <v>271</v>
      </c>
      <c r="E71" s="127" t="s">
        <v>21</v>
      </c>
      <c r="F71" s="129">
        <v>0.80889999999999995</v>
      </c>
      <c r="G71" s="129">
        <v>0.75829999999999997</v>
      </c>
      <c r="H71" s="129">
        <v>33</v>
      </c>
      <c r="I71" s="129">
        <v>151.66</v>
      </c>
      <c r="J71" s="129" t="b">
        <v>0</v>
      </c>
      <c r="K71" s="129" t="b">
        <v>0</v>
      </c>
      <c r="L71" s="129">
        <v>200</v>
      </c>
      <c r="M71" s="129">
        <v>0</v>
      </c>
      <c r="N71" s="129">
        <v>4.5999999999999996</v>
      </c>
      <c r="O71" s="129">
        <v>0</v>
      </c>
      <c r="P71" s="129">
        <v>0</v>
      </c>
      <c r="Q71" s="129">
        <v>151.66</v>
      </c>
      <c r="R71" s="127" t="s">
        <v>271</v>
      </c>
      <c r="S71" s="129">
        <v>151.66</v>
      </c>
      <c r="T71" s="129">
        <v>46.96</v>
      </c>
      <c r="U71" s="129">
        <v>0</v>
      </c>
      <c r="V71" s="129" t="b">
        <v>0</v>
      </c>
      <c r="W71" s="129">
        <v>102099131</v>
      </c>
      <c r="X71" s="129">
        <v>0</v>
      </c>
      <c r="Y71" s="129">
        <v>0</v>
      </c>
      <c r="Z71" s="127" t="s">
        <v>273</v>
      </c>
      <c r="AA71" s="129">
        <v>0</v>
      </c>
      <c r="AB71" s="129" t="b">
        <v>0</v>
      </c>
      <c r="AC71" s="127" t="s">
        <v>142</v>
      </c>
      <c r="AD71" s="127" t="s">
        <v>142</v>
      </c>
      <c r="AE71" s="127" t="s">
        <v>142</v>
      </c>
      <c r="AF71" s="129">
        <v>99.949399999999997</v>
      </c>
      <c r="AG71" s="144">
        <v>42257</v>
      </c>
      <c r="AH71" s="129"/>
    </row>
    <row r="72" spans="1:34" x14ac:dyDescent="0.2">
      <c r="A72" s="127" t="s">
        <v>23</v>
      </c>
      <c r="B72" s="128">
        <v>42222</v>
      </c>
      <c r="C72" s="127" t="s">
        <v>272</v>
      </c>
      <c r="D72" s="127" t="s">
        <v>271</v>
      </c>
      <c r="E72" s="127" t="s">
        <v>21</v>
      </c>
      <c r="F72" s="129">
        <v>0.77649999999999997</v>
      </c>
      <c r="G72" s="129">
        <v>0.80889999999999995</v>
      </c>
      <c r="H72" s="129">
        <v>29</v>
      </c>
      <c r="I72" s="129">
        <v>161.78</v>
      </c>
      <c r="J72" s="129" t="b">
        <v>0</v>
      </c>
      <c r="K72" s="129" t="b">
        <v>0</v>
      </c>
      <c r="L72" s="129">
        <v>200</v>
      </c>
      <c r="M72" s="129">
        <v>0</v>
      </c>
      <c r="N72" s="129">
        <v>5.58</v>
      </c>
      <c r="O72" s="129">
        <v>0</v>
      </c>
      <c r="P72" s="129">
        <v>0</v>
      </c>
      <c r="Q72" s="129">
        <v>161.78</v>
      </c>
      <c r="R72" s="127" t="s">
        <v>271</v>
      </c>
      <c r="S72" s="129">
        <v>161.78</v>
      </c>
      <c r="T72" s="129">
        <v>36.06</v>
      </c>
      <c r="U72" s="129">
        <v>0</v>
      </c>
      <c r="V72" s="129" t="b">
        <v>0</v>
      </c>
      <c r="W72" s="129">
        <v>102025076</v>
      </c>
      <c r="X72" s="129">
        <v>0</v>
      </c>
      <c r="Y72" s="129">
        <v>0</v>
      </c>
      <c r="Z72" s="129"/>
      <c r="AA72" s="129">
        <v>0</v>
      </c>
      <c r="AB72" s="129" t="b">
        <v>0</v>
      </c>
      <c r="AC72" s="127" t="s">
        <v>142</v>
      </c>
      <c r="AD72" s="127" t="s">
        <v>142</v>
      </c>
      <c r="AE72" s="127" t="s">
        <v>142</v>
      </c>
      <c r="AF72" s="129">
        <v>3.2399999999999998E-2</v>
      </c>
      <c r="AG72" s="144">
        <v>42229</v>
      </c>
      <c r="AH72" s="129"/>
    </row>
    <row r="73" spans="1:34" x14ac:dyDescent="0.2">
      <c r="A73" s="127" t="s">
        <v>23</v>
      </c>
      <c r="B73" s="128">
        <v>42193.637256944443</v>
      </c>
      <c r="C73" s="127" t="s">
        <v>272</v>
      </c>
      <c r="D73" s="127" t="s">
        <v>271</v>
      </c>
      <c r="E73" s="127" t="s">
        <v>21</v>
      </c>
      <c r="F73" s="129">
        <v>0.73240000000000005</v>
      </c>
      <c r="G73" s="129">
        <v>0.77649999999999997</v>
      </c>
      <c r="H73" s="129">
        <v>33</v>
      </c>
      <c r="I73" s="129">
        <v>155.29990000000001</v>
      </c>
      <c r="J73" s="129" t="b">
        <v>0</v>
      </c>
      <c r="K73" s="129" t="b">
        <v>0</v>
      </c>
      <c r="L73" s="129">
        <v>200</v>
      </c>
      <c r="M73" s="129">
        <v>0</v>
      </c>
      <c r="N73" s="129">
        <v>4.71</v>
      </c>
      <c r="O73" s="129">
        <v>0</v>
      </c>
      <c r="P73" s="129">
        <v>0</v>
      </c>
      <c r="Q73" s="129">
        <v>155.30000000000001</v>
      </c>
      <c r="R73" s="127" t="s">
        <v>271</v>
      </c>
      <c r="S73" s="129">
        <v>155.29990000000001</v>
      </c>
      <c r="T73" s="129">
        <v>69.92</v>
      </c>
      <c r="U73" s="129">
        <v>0</v>
      </c>
      <c r="V73" s="129" t="b">
        <v>0</v>
      </c>
      <c r="W73" s="129">
        <v>101937607</v>
      </c>
      <c r="X73" s="129">
        <v>0</v>
      </c>
      <c r="Y73" s="129">
        <v>0</v>
      </c>
      <c r="Z73" s="127" t="s">
        <v>255</v>
      </c>
      <c r="AA73" s="129">
        <v>0</v>
      </c>
      <c r="AB73" s="129" t="b">
        <v>0</v>
      </c>
      <c r="AC73" s="127" t="s">
        <v>142</v>
      </c>
      <c r="AD73" s="127" t="s">
        <v>142</v>
      </c>
      <c r="AE73" s="127" t="s">
        <v>142</v>
      </c>
      <c r="AF73" s="129">
        <v>4.41E-2</v>
      </c>
      <c r="AG73" s="144">
        <v>42195</v>
      </c>
      <c r="AH73" s="129"/>
    </row>
    <row r="74" spans="1:34" x14ac:dyDescent="0.2">
      <c r="A74" s="127" t="s">
        <v>23</v>
      </c>
      <c r="B74" s="128">
        <v>42160.587199074071</v>
      </c>
      <c r="C74" s="127" t="s">
        <v>272</v>
      </c>
      <c r="D74" s="127" t="s">
        <v>271</v>
      </c>
      <c r="E74" s="127" t="s">
        <v>21</v>
      </c>
      <c r="F74" s="129">
        <v>0.73240000000000005</v>
      </c>
      <c r="G74" s="129">
        <v>0.73240000000000005</v>
      </c>
      <c r="H74" s="129">
        <v>30</v>
      </c>
      <c r="I74" s="129">
        <v>146.47999999999999</v>
      </c>
      <c r="J74" s="129" t="b">
        <v>0</v>
      </c>
      <c r="K74" s="129" t="b">
        <v>0</v>
      </c>
      <c r="L74" s="129">
        <v>200</v>
      </c>
      <c r="M74" s="129">
        <v>0</v>
      </c>
      <c r="N74" s="129">
        <v>4.88</v>
      </c>
      <c r="O74" s="129">
        <v>0</v>
      </c>
      <c r="P74" s="129">
        <v>0</v>
      </c>
      <c r="Q74" s="129">
        <v>146.47999999999999</v>
      </c>
      <c r="R74" s="127" t="s">
        <v>271</v>
      </c>
      <c r="S74" s="129">
        <v>146.47999999999999</v>
      </c>
      <c r="T74" s="129">
        <v>11.95</v>
      </c>
      <c r="U74" s="129">
        <v>0</v>
      </c>
      <c r="V74" s="129" t="b">
        <v>0</v>
      </c>
      <c r="W74" s="129">
        <v>101854947</v>
      </c>
      <c r="X74" s="129">
        <v>0</v>
      </c>
      <c r="Y74" s="129">
        <v>0</v>
      </c>
      <c r="Z74" s="127" t="s">
        <v>255</v>
      </c>
      <c r="AA74" s="129">
        <v>0</v>
      </c>
      <c r="AB74" s="129" t="b">
        <v>0</v>
      </c>
      <c r="AC74" s="127" t="s">
        <v>142</v>
      </c>
      <c r="AD74" s="127" t="s">
        <v>142</v>
      </c>
      <c r="AE74" s="127" t="s">
        <v>142</v>
      </c>
      <c r="AF74" s="129">
        <v>0</v>
      </c>
      <c r="AG74" s="144">
        <v>42165</v>
      </c>
      <c r="AH74" s="129"/>
    </row>
    <row r="75" spans="1:34" x14ac:dyDescent="0.2">
      <c r="A75" s="127" t="s">
        <v>23</v>
      </c>
      <c r="B75" s="128">
        <v>42130</v>
      </c>
      <c r="C75" s="127" t="s">
        <v>272</v>
      </c>
      <c r="D75" s="127" t="s">
        <v>271</v>
      </c>
      <c r="E75" s="127" t="s">
        <v>21</v>
      </c>
      <c r="F75" s="129">
        <v>0.63829999999999998</v>
      </c>
      <c r="G75" s="129">
        <v>0.73240000000000005</v>
      </c>
      <c r="H75" s="129">
        <v>29</v>
      </c>
      <c r="I75" s="129">
        <v>146.47999999999999</v>
      </c>
      <c r="J75" s="129" t="b">
        <v>0</v>
      </c>
      <c r="K75" s="129" t="b">
        <v>0</v>
      </c>
      <c r="L75" s="129">
        <v>200</v>
      </c>
      <c r="M75" s="129">
        <v>0</v>
      </c>
      <c r="N75" s="129">
        <v>5.05</v>
      </c>
      <c r="O75" s="129">
        <v>0</v>
      </c>
      <c r="P75" s="129">
        <v>0</v>
      </c>
      <c r="Q75" s="129">
        <v>146.47999999999999</v>
      </c>
      <c r="R75" s="127" t="s">
        <v>271</v>
      </c>
      <c r="S75" s="129">
        <v>146.47999999999999</v>
      </c>
      <c r="T75" s="129">
        <v>27.46</v>
      </c>
      <c r="U75" s="129">
        <v>0</v>
      </c>
      <c r="V75" s="129" t="b">
        <v>0</v>
      </c>
      <c r="W75" s="129">
        <v>101797370</v>
      </c>
      <c r="X75" s="129">
        <v>0</v>
      </c>
      <c r="Y75" s="129">
        <v>0</v>
      </c>
      <c r="Z75" s="129"/>
      <c r="AA75" s="129">
        <v>0</v>
      </c>
      <c r="AB75" s="129" t="b">
        <v>0</v>
      </c>
      <c r="AC75" s="127" t="s">
        <v>142</v>
      </c>
      <c r="AD75" s="127" t="s">
        <v>142</v>
      </c>
      <c r="AE75" s="127" t="s">
        <v>142</v>
      </c>
      <c r="AF75" s="129">
        <v>9.4100000000000003E-2</v>
      </c>
      <c r="AG75" s="144">
        <v>42144</v>
      </c>
      <c r="AH75" s="129"/>
    </row>
    <row r="76" spans="1:34" x14ac:dyDescent="0.2">
      <c r="A76" s="127" t="s">
        <v>23</v>
      </c>
      <c r="B76" s="128">
        <v>42101.472939814812</v>
      </c>
      <c r="C76" s="127" t="s">
        <v>272</v>
      </c>
      <c r="D76" s="127" t="s">
        <v>271</v>
      </c>
      <c r="E76" s="127" t="s">
        <v>21</v>
      </c>
      <c r="F76" s="129">
        <v>0.59299999999999997</v>
      </c>
      <c r="G76" s="129">
        <v>0.63829999999999998</v>
      </c>
      <c r="H76" s="129">
        <v>32</v>
      </c>
      <c r="I76" s="129">
        <v>127.66</v>
      </c>
      <c r="J76" s="129" t="b">
        <v>0</v>
      </c>
      <c r="K76" s="129" t="b">
        <v>0</v>
      </c>
      <c r="L76" s="129">
        <v>200</v>
      </c>
      <c r="M76" s="129">
        <v>0</v>
      </c>
      <c r="N76" s="129">
        <v>3.99</v>
      </c>
      <c r="O76" s="129">
        <v>0</v>
      </c>
      <c r="P76" s="129">
        <v>0</v>
      </c>
      <c r="Q76" s="129">
        <v>127.66</v>
      </c>
      <c r="R76" s="127" t="s">
        <v>271</v>
      </c>
      <c r="S76" s="129">
        <v>127.66</v>
      </c>
      <c r="T76" s="129">
        <v>80.98</v>
      </c>
      <c r="U76" s="129">
        <v>0</v>
      </c>
      <c r="V76" s="129" t="b">
        <v>0</v>
      </c>
      <c r="W76" s="129">
        <v>101684886</v>
      </c>
      <c r="X76" s="129">
        <v>0</v>
      </c>
      <c r="Y76" s="129">
        <v>0</v>
      </c>
      <c r="Z76" s="127" t="s">
        <v>255</v>
      </c>
      <c r="AA76" s="129">
        <v>0</v>
      </c>
      <c r="AB76" s="129" t="b">
        <v>0</v>
      </c>
      <c r="AC76" s="127" t="s">
        <v>142</v>
      </c>
      <c r="AD76" s="127" t="s">
        <v>142</v>
      </c>
      <c r="AE76" s="127" t="s">
        <v>142</v>
      </c>
      <c r="AF76" s="129">
        <v>4.53E-2</v>
      </c>
      <c r="AG76" s="144">
        <v>42104</v>
      </c>
      <c r="AH76" s="129"/>
    </row>
    <row r="77" spans="1:34" x14ac:dyDescent="0.2">
      <c r="A77" s="127" t="s">
        <v>23</v>
      </c>
      <c r="B77" s="128">
        <v>42069.535428240742</v>
      </c>
      <c r="C77" s="127" t="s">
        <v>272</v>
      </c>
      <c r="D77" s="127" t="s">
        <v>271</v>
      </c>
      <c r="E77" s="127" t="s">
        <v>21</v>
      </c>
      <c r="F77" s="129">
        <v>0.58799999999999997</v>
      </c>
      <c r="G77" s="129">
        <v>0.59299999999999997</v>
      </c>
      <c r="H77" s="129">
        <v>28</v>
      </c>
      <c r="I77" s="129">
        <v>118.6</v>
      </c>
      <c r="J77" s="129" t="b">
        <v>0</v>
      </c>
      <c r="K77" s="129" t="b">
        <v>0</v>
      </c>
      <c r="L77" s="129">
        <v>200</v>
      </c>
      <c r="M77" s="129">
        <v>0</v>
      </c>
      <c r="N77" s="129">
        <v>4.24</v>
      </c>
      <c r="O77" s="129">
        <v>0</v>
      </c>
      <c r="P77" s="129">
        <v>0</v>
      </c>
      <c r="Q77" s="129">
        <v>118.6</v>
      </c>
      <c r="R77" s="127" t="s">
        <v>271</v>
      </c>
      <c r="S77" s="129">
        <v>118.6</v>
      </c>
      <c r="T77" s="129">
        <v>56.46</v>
      </c>
      <c r="U77" s="129">
        <v>0</v>
      </c>
      <c r="V77" s="129" t="b">
        <v>0</v>
      </c>
      <c r="W77" s="129">
        <v>101602631</v>
      </c>
      <c r="X77" s="129">
        <v>0</v>
      </c>
      <c r="Y77" s="129">
        <v>0</v>
      </c>
      <c r="Z77" s="127" t="s">
        <v>255</v>
      </c>
      <c r="AA77" s="129">
        <v>0</v>
      </c>
      <c r="AB77" s="129" t="b">
        <v>0</v>
      </c>
      <c r="AC77" s="127" t="s">
        <v>142</v>
      </c>
      <c r="AD77" s="127" t="s">
        <v>142</v>
      </c>
      <c r="AE77" s="127" t="s">
        <v>142</v>
      </c>
      <c r="AF77" s="129">
        <v>5.0000000000000001E-3</v>
      </c>
      <c r="AG77" s="144">
        <v>42074</v>
      </c>
      <c r="AH77" s="129"/>
    </row>
    <row r="78" spans="1:34" x14ac:dyDescent="0.2">
      <c r="A78" s="127" t="s">
        <v>23</v>
      </c>
      <c r="B78" s="128">
        <v>42041.426701388889</v>
      </c>
      <c r="C78" s="127" t="s">
        <v>272</v>
      </c>
      <c r="D78" s="127" t="s">
        <v>271</v>
      </c>
      <c r="E78" s="127" t="s">
        <v>21</v>
      </c>
      <c r="F78" s="129">
        <v>0.58799999999999997</v>
      </c>
      <c r="G78" s="129">
        <v>0.58799999999999997</v>
      </c>
      <c r="H78" s="129">
        <v>29</v>
      </c>
      <c r="I78" s="129">
        <v>117.6</v>
      </c>
      <c r="J78" s="129" t="b">
        <v>0</v>
      </c>
      <c r="K78" s="129" t="b">
        <v>0</v>
      </c>
      <c r="L78" s="129">
        <v>200</v>
      </c>
      <c r="M78" s="129">
        <v>0</v>
      </c>
      <c r="N78" s="129">
        <v>4.0599999999999996</v>
      </c>
      <c r="O78" s="129">
        <v>0</v>
      </c>
      <c r="P78" s="129">
        <v>0</v>
      </c>
      <c r="Q78" s="129">
        <v>117.6</v>
      </c>
      <c r="R78" s="127" t="s">
        <v>271</v>
      </c>
      <c r="S78" s="129">
        <v>117.6</v>
      </c>
      <c r="T78" s="129">
        <v>0</v>
      </c>
      <c r="U78" s="129">
        <v>0</v>
      </c>
      <c r="V78" s="129" t="b">
        <v>0</v>
      </c>
      <c r="W78" s="129">
        <v>101522548</v>
      </c>
      <c r="X78" s="129">
        <v>0</v>
      </c>
      <c r="Y78" s="129">
        <v>0</v>
      </c>
      <c r="Z78" s="127" t="s">
        <v>255</v>
      </c>
      <c r="AA78" s="129">
        <v>0</v>
      </c>
      <c r="AB78" s="129" t="b">
        <v>0</v>
      </c>
      <c r="AC78" s="127" t="s">
        <v>142</v>
      </c>
      <c r="AD78" s="127" t="s">
        <v>142</v>
      </c>
      <c r="AE78" s="127" t="s">
        <v>142</v>
      </c>
      <c r="AF78" s="129">
        <v>0</v>
      </c>
      <c r="AG78" s="144">
        <v>42044</v>
      </c>
      <c r="AH78" s="129"/>
    </row>
    <row r="79" spans="1:34" x14ac:dyDescent="0.2">
      <c r="A79" s="127" t="s">
        <v>23</v>
      </c>
      <c r="B79" s="128">
        <v>42012.376701388886</v>
      </c>
      <c r="C79" s="127" t="s">
        <v>272</v>
      </c>
      <c r="D79" s="127" t="s">
        <v>271</v>
      </c>
      <c r="E79" s="127" t="s">
        <v>21</v>
      </c>
      <c r="F79" s="129">
        <v>0.58250000000000002</v>
      </c>
      <c r="G79" s="129">
        <v>0.58799999999999997</v>
      </c>
      <c r="H79" s="129">
        <v>31</v>
      </c>
      <c r="I79" s="129">
        <v>117.6</v>
      </c>
      <c r="J79" s="129" t="b">
        <v>0</v>
      </c>
      <c r="K79" s="129" t="b">
        <v>0</v>
      </c>
      <c r="L79" s="129">
        <v>200</v>
      </c>
      <c r="M79" s="129">
        <v>0</v>
      </c>
      <c r="N79" s="129">
        <v>3.79</v>
      </c>
      <c r="O79" s="129">
        <v>0</v>
      </c>
      <c r="P79" s="129">
        <v>0</v>
      </c>
      <c r="Q79" s="129">
        <v>117.6</v>
      </c>
      <c r="R79" s="127" t="s">
        <v>271</v>
      </c>
      <c r="S79" s="129">
        <v>117.6</v>
      </c>
      <c r="T79" s="129">
        <v>48.46</v>
      </c>
      <c r="U79" s="129">
        <v>0</v>
      </c>
      <c r="V79" s="129" t="b">
        <v>0</v>
      </c>
      <c r="W79" s="129">
        <v>101445911</v>
      </c>
      <c r="X79" s="129">
        <v>0</v>
      </c>
      <c r="Y79" s="129">
        <v>0</v>
      </c>
      <c r="Z79" s="127" t="s">
        <v>255</v>
      </c>
      <c r="AA79" s="129">
        <v>0</v>
      </c>
      <c r="AB79" s="129" t="b">
        <v>0</v>
      </c>
      <c r="AC79" s="127" t="s">
        <v>142</v>
      </c>
      <c r="AD79" s="127" t="s">
        <v>142</v>
      </c>
      <c r="AE79" s="127" t="s">
        <v>142</v>
      </c>
      <c r="AF79" s="129">
        <v>5.4999999999999997E-3</v>
      </c>
      <c r="AG79" s="144">
        <v>42016</v>
      </c>
      <c r="AH79" s="129"/>
    </row>
    <row r="80" spans="1:34" x14ac:dyDescent="0.2">
      <c r="A80" s="127" t="s">
        <v>23</v>
      </c>
      <c r="B80" s="128">
        <v>41981.390173611115</v>
      </c>
      <c r="C80" s="127" t="s">
        <v>272</v>
      </c>
      <c r="D80" s="127" t="s">
        <v>271</v>
      </c>
      <c r="E80" s="127" t="s">
        <v>21</v>
      </c>
      <c r="F80" s="129">
        <v>0.65210000000000001</v>
      </c>
      <c r="G80" s="129">
        <v>0.58250000000000002</v>
      </c>
      <c r="H80" s="129">
        <v>32</v>
      </c>
      <c r="I80" s="129">
        <v>116.5</v>
      </c>
      <c r="J80" s="129" t="b">
        <v>0</v>
      </c>
      <c r="K80" s="129" t="b">
        <v>0</v>
      </c>
      <c r="L80" s="129">
        <v>200</v>
      </c>
      <c r="M80" s="129">
        <v>0</v>
      </c>
      <c r="N80" s="129">
        <v>3.64</v>
      </c>
      <c r="O80" s="129">
        <v>0</v>
      </c>
      <c r="P80" s="129">
        <v>0</v>
      </c>
      <c r="Q80" s="129">
        <v>116.5</v>
      </c>
      <c r="R80" s="127" t="s">
        <v>271</v>
      </c>
      <c r="S80" s="129">
        <v>116.5</v>
      </c>
      <c r="T80" s="129">
        <v>52.08</v>
      </c>
      <c r="U80" s="129">
        <v>0</v>
      </c>
      <c r="V80" s="129" t="b">
        <v>0</v>
      </c>
      <c r="W80" s="129">
        <v>101364019</v>
      </c>
      <c r="X80" s="129">
        <v>0</v>
      </c>
      <c r="Y80" s="129">
        <v>0</v>
      </c>
      <c r="Z80" s="127" t="s">
        <v>255</v>
      </c>
      <c r="AA80" s="129">
        <v>0</v>
      </c>
      <c r="AB80" s="129" t="b">
        <v>0</v>
      </c>
      <c r="AC80" s="127" t="s">
        <v>142</v>
      </c>
      <c r="AD80" s="127" t="s">
        <v>142</v>
      </c>
      <c r="AE80" s="127" t="s">
        <v>142</v>
      </c>
      <c r="AF80" s="129">
        <v>99.930400000000006</v>
      </c>
      <c r="AG80" s="144">
        <v>41982</v>
      </c>
      <c r="AH80" s="129"/>
    </row>
    <row r="81" spans="1:34" x14ac:dyDescent="0.2">
      <c r="A81" s="127" t="s">
        <v>23</v>
      </c>
      <c r="B81" s="128">
        <v>41949.348877314813</v>
      </c>
      <c r="C81" s="127" t="s">
        <v>272</v>
      </c>
      <c r="D81" s="127" t="s">
        <v>271</v>
      </c>
      <c r="E81" s="127" t="s">
        <v>21</v>
      </c>
      <c r="F81" s="129">
        <v>0.77900000000000003</v>
      </c>
      <c r="G81" s="129">
        <v>0.65210000000000001</v>
      </c>
      <c r="H81" s="129">
        <v>29</v>
      </c>
      <c r="I81" s="129">
        <v>130.41999999999999</v>
      </c>
      <c r="J81" s="129" t="b">
        <v>0</v>
      </c>
      <c r="K81" s="129" t="b">
        <v>0</v>
      </c>
      <c r="L81" s="129">
        <v>200</v>
      </c>
      <c r="M81" s="129">
        <v>0</v>
      </c>
      <c r="N81" s="129">
        <v>4.5</v>
      </c>
      <c r="O81" s="129">
        <v>0</v>
      </c>
      <c r="P81" s="129">
        <v>0</v>
      </c>
      <c r="Q81" s="129">
        <v>130.41999999999999</v>
      </c>
      <c r="R81" s="127" t="s">
        <v>271</v>
      </c>
      <c r="S81" s="129">
        <v>130.41999999999999</v>
      </c>
      <c r="T81" s="129">
        <v>37.24</v>
      </c>
      <c r="U81" s="129">
        <v>0</v>
      </c>
      <c r="V81" s="129" t="b">
        <v>0</v>
      </c>
      <c r="W81" s="129">
        <v>101281612</v>
      </c>
      <c r="X81" s="129">
        <v>0</v>
      </c>
      <c r="Y81" s="129">
        <v>0</v>
      </c>
      <c r="Z81" s="127" t="s">
        <v>255</v>
      </c>
      <c r="AA81" s="129">
        <v>0</v>
      </c>
      <c r="AB81" s="129" t="b">
        <v>0</v>
      </c>
      <c r="AC81" s="127" t="s">
        <v>142</v>
      </c>
      <c r="AD81" s="127" t="s">
        <v>142</v>
      </c>
      <c r="AE81" s="127" t="s">
        <v>142</v>
      </c>
      <c r="AF81" s="129">
        <v>99.873099999999994</v>
      </c>
      <c r="AG81" s="144">
        <v>41953</v>
      </c>
      <c r="AH81" s="129"/>
    </row>
    <row r="82" spans="1:34" x14ac:dyDescent="0.2">
      <c r="A82" s="127" t="s">
        <v>23</v>
      </c>
      <c r="B82" s="128">
        <v>41920.479351851849</v>
      </c>
      <c r="C82" s="127" t="s">
        <v>272</v>
      </c>
      <c r="D82" s="127" t="s">
        <v>271</v>
      </c>
      <c r="E82" s="127" t="s">
        <v>21</v>
      </c>
      <c r="F82" s="129">
        <v>0.879</v>
      </c>
      <c r="G82" s="129">
        <v>0.77900000000000003</v>
      </c>
      <c r="H82" s="129">
        <v>30</v>
      </c>
      <c r="I82" s="129">
        <v>155.80000000000001</v>
      </c>
      <c r="J82" s="129" t="b">
        <v>0</v>
      </c>
      <c r="K82" s="129" t="b">
        <v>0</v>
      </c>
      <c r="L82" s="129">
        <v>200</v>
      </c>
      <c r="M82" s="129">
        <v>0</v>
      </c>
      <c r="N82" s="129">
        <v>5.19</v>
      </c>
      <c r="O82" s="129">
        <v>0</v>
      </c>
      <c r="P82" s="129">
        <v>0</v>
      </c>
      <c r="Q82" s="129">
        <v>155.80000000000001</v>
      </c>
      <c r="R82" s="127" t="s">
        <v>271</v>
      </c>
      <c r="S82" s="129">
        <v>155.80000000000001</v>
      </c>
      <c r="T82" s="129">
        <v>33.700000000000003</v>
      </c>
      <c r="U82" s="129">
        <v>0</v>
      </c>
      <c r="V82" s="129" t="b">
        <v>0</v>
      </c>
      <c r="W82" s="129">
        <v>101204790</v>
      </c>
      <c r="X82" s="129">
        <v>0</v>
      </c>
      <c r="Y82" s="129">
        <v>0</v>
      </c>
      <c r="Z82" s="127" t="s">
        <v>255</v>
      </c>
      <c r="AA82" s="129">
        <v>0</v>
      </c>
      <c r="AB82" s="129" t="b">
        <v>0</v>
      </c>
      <c r="AC82" s="127" t="s">
        <v>142</v>
      </c>
      <c r="AD82" s="127" t="s">
        <v>142</v>
      </c>
      <c r="AE82" s="127" t="s">
        <v>142</v>
      </c>
      <c r="AF82" s="129">
        <v>99.9</v>
      </c>
      <c r="AG82" s="144">
        <v>41922</v>
      </c>
      <c r="AH82" s="129"/>
    </row>
    <row r="83" spans="1:34" x14ac:dyDescent="0.2">
      <c r="A83" s="127" t="s">
        <v>23</v>
      </c>
      <c r="B83" s="128">
        <v>41890.571817129632</v>
      </c>
      <c r="C83" s="127" t="s">
        <v>272</v>
      </c>
      <c r="D83" s="127" t="s">
        <v>271</v>
      </c>
      <c r="E83" s="127" t="s">
        <v>21</v>
      </c>
      <c r="F83" s="129">
        <v>0.84709999999999996</v>
      </c>
      <c r="G83" s="129">
        <v>0.879</v>
      </c>
      <c r="H83" s="129">
        <v>33</v>
      </c>
      <c r="I83" s="129">
        <v>175.8</v>
      </c>
      <c r="J83" s="129" t="b">
        <v>0</v>
      </c>
      <c r="K83" s="129" t="b">
        <v>0</v>
      </c>
      <c r="L83" s="129">
        <v>200</v>
      </c>
      <c r="M83" s="129">
        <v>0</v>
      </c>
      <c r="N83" s="129">
        <v>5.33</v>
      </c>
      <c r="O83" s="129">
        <v>0</v>
      </c>
      <c r="P83" s="129">
        <v>0</v>
      </c>
      <c r="Q83" s="129">
        <v>175.8</v>
      </c>
      <c r="R83" s="127" t="s">
        <v>271</v>
      </c>
      <c r="S83" s="129">
        <v>175.8</v>
      </c>
      <c r="T83" s="129">
        <v>35.19</v>
      </c>
      <c r="U83" s="129">
        <v>0</v>
      </c>
      <c r="V83" s="129" t="b">
        <v>0</v>
      </c>
      <c r="W83" s="129">
        <v>101124892</v>
      </c>
      <c r="X83" s="129">
        <v>0</v>
      </c>
      <c r="Y83" s="129">
        <v>0</v>
      </c>
      <c r="Z83" s="127" t="s">
        <v>255</v>
      </c>
      <c r="AA83" s="129">
        <v>0</v>
      </c>
      <c r="AB83" s="129" t="b">
        <v>0</v>
      </c>
      <c r="AC83" s="127" t="s">
        <v>142</v>
      </c>
      <c r="AD83" s="127" t="s">
        <v>142</v>
      </c>
      <c r="AE83" s="127" t="s">
        <v>142</v>
      </c>
      <c r="AF83" s="129">
        <v>3.1899999999999998E-2</v>
      </c>
      <c r="AG83" s="144">
        <v>41892</v>
      </c>
      <c r="AH83" s="129"/>
    </row>
    <row r="84" spans="1:34" x14ac:dyDescent="0.2">
      <c r="A84" s="127" t="s">
        <v>23</v>
      </c>
      <c r="B84" s="128">
        <v>41857.470046296294</v>
      </c>
      <c r="C84" s="127" t="s">
        <v>272</v>
      </c>
      <c r="D84" s="127" t="s">
        <v>271</v>
      </c>
      <c r="E84" s="127" t="s">
        <v>21</v>
      </c>
      <c r="F84" s="129">
        <v>0.85729999999999995</v>
      </c>
      <c r="G84" s="129">
        <v>0.84709999999999996</v>
      </c>
      <c r="H84" s="129">
        <v>28</v>
      </c>
      <c r="I84" s="129">
        <v>169.41990000000001</v>
      </c>
      <c r="J84" s="129" t="b">
        <v>0</v>
      </c>
      <c r="K84" s="129" t="b">
        <v>0</v>
      </c>
      <c r="L84" s="129">
        <v>200</v>
      </c>
      <c r="M84" s="129">
        <v>0</v>
      </c>
      <c r="N84" s="129">
        <v>6.05</v>
      </c>
      <c r="O84" s="129">
        <v>0</v>
      </c>
      <c r="P84" s="129">
        <v>0</v>
      </c>
      <c r="Q84" s="129">
        <v>169.42</v>
      </c>
      <c r="R84" s="127" t="s">
        <v>271</v>
      </c>
      <c r="S84" s="129">
        <v>169.41990000000001</v>
      </c>
      <c r="T84" s="129">
        <v>37.07</v>
      </c>
      <c r="U84" s="129">
        <v>0</v>
      </c>
      <c r="V84" s="129" t="b">
        <v>0</v>
      </c>
      <c r="W84" s="129">
        <v>101043797</v>
      </c>
      <c r="X84" s="129">
        <v>0</v>
      </c>
      <c r="Y84" s="129">
        <v>0</v>
      </c>
      <c r="Z84" s="127" t="s">
        <v>255</v>
      </c>
      <c r="AA84" s="129">
        <v>0</v>
      </c>
      <c r="AB84" s="129" t="b">
        <v>0</v>
      </c>
      <c r="AC84" s="127" t="s">
        <v>142</v>
      </c>
      <c r="AD84" s="127" t="s">
        <v>142</v>
      </c>
      <c r="AE84" s="127" t="s">
        <v>142</v>
      </c>
      <c r="AF84" s="129">
        <v>99.989800000000002</v>
      </c>
      <c r="AG84" s="144">
        <v>41862</v>
      </c>
      <c r="AH84" s="129"/>
    </row>
    <row r="85" spans="1:34" x14ac:dyDescent="0.2">
      <c r="A85" s="127" t="s">
        <v>23</v>
      </c>
      <c r="B85" s="128">
        <v>41829.407106481478</v>
      </c>
      <c r="C85" s="127" t="s">
        <v>272</v>
      </c>
      <c r="D85" s="127" t="s">
        <v>271</v>
      </c>
      <c r="E85" s="127" t="s">
        <v>21</v>
      </c>
      <c r="F85" s="129">
        <v>0.76539999999999997</v>
      </c>
      <c r="G85" s="129">
        <v>0.85729999999999995</v>
      </c>
      <c r="H85" s="129">
        <v>34</v>
      </c>
      <c r="I85" s="129">
        <v>171.4599</v>
      </c>
      <c r="J85" s="129" t="b">
        <v>0</v>
      </c>
      <c r="K85" s="129" t="b">
        <v>0</v>
      </c>
      <c r="L85" s="129">
        <v>200</v>
      </c>
      <c r="M85" s="129">
        <v>0</v>
      </c>
      <c r="N85" s="129">
        <v>5.04</v>
      </c>
      <c r="O85" s="129">
        <v>0</v>
      </c>
      <c r="P85" s="129">
        <v>0</v>
      </c>
      <c r="Q85" s="129">
        <v>171.46</v>
      </c>
      <c r="R85" s="127" t="s">
        <v>271</v>
      </c>
      <c r="S85" s="129">
        <v>171.4599</v>
      </c>
      <c r="T85" s="129">
        <v>35.020000000000003</v>
      </c>
      <c r="U85" s="129">
        <v>0</v>
      </c>
      <c r="V85" s="129" t="b">
        <v>0</v>
      </c>
      <c r="W85" s="129">
        <v>100965133</v>
      </c>
      <c r="X85" s="129">
        <v>0</v>
      </c>
      <c r="Y85" s="129">
        <v>0</v>
      </c>
      <c r="Z85" s="127" t="s">
        <v>255</v>
      </c>
      <c r="AA85" s="129">
        <v>0</v>
      </c>
      <c r="AB85" s="129" t="b">
        <v>0</v>
      </c>
      <c r="AC85" s="127" t="s">
        <v>142</v>
      </c>
      <c r="AD85" s="127" t="s">
        <v>142</v>
      </c>
      <c r="AE85" s="127" t="s">
        <v>142</v>
      </c>
      <c r="AF85" s="129">
        <v>9.1899999999999996E-2</v>
      </c>
      <c r="AG85" s="144">
        <v>41831</v>
      </c>
      <c r="AH85" s="129"/>
    </row>
    <row r="86" spans="1:34" x14ac:dyDescent="0.2">
      <c r="A86" s="127" t="s">
        <v>23</v>
      </c>
      <c r="B86" s="128">
        <v>41795.518414351849</v>
      </c>
      <c r="C86" s="127" t="s">
        <v>272</v>
      </c>
      <c r="D86" s="127" t="s">
        <v>271</v>
      </c>
      <c r="E86" s="127" t="s">
        <v>21</v>
      </c>
      <c r="F86" s="129">
        <v>0.59489999999999998</v>
      </c>
      <c r="G86" s="129">
        <v>0.76539999999999997</v>
      </c>
      <c r="H86" s="129">
        <v>30</v>
      </c>
      <c r="I86" s="129">
        <v>153.07990000000001</v>
      </c>
      <c r="J86" s="129" t="b">
        <v>0</v>
      </c>
      <c r="K86" s="129" t="b">
        <v>0</v>
      </c>
      <c r="L86" s="129">
        <v>200</v>
      </c>
      <c r="M86" s="129">
        <v>0</v>
      </c>
      <c r="N86" s="129">
        <v>5.0999999999999996</v>
      </c>
      <c r="O86" s="129">
        <v>0</v>
      </c>
      <c r="P86" s="129">
        <v>0</v>
      </c>
      <c r="Q86" s="129">
        <v>153.08000000000001</v>
      </c>
      <c r="R86" s="127" t="s">
        <v>271</v>
      </c>
      <c r="S86" s="129">
        <v>153.07990000000001</v>
      </c>
      <c r="T86" s="129">
        <v>36.11</v>
      </c>
      <c r="U86" s="129">
        <v>0</v>
      </c>
      <c r="V86" s="129" t="b">
        <v>0</v>
      </c>
      <c r="W86" s="129">
        <v>100879441</v>
      </c>
      <c r="X86" s="129">
        <v>0</v>
      </c>
      <c r="Y86" s="129">
        <v>0</v>
      </c>
      <c r="Z86" s="127" t="s">
        <v>255</v>
      </c>
      <c r="AA86" s="129">
        <v>0</v>
      </c>
      <c r="AB86" s="129" t="b">
        <v>0</v>
      </c>
      <c r="AC86" s="127" t="s">
        <v>142</v>
      </c>
      <c r="AD86" s="127" t="s">
        <v>142</v>
      </c>
      <c r="AE86" s="127" t="s">
        <v>142</v>
      </c>
      <c r="AF86" s="129">
        <v>0.17050000000000001</v>
      </c>
      <c r="AG86" s="144">
        <v>41800</v>
      </c>
      <c r="AH86" s="129"/>
    </row>
    <row r="87" spans="1:34" x14ac:dyDescent="0.2">
      <c r="A87" s="127" t="s">
        <v>23</v>
      </c>
      <c r="B87" s="128">
        <v>41765.537129629629</v>
      </c>
      <c r="C87" s="127" t="s">
        <v>272</v>
      </c>
      <c r="D87" s="127" t="s">
        <v>271</v>
      </c>
      <c r="E87" s="127" t="s">
        <v>21</v>
      </c>
      <c r="F87" s="129">
        <v>0.5423</v>
      </c>
      <c r="G87" s="129">
        <v>0.59489999999999998</v>
      </c>
      <c r="H87" s="129">
        <v>28</v>
      </c>
      <c r="I87" s="129">
        <v>118.98</v>
      </c>
      <c r="J87" s="129" t="b">
        <v>0</v>
      </c>
      <c r="K87" s="129" t="b">
        <v>0</v>
      </c>
      <c r="L87" s="129">
        <v>200</v>
      </c>
      <c r="M87" s="129">
        <v>0</v>
      </c>
      <c r="N87" s="129">
        <v>4.25</v>
      </c>
      <c r="O87" s="129">
        <v>0</v>
      </c>
      <c r="P87" s="129">
        <v>0</v>
      </c>
      <c r="Q87" s="129">
        <v>118.98</v>
      </c>
      <c r="R87" s="127" t="s">
        <v>271</v>
      </c>
      <c r="S87" s="129">
        <v>118.98</v>
      </c>
      <c r="T87" s="129">
        <v>41.52</v>
      </c>
      <c r="U87" s="129">
        <v>0</v>
      </c>
      <c r="V87" s="129" t="b">
        <v>0</v>
      </c>
      <c r="W87" s="129">
        <v>100796965</v>
      </c>
      <c r="X87" s="129">
        <v>0</v>
      </c>
      <c r="Y87" s="129">
        <v>0</v>
      </c>
      <c r="Z87" s="127" t="s">
        <v>255</v>
      </c>
      <c r="AA87" s="129">
        <v>0</v>
      </c>
      <c r="AB87" s="129" t="b">
        <v>0</v>
      </c>
      <c r="AC87" s="127" t="s">
        <v>142</v>
      </c>
      <c r="AD87" s="127" t="s">
        <v>142</v>
      </c>
      <c r="AE87" s="127" t="s">
        <v>142</v>
      </c>
      <c r="AF87" s="129">
        <v>5.2600000000000001E-2</v>
      </c>
      <c r="AG87" s="144">
        <v>41768</v>
      </c>
      <c r="AH87" s="129"/>
    </row>
    <row r="88" spans="1:34" x14ac:dyDescent="0.2">
      <c r="A88" s="127" t="s">
        <v>23</v>
      </c>
      <c r="B88" s="128">
        <v>41737.369641203702</v>
      </c>
      <c r="C88" s="127" t="s">
        <v>272</v>
      </c>
      <c r="D88" s="127" t="s">
        <v>271</v>
      </c>
      <c r="E88" s="127" t="s">
        <v>21</v>
      </c>
      <c r="F88" s="129">
        <v>0.5585</v>
      </c>
      <c r="G88" s="129">
        <v>0.5423</v>
      </c>
      <c r="H88" s="129">
        <v>29</v>
      </c>
      <c r="I88" s="129">
        <v>108.46</v>
      </c>
      <c r="J88" s="129" t="b">
        <v>0</v>
      </c>
      <c r="K88" s="129" t="b">
        <v>0</v>
      </c>
      <c r="L88" s="129">
        <v>200</v>
      </c>
      <c r="M88" s="129">
        <v>0</v>
      </c>
      <c r="N88" s="129">
        <v>3.74</v>
      </c>
      <c r="O88" s="129">
        <v>0</v>
      </c>
      <c r="P88" s="129">
        <v>0</v>
      </c>
      <c r="Q88" s="129">
        <v>108.46</v>
      </c>
      <c r="R88" s="127" t="s">
        <v>271</v>
      </c>
      <c r="S88" s="129">
        <v>108.46</v>
      </c>
      <c r="T88" s="129">
        <v>47.69</v>
      </c>
      <c r="U88" s="129">
        <v>0</v>
      </c>
      <c r="V88" s="129" t="b">
        <v>0</v>
      </c>
      <c r="W88" s="129">
        <v>100712481</v>
      </c>
      <c r="X88" s="129">
        <v>0</v>
      </c>
      <c r="Y88" s="129">
        <v>0</v>
      </c>
      <c r="Z88" s="129"/>
      <c r="AA88" s="129">
        <v>0</v>
      </c>
      <c r="AB88" s="129" t="b">
        <v>0</v>
      </c>
      <c r="AC88" s="127" t="s">
        <v>142</v>
      </c>
      <c r="AD88" s="127" t="s">
        <v>142</v>
      </c>
      <c r="AE88" s="127" t="s">
        <v>142</v>
      </c>
      <c r="AF88" s="129">
        <v>99.983800000000002</v>
      </c>
      <c r="AG88" s="144">
        <v>41738</v>
      </c>
      <c r="AH88" s="129"/>
    </row>
    <row r="89" spans="1:34" x14ac:dyDescent="0.2">
      <c r="A89" s="127" t="s">
        <v>23</v>
      </c>
      <c r="B89" s="128">
        <v>41708.410902777781</v>
      </c>
      <c r="C89" s="127" t="s">
        <v>272</v>
      </c>
      <c r="D89" s="127" t="s">
        <v>271</v>
      </c>
      <c r="E89" s="127" t="s">
        <v>21</v>
      </c>
      <c r="F89" s="129">
        <v>0.63009999999999999</v>
      </c>
      <c r="G89" s="129">
        <v>0.5585</v>
      </c>
      <c r="H89" s="129">
        <v>33</v>
      </c>
      <c r="I89" s="129">
        <v>111.7</v>
      </c>
      <c r="J89" s="129" t="b">
        <v>0</v>
      </c>
      <c r="K89" s="129" t="b">
        <v>0</v>
      </c>
      <c r="L89" s="129">
        <v>200</v>
      </c>
      <c r="M89" s="129">
        <v>0</v>
      </c>
      <c r="N89" s="129">
        <v>3.38</v>
      </c>
      <c r="O89" s="129">
        <v>0</v>
      </c>
      <c r="P89" s="129">
        <v>0</v>
      </c>
      <c r="Q89" s="129">
        <v>111.7</v>
      </c>
      <c r="R89" s="127" t="s">
        <v>271</v>
      </c>
      <c r="S89" s="129">
        <v>111.7</v>
      </c>
      <c r="T89" s="129">
        <v>40.020000000000003</v>
      </c>
      <c r="U89" s="129">
        <v>0</v>
      </c>
      <c r="V89" s="129" t="b">
        <v>0</v>
      </c>
      <c r="W89" s="129">
        <v>100629330</v>
      </c>
      <c r="X89" s="129">
        <v>0</v>
      </c>
      <c r="Y89" s="129">
        <v>0</v>
      </c>
      <c r="Z89" s="127" t="s">
        <v>255</v>
      </c>
      <c r="AA89" s="129">
        <v>0</v>
      </c>
      <c r="AB89" s="129" t="b">
        <v>0</v>
      </c>
      <c r="AC89" s="127" t="s">
        <v>142</v>
      </c>
      <c r="AD89" s="127" t="s">
        <v>142</v>
      </c>
      <c r="AE89" s="127" t="s">
        <v>142</v>
      </c>
      <c r="AF89" s="129">
        <v>99.928399999999996</v>
      </c>
      <c r="AG89" s="144">
        <v>41710</v>
      </c>
      <c r="AH89" s="129"/>
    </row>
    <row r="90" spans="1:34" x14ac:dyDescent="0.2">
      <c r="A90" s="127" t="s">
        <v>23</v>
      </c>
      <c r="B90" s="128">
        <v>41675.649976851855</v>
      </c>
      <c r="C90" s="127" t="s">
        <v>272</v>
      </c>
      <c r="D90" s="127" t="s">
        <v>271</v>
      </c>
      <c r="E90" s="127" t="s">
        <v>21</v>
      </c>
      <c r="F90" s="129">
        <v>0.52810000000000001</v>
      </c>
      <c r="G90" s="129">
        <v>0.63009999999999999</v>
      </c>
      <c r="H90" s="129">
        <v>29</v>
      </c>
      <c r="I90" s="129">
        <v>126.02</v>
      </c>
      <c r="J90" s="129" t="b">
        <v>0</v>
      </c>
      <c r="K90" s="129" t="b">
        <v>0</v>
      </c>
      <c r="L90" s="129">
        <v>200</v>
      </c>
      <c r="M90" s="129">
        <v>0</v>
      </c>
      <c r="N90" s="129">
        <v>4.3499999999999996</v>
      </c>
      <c r="O90" s="129">
        <v>0</v>
      </c>
      <c r="P90" s="129">
        <v>0</v>
      </c>
      <c r="Q90" s="129">
        <v>126.02</v>
      </c>
      <c r="R90" s="127" t="s">
        <v>271</v>
      </c>
      <c r="S90" s="129">
        <v>126.02</v>
      </c>
      <c r="T90" s="129">
        <v>44.92</v>
      </c>
      <c r="U90" s="129">
        <v>0</v>
      </c>
      <c r="V90" s="129" t="b">
        <v>0</v>
      </c>
      <c r="W90" s="129">
        <v>100545586</v>
      </c>
      <c r="X90" s="129">
        <v>0</v>
      </c>
      <c r="Y90" s="129">
        <v>0</v>
      </c>
      <c r="Z90" s="127" t="s">
        <v>273</v>
      </c>
      <c r="AA90" s="129">
        <v>0</v>
      </c>
      <c r="AB90" s="129" t="b">
        <v>0</v>
      </c>
      <c r="AC90" s="127" t="s">
        <v>142</v>
      </c>
      <c r="AD90" s="127" t="s">
        <v>142</v>
      </c>
      <c r="AE90" s="127" t="s">
        <v>142</v>
      </c>
      <c r="AF90" s="129">
        <v>0.10199999999999999</v>
      </c>
      <c r="AG90" s="144">
        <v>41680</v>
      </c>
      <c r="AH90" s="129"/>
    </row>
    <row r="91" spans="1:34" x14ac:dyDescent="0.2">
      <c r="A91" s="127" t="s">
        <v>23</v>
      </c>
      <c r="B91" s="128">
        <v>41646.739212962966</v>
      </c>
      <c r="C91" s="127" t="s">
        <v>272</v>
      </c>
      <c r="D91" s="127" t="s">
        <v>271</v>
      </c>
      <c r="E91" s="127" t="s">
        <v>21</v>
      </c>
      <c r="F91" s="129">
        <v>0.4919</v>
      </c>
      <c r="G91" s="129">
        <v>0.52810000000000001</v>
      </c>
      <c r="H91" s="129">
        <v>32</v>
      </c>
      <c r="I91" s="129">
        <v>105.62</v>
      </c>
      <c r="J91" s="129" t="b">
        <v>0</v>
      </c>
      <c r="K91" s="129" t="b">
        <v>0</v>
      </c>
      <c r="L91" s="129">
        <v>200</v>
      </c>
      <c r="M91" s="129">
        <v>0</v>
      </c>
      <c r="N91" s="129">
        <v>3.3</v>
      </c>
      <c r="O91" s="129">
        <v>0</v>
      </c>
      <c r="P91" s="129">
        <v>0</v>
      </c>
      <c r="Q91" s="129">
        <v>105.62</v>
      </c>
      <c r="R91" s="127" t="s">
        <v>271</v>
      </c>
      <c r="S91" s="129">
        <v>105.62</v>
      </c>
      <c r="T91" s="129">
        <v>45.61</v>
      </c>
      <c r="U91" s="129">
        <v>0</v>
      </c>
      <c r="V91" s="129" t="b">
        <v>0</v>
      </c>
      <c r="W91" s="129">
        <v>100462992</v>
      </c>
      <c r="X91" s="129">
        <v>0</v>
      </c>
      <c r="Y91" s="129">
        <v>0</v>
      </c>
      <c r="Z91" s="127" t="s">
        <v>273</v>
      </c>
      <c r="AA91" s="129">
        <v>0</v>
      </c>
      <c r="AB91" s="129" t="b">
        <v>0</v>
      </c>
      <c r="AC91" s="127" t="s">
        <v>142</v>
      </c>
      <c r="AD91" s="127" t="s">
        <v>142</v>
      </c>
      <c r="AE91" s="127" t="s">
        <v>142</v>
      </c>
      <c r="AF91" s="129">
        <v>3.6200000000000003E-2</v>
      </c>
      <c r="AG91" s="144">
        <v>41652</v>
      </c>
      <c r="AH91" s="129"/>
    </row>
    <row r="92" spans="1:34" x14ac:dyDescent="0.2">
      <c r="A92" s="127" t="s">
        <v>23</v>
      </c>
      <c r="B92" s="128">
        <v>41614.539849537039</v>
      </c>
      <c r="C92" s="127" t="s">
        <v>272</v>
      </c>
      <c r="D92" s="127" t="s">
        <v>271</v>
      </c>
      <c r="E92" s="127" t="s">
        <v>21</v>
      </c>
      <c r="F92" s="129">
        <v>0.7016</v>
      </c>
      <c r="G92" s="129">
        <v>0.4919</v>
      </c>
      <c r="H92" s="129">
        <v>31</v>
      </c>
      <c r="I92" s="129">
        <v>98.38</v>
      </c>
      <c r="J92" s="129" t="b">
        <v>0</v>
      </c>
      <c r="K92" s="129" t="b">
        <v>0</v>
      </c>
      <c r="L92" s="129">
        <v>200</v>
      </c>
      <c r="M92" s="129">
        <v>0</v>
      </c>
      <c r="N92" s="129">
        <v>3.17</v>
      </c>
      <c r="O92" s="129">
        <v>0</v>
      </c>
      <c r="P92" s="129">
        <v>0</v>
      </c>
      <c r="Q92" s="129">
        <v>98.38</v>
      </c>
      <c r="R92" s="127" t="s">
        <v>271</v>
      </c>
      <c r="S92" s="129">
        <v>98.38</v>
      </c>
      <c r="T92" s="129">
        <v>45.09</v>
      </c>
      <c r="U92" s="129">
        <v>0</v>
      </c>
      <c r="V92" s="129" t="b">
        <v>0</v>
      </c>
      <c r="W92" s="129">
        <v>100381879</v>
      </c>
      <c r="X92" s="129">
        <v>0</v>
      </c>
      <c r="Y92" s="129">
        <v>0</v>
      </c>
      <c r="Z92" s="127" t="s">
        <v>255</v>
      </c>
      <c r="AA92" s="129">
        <v>0</v>
      </c>
      <c r="AB92" s="129" t="b">
        <v>0</v>
      </c>
      <c r="AC92" s="127" t="s">
        <v>142</v>
      </c>
      <c r="AD92" s="127" t="s">
        <v>142</v>
      </c>
      <c r="AE92" s="127" t="s">
        <v>142</v>
      </c>
      <c r="AF92" s="129">
        <v>99.790300000000002</v>
      </c>
      <c r="AG92" s="144">
        <v>41618</v>
      </c>
      <c r="AH92" s="129"/>
    </row>
    <row r="93" spans="1:34" x14ac:dyDescent="0.2">
      <c r="A93" s="127" t="s">
        <v>23</v>
      </c>
      <c r="B93" s="128">
        <v>41583</v>
      </c>
      <c r="C93" s="127" t="s">
        <v>272</v>
      </c>
      <c r="D93" s="127" t="s">
        <v>271</v>
      </c>
      <c r="E93" s="127" t="s">
        <v>21</v>
      </c>
      <c r="F93" s="129">
        <v>0.75239999999999996</v>
      </c>
      <c r="G93" s="129">
        <v>0.7016</v>
      </c>
      <c r="H93" s="129">
        <v>32</v>
      </c>
      <c r="I93" s="129">
        <v>140.32</v>
      </c>
      <c r="J93" s="129" t="b">
        <v>0</v>
      </c>
      <c r="K93" s="129" t="b">
        <v>0</v>
      </c>
      <c r="L93" s="129">
        <v>200</v>
      </c>
      <c r="M93" s="129">
        <v>0</v>
      </c>
      <c r="N93" s="129">
        <v>4.3899999999999997</v>
      </c>
      <c r="O93" s="129">
        <v>0</v>
      </c>
      <c r="P93" s="129">
        <v>0</v>
      </c>
      <c r="Q93" s="129">
        <v>140.32</v>
      </c>
      <c r="R93" s="127" t="s">
        <v>271</v>
      </c>
      <c r="S93" s="129">
        <v>140.32</v>
      </c>
      <c r="T93" s="129">
        <v>32.659999999999997</v>
      </c>
      <c r="U93" s="129">
        <v>0</v>
      </c>
      <c r="V93" s="129" t="b">
        <v>0</v>
      </c>
      <c r="W93" s="129">
        <v>100327578</v>
      </c>
      <c r="X93" s="129">
        <v>0</v>
      </c>
      <c r="Y93" s="129">
        <v>0</v>
      </c>
      <c r="Z93" s="129"/>
      <c r="AA93" s="129">
        <v>0</v>
      </c>
      <c r="AB93" s="129" t="b">
        <v>0</v>
      </c>
      <c r="AC93" s="127" t="s">
        <v>142</v>
      </c>
      <c r="AD93" s="127" t="s">
        <v>142</v>
      </c>
      <c r="AE93" s="127" t="s">
        <v>142</v>
      </c>
      <c r="AF93" s="129">
        <v>99.949200000000005</v>
      </c>
      <c r="AG93" s="144">
        <v>41598</v>
      </c>
      <c r="AH93" s="129"/>
    </row>
    <row r="94" spans="1:34" x14ac:dyDescent="0.2">
      <c r="A94" s="127" t="s">
        <v>23</v>
      </c>
      <c r="B94" s="128">
        <v>41551.46166666667</v>
      </c>
      <c r="C94" s="127" t="s">
        <v>272</v>
      </c>
      <c r="D94" s="127" t="s">
        <v>271</v>
      </c>
      <c r="E94" s="127" t="s">
        <v>21</v>
      </c>
      <c r="F94" s="129">
        <v>0.86160000000000003</v>
      </c>
      <c r="G94" s="129">
        <v>0.75239999999999996</v>
      </c>
      <c r="H94" s="129">
        <v>28</v>
      </c>
      <c r="I94" s="129">
        <v>150.47999999999999</v>
      </c>
      <c r="J94" s="129" t="b">
        <v>0</v>
      </c>
      <c r="K94" s="129" t="b">
        <v>0</v>
      </c>
      <c r="L94" s="129">
        <v>200</v>
      </c>
      <c r="M94" s="129">
        <v>0</v>
      </c>
      <c r="N94" s="129">
        <v>5.37</v>
      </c>
      <c r="O94" s="129">
        <v>0</v>
      </c>
      <c r="P94" s="129">
        <v>0</v>
      </c>
      <c r="Q94" s="129">
        <v>150.47999999999999</v>
      </c>
      <c r="R94" s="127" t="s">
        <v>271</v>
      </c>
      <c r="S94" s="129">
        <v>150.47999999999999</v>
      </c>
      <c r="T94" s="129">
        <v>41.53</v>
      </c>
      <c r="U94" s="129">
        <v>0</v>
      </c>
      <c r="V94" s="129" t="b">
        <v>0</v>
      </c>
      <c r="W94" s="129">
        <v>100212844</v>
      </c>
      <c r="X94" s="129">
        <v>0</v>
      </c>
      <c r="Y94" s="129">
        <v>0</v>
      </c>
      <c r="Z94" s="127" t="s">
        <v>255</v>
      </c>
      <c r="AA94" s="129">
        <v>0</v>
      </c>
      <c r="AB94" s="129" t="b">
        <v>0</v>
      </c>
      <c r="AC94" s="127" t="s">
        <v>142</v>
      </c>
      <c r="AD94" s="127" t="s">
        <v>142</v>
      </c>
      <c r="AE94" s="127" t="s">
        <v>142</v>
      </c>
      <c r="AF94" s="129">
        <v>99.890799999999999</v>
      </c>
      <c r="AG94" s="144">
        <v>41557</v>
      </c>
      <c r="AH94" s="129"/>
    </row>
    <row r="95" spans="1:34" x14ac:dyDescent="0.2">
      <c r="A95" s="127" t="s">
        <v>23</v>
      </c>
      <c r="B95" s="128">
        <v>41523.515405092592</v>
      </c>
      <c r="C95" s="127" t="s">
        <v>272</v>
      </c>
      <c r="D95" s="127" t="s">
        <v>271</v>
      </c>
      <c r="E95" s="127" t="s">
        <v>21</v>
      </c>
      <c r="F95" s="129">
        <v>0.81689999999999996</v>
      </c>
      <c r="G95" s="129">
        <v>0.86160000000000003</v>
      </c>
      <c r="H95" s="129">
        <v>29</v>
      </c>
      <c r="I95" s="129">
        <v>172.32</v>
      </c>
      <c r="J95" s="129" t="b">
        <v>0</v>
      </c>
      <c r="K95" s="129" t="b">
        <v>0</v>
      </c>
      <c r="L95" s="129">
        <v>200</v>
      </c>
      <c r="M95" s="129">
        <v>0</v>
      </c>
      <c r="N95" s="129">
        <v>5.94</v>
      </c>
      <c r="O95" s="129">
        <v>0</v>
      </c>
      <c r="P95" s="129">
        <v>0</v>
      </c>
      <c r="Q95" s="129">
        <v>172.32</v>
      </c>
      <c r="R95" s="127" t="s">
        <v>271</v>
      </c>
      <c r="S95" s="129">
        <v>172.32</v>
      </c>
      <c r="T95" s="129">
        <v>37.020000000000003</v>
      </c>
      <c r="U95" s="129">
        <v>0</v>
      </c>
      <c r="V95" s="129" t="b">
        <v>0</v>
      </c>
      <c r="W95" s="129">
        <v>100121036</v>
      </c>
      <c r="X95" s="129">
        <v>0</v>
      </c>
      <c r="Y95" s="129">
        <v>0</v>
      </c>
      <c r="Z95" s="127" t="s">
        <v>255</v>
      </c>
      <c r="AA95" s="129">
        <v>0</v>
      </c>
      <c r="AB95" s="129" t="b">
        <v>0</v>
      </c>
      <c r="AC95" s="127" t="s">
        <v>142</v>
      </c>
      <c r="AD95" s="127" t="s">
        <v>142</v>
      </c>
      <c r="AE95" s="127" t="s">
        <v>142</v>
      </c>
      <c r="AF95" s="129">
        <v>4.4699999999999997E-2</v>
      </c>
      <c r="AG95" s="144">
        <v>41528</v>
      </c>
      <c r="AH95" s="129"/>
    </row>
    <row r="96" spans="1:34" x14ac:dyDescent="0.2">
      <c r="A96" s="127" t="s">
        <v>23</v>
      </c>
      <c r="B96" s="128">
        <v>41494.360497685186</v>
      </c>
      <c r="C96" s="127" t="s">
        <v>272</v>
      </c>
      <c r="D96" s="127" t="s">
        <v>271</v>
      </c>
      <c r="E96" s="127" t="s">
        <v>21</v>
      </c>
      <c r="F96" s="129">
        <v>0.80359999999999998</v>
      </c>
      <c r="G96" s="129">
        <v>0.81689999999999996</v>
      </c>
      <c r="H96" s="129">
        <v>31</v>
      </c>
      <c r="I96" s="129">
        <v>163.38</v>
      </c>
      <c r="J96" s="129" t="b">
        <v>0</v>
      </c>
      <c r="K96" s="129" t="b">
        <v>0</v>
      </c>
      <c r="L96" s="129">
        <v>200</v>
      </c>
      <c r="M96" s="129">
        <v>0</v>
      </c>
      <c r="N96" s="129">
        <v>5.27</v>
      </c>
      <c r="O96" s="129">
        <v>0</v>
      </c>
      <c r="P96" s="129">
        <v>0</v>
      </c>
      <c r="Q96" s="129">
        <v>163.38</v>
      </c>
      <c r="R96" s="127" t="s">
        <v>271</v>
      </c>
      <c r="S96" s="129">
        <v>163.38</v>
      </c>
      <c r="T96" s="129">
        <v>38.5</v>
      </c>
      <c r="U96" s="129">
        <v>0</v>
      </c>
      <c r="V96" s="129" t="b">
        <v>0</v>
      </c>
      <c r="W96" s="129">
        <v>100036841</v>
      </c>
      <c r="X96" s="129">
        <v>0</v>
      </c>
      <c r="Y96" s="129">
        <v>0</v>
      </c>
      <c r="Z96" s="127" t="s">
        <v>255</v>
      </c>
      <c r="AA96" s="129">
        <v>0</v>
      </c>
      <c r="AB96" s="129" t="b">
        <v>0</v>
      </c>
      <c r="AC96" s="127" t="s">
        <v>142</v>
      </c>
      <c r="AD96" s="127" t="s">
        <v>142</v>
      </c>
      <c r="AE96" s="127" t="s">
        <v>142</v>
      </c>
      <c r="AF96" s="129">
        <v>1.3299999999999999E-2</v>
      </c>
      <c r="AG96" s="144">
        <v>41498</v>
      </c>
      <c r="AH96" s="129"/>
    </row>
    <row r="97" spans="1:34" x14ac:dyDescent="0.2">
      <c r="A97" s="127" t="s">
        <v>23</v>
      </c>
      <c r="B97" s="128">
        <v>41463.545717592591</v>
      </c>
      <c r="C97" s="127" t="s">
        <v>272</v>
      </c>
      <c r="D97" s="127" t="s">
        <v>271</v>
      </c>
      <c r="E97" s="127" t="s">
        <v>21</v>
      </c>
      <c r="F97" s="129">
        <v>0.73089999999999999</v>
      </c>
      <c r="G97" s="129">
        <v>0.80359999999999998</v>
      </c>
      <c r="H97" s="129">
        <v>33</v>
      </c>
      <c r="I97" s="129">
        <v>160.72</v>
      </c>
      <c r="J97" s="129" t="b">
        <v>0</v>
      </c>
      <c r="K97" s="129" t="b">
        <v>0</v>
      </c>
      <c r="L97" s="129">
        <v>200</v>
      </c>
      <c r="M97" s="129">
        <v>0</v>
      </c>
      <c r="N97" s="129">
        <v>4.87</v>
      </c>
      <c r="O97" s="129">
        <v>0</v>
      </c>
      <c r="P97" s="129">
        <v>0</v>
      </c>
      <c r="Q97" s="129">
        <v>160.72</v>
      </c>
      <c r="R97" s="127" t="s">
        <v>271</v>
      </c>
      <c r="S97" s="129">
        <v>160.72</v>
      </c>
      <c r="T97" s="129">
        <v>33.47</v>
      </c>
      <c r="U97" s="129">
        <v>0</v>
      </c>
      <c r="V97" s="129" t="b">
        <v>0</v>
      </c>
      <c r="W97" s="129">
        <v>99954829</v>
      </c>
      <c r="X97" s="129">
        <v>0</v>
      </c>
      <c r="Y97" s="129">
        <v>0</v>
      </c>
      <c r="Z97" s="127" t="s">
        <v>255</v>
      </c>
      <c r="AA97" s="129">
        <v>0</v>
      </c>
      <c r="AB97" s="129" t="b">
        <v>0</v>
      </c>
      <c r="AC97" s="127" t="s">
        <v>142</v>
      </c>
      <c r="AD97" s="127" t="s">
        <v>142</v>
      </c>
      <c r="AE97" s="127" t="s">
        <v>142</v>
      </c>
      <c r="AF97" s="129">
        <v>7.2700000000000001E-2</v>
      </c>
      <c r="AG97" s="144">
        <v>41467</v>
      </c>
      <c r="AH97" s="129"/>
    </row>
    <row r="98" spans="1:34" x14ac:dyDescent="0.2">
      <c r="A98" s="127" t="s">
        <v>23</v>
      </c>
      <c r="B98" s="128">
        <v>41430.392106481479</v>
      </c>
      <c r="C98" s="127" t="s">
        <v>272</v>
      </c>
      <c r="D98" s="127" t="s">
        <v>271</v>
      </c>
      <c r="E98" s="127" t="s">
        <v>21</v>
      </c>
      <c r="F98" s="129">
        <v>0.7127</v>
      </c>
      <c r="G98" s="129">
        <v>0.73089999999999999</v>
      </c>
      <c r="H98" s="129">
        <v>30</v>
      </c>
      <c r="I98" s="129">
        <v>146.18</v>
      </c>
      <c r="J98" s="129" t="b">
        <v>0</v>
      </c>
      <c r="K98" s="129" t="b">
        <v>0</v>
      </c>
      <c r="L98" s="129">
        <v>200</v>
      </c>
      <c r="M98" s="129">
        <v>0</v>
      </c>
      <c r="N98" s="129">
        <v>4.87</v>
      </c>
      <c r="O98" s="129">
        <v>0</v>
      </c>
      <c r="P98" s="129">
        <v>0</v>
      </c>
      <c r="Q98" s="129">
        <v>146.18</v>
      </c>
      <c r="R98" s="127" t="s">
        <v>271</v>
      </c>
      <c r="S98" s="129">
        <v>146.18</v>
      </c>
      <c r="T98" s="129">
        <v>34.770000000000003</v>
      </c>
      <c r="U98" s="129">
        <v>0</v>
      </c>
      <c r="V98" s="129" t="b">
        <v>0</v>
      </c>
      <c r="W98" s="129">
        <v>99873391</v>
      </c>
      <c r="X98" s="129">
        <v>0</v>
      </c>
      <c r="Y98" s="129">
        <v>0</v>
      </c>
      <c r="Z98" s="127" t="s">
        <v>255</v>
      </c>
      <c r="AA98" s="129">
        <v>0</v>
      </c>
      <c r="AB98" s="129" t="b">
        <v>0</v>
      </c>
      <c r="AC98" s="127" t="s">
        <v>142</v>
      </c>
      <c r="AD98" s="127" t="s">
        <v>142</v>
      </c>
      <c r="AE98" s="127" t="s">
        <v>142</v>
      </c>
      <c r="AF98" s="129">
        <v>1.8200000000000001E-2</v>
      </c>
      <c r="AG98" s="144">
        <v>41436</v>
      </c>
      <c r="AH98" s="129"/>
    </row>
    <row r="99" spans="1:34" x14ac:dyDescent="0.2">
      <c r="A99" s="127" t="s">
        <v>23</v>
      </c>
      <c r="B99" s="128">
        <v>41400.530347222222</v>
      </c>
      <c r="C99" s="127" t="s">
        <v>272</v>
      </c>
      <c r="D99" s="127" t="s">
        <v>271</v>
      </c>
      <c r="E99" s="127" t="s">
        <v>21</v>
      </c>
      <c r="F99" s="129">
        <v>0.51</v>
      </c>
      <c r="G99" s="129">
        <v>0.7127</v>
      </c>
      <c r="H99" s="129">
        <v>32</v>
      </c>
      <c r="I99" s="129">
        <v>142.54</v>
      </c>
      <c r="J99" s="129" t="b">
        <v>0</v>
      </c>
      <c r="K99" s="129" t="b">
        <v>0</v>
      </c>
      <c r="L99" s="129">
        <v>200</v>
      </c>
      <c r="M99" s="129">
        <v>0</v>
      </c>
      <c r="N99" s="129">
        <v>4.45</v>
      </c>
      <c r="O99" s="129">
        <v>0</v>
      </c>
      <c r="P99" s="129">
        <v>0</v>
      </c>
      <c r="Q99" s="129">
        <v>142.54</v>
      </c>
      <c r="R99" s="127" t="s">
        <v>271</v>
      </c>
      <c r="S99" s="129">
        <v>142.54</v>
      </c>
      <c r="T99" s="129">
        <v>33.799999999999997</v>
      </c>
      <c r="U99" s="129">
        <v>0</v>
      </c>
      <c r="V99" s="129" t="b">
        <v>0</v>
      </c>
      <c r="W99" s="129">
        <v>99793466</v>
      </c>
      <c r="X99" s="129">
        <v>0</v>
      </c>
      <c r="Y99" s="129">
        <v>0</v>
      </c>
      <c r="Z99" s="127" t="s">
        <v>255</v>
      </c>
      <c r="AA99" s="129">
        <v>0</v>
      </c>
      <c r="AB99" s="129" t="b">
        <v>0</v>
      </c>
      <c r="AC99" s="127" t="s">
        <v>142</v>
      </c>
      <c r="AD99" s="127" t="s">
        <v>142</v>
      </c>
      <c r="AE99" s="127" t="s">
        <v>142</v>
      </c>
      <c r="AF99" s="129">
        <v>0.20269999999999999</v>
      </c>
      <c r="AG99" s="144">
        <v>41404</v>
      </c>
      <c r="AH99" s="129"/>
    </row>
    <row r="100" spans="1:34" x14ac:dyDescent="0.2">
      <c r="A100" s="127" t="s">
        <v>23</v>
      </c>
      <c r="B100" s="128">
        <v>41368.593344907407</v>
      </c>
      <c r="C100" s="127" t="s">
        <v>272</v>
      </c>
      <c r="D100" s="127" t="s">
        <v>271</v>
      </c>
      <c r="E100" s="127" t="s">
        <v>21</v>
      </c>
      <c r="F100" s="129">
        <v>0.51270000000000004</v>
      </c>
      <c r="G100" s="129">
        <v>0.51</v>
      </c>
      <c r="H100" s="129">
        <v>31</v>
      </c>
      <c r="I100" s="129">
        <v>102</v>
      </c>
      <c r="J100" s="129" t="b">
        <v>0</v>
      </c>
      <c r="K100" s="129" t="b">
        <v>0</v>
      </c>
      <c r="L100" s="129">
        <v>200</v>
      </c>
      <c r="M100" s="129">
        <v>0</v>
      </c>
      <c r="N100" s="129">
        <v>3.29</v>
      </c>
      <c r="O100" s="129">
        <v>0</v>
      </c>
      <c r="P100" s="129">
        <v>0</v>
      </c>
      <c r="Q100" s="129">
        <v>102</v>
      </c>
      <c r="R100" s="127" t="s">
        <v>271</v>
      </c>
      <c r="S100" s="129">
        <v>102</v>
      </c>
      <c r="T100" s="129">
        <v>48.23</v>
      </c>
      <c r="U100" s="129">
        <v>0</v>
      </c>
      <c r="V100" s="129" t="b">
        <v>0</v>
      </c>
      <c r="W100" s="129">
        <v>99703694</v>
      </c>
      <c r="X100" s="129">
        <v>0</v>
      </c>
      <c r="Y100" s="129">
        <v>0</v>
      </c>
      <c r="Z100" s="127" t="s">
        <v>255</v>
      </c>
      <c r="AA100" s="129">
        <v>0</v>
      </c>
      <c r="AB100" s="129" t="b">
        <v>0</v>
      </c>
      <c r="AC100" s="127" t="s">
        <v>142</v>
      </c>
      <c r="AD100" s="127" t="s">
        <v>142</v>
      </c>
      <c r="AE100" s="127" t="s">
        <v>142</v>
      </c>
      <c r="AF100" s="129">
        <v>99.997299999999996</v>
      </c>
      <c r="AG100" s="144">
        <v>41374</v>
      </c>
      <c r="AH100" s="129"/>
    </row>
    <row r="101" spans="1:34" x14ac:dyDescent="0.2">
      <c r="A101" s="127" t="s">
        <v>23</v>
      </c>
      <c r="B101" s="128">
        <v>41337.617280092592</v>
      </c>
      <c r="C101" s="127" t="s">
        <v>272</v>
      </c>
      <c r="D101" s="127" t="s">
        <v>271</v>
      </c>
      <c r="E101" s="127" t="s">
        <v>21</v>
      </c>
      <c r="F101" s="129">
        <v>0.55159999999999998</v>
      </c>
      <c r="G101" s="129">
        <v>0.51270000000000004</v>
      </c>
      <c r="H101" s="129">
        <v>25</v>
      </c>
      <c r="I101" s="129">
        <v>102.54</v>
      </c>
      <c r="J101" s="129" t="b">
        <v>0</v>
      </c>
      <c r="K101" s="129" t="b">
        <v>0</v>
      </c>
      <c r="L101" s="129">
        <v>200</v>
      </c>
      <c r="M101" s="129">
        <v>0</v>
      </c>
      <c r="N101" s="129">
        <v>4.0999999999999996</v>
      </c>
      <c r="O101" s="129">
        <v>0</v>
      </c>
      <c r="P101" s="129">
        <v>0</v>
      </c>
      <c r="Q101" s="129">
        <v>102.54</v>
      </c>
      <c r="R101" s="127" t="s">
        <v>271</v>
      </c>
      <c r="S101" s="129">
        <v>102.54</v>
      </c>
      <c r="T101" s="129">
        <v>54.61</v>
      </c>
      <c r="U101" s="129">
        <v>0</v>
      </c>
      <c r="V101" s="129" t="b">
        <v>0</v>
      </c>
      <c r="W101" s="129">
        <v>99620161</v>
      </c>
      <c r="X101" s="129">
        <v>0</v>
      </c>
      <c r="Y101" s="129">
        <v>0</v>
      </c>
      <c r="Z101" s="127" t="s">
        <v>255</v>
      </c>
      <c r="AA101" s="129">
        <v>0</v>
      </c>
      <c r="AB101" s="129" t="b">
        <v>0</v>
      </c>
      <c r="AC101" s="127" t="s">
        <v>142</v>
      </c>
      <c r="AD101" s="127" t="s">
        <v>142</v>
      </c>
      <c r="AE101" s="127" t="s">
        <v>142</v>
      </c>
      <c r="AF101" s="129">
        <v>99.961100000000002</v>
      </c>
      <c r="AG101" s="144">
        <v>41344</v>
      </c>
      <c r="AH101" s="129"/>
    </row>
    <row r="102" spans="1:34" x14ac:dyDescent="0.2">
      <c r="A102" s="127" t="s">
        <v>23</v>
      </c>
      <c r="B102" s="128">
        <v>41312.375439814816</v>
      </c>
      <c r="C102" s="127" t="s">
        <v>272</v>
      </c>
      <c r="D102" s="127" t="s">
        <v>271</v>
      </c>
      <c r="E102" s="127" t="s">
        <v>21</v>
      </c>
      <c r="F102" s="129">
        <v>0.57679999999999998</v>
      </c>
      <c r="G102" s="129">
        <v>0.55159999999999998</v>
      </c>
      <c r="H102" s="129">
        <v>31</v>
      </c>
      <c r="I102" s="129">
        <v>110.32</v>
      </c>
      <c r="J102" s="129" t="b">
        <v>0</v>
      </c>
      <c r="K102" s="129" t="b">
        <v>0</v>
      </c>
      <c r="L102" s="129">
        <v>200</v>
      </c>
      <c r="M102" s="129">
        <v>0</v>
      </c>
      <c r="N102" s="129">
        <v>3.56</v>
      </c>
      <c r="O102" s="129">
        <v>0</v>
      </c>
      <c r="P102" s="129">
        <v>0</v>
      </c>
      <c r="Q102" s="129">
        <v>110.32</v>
      </c>
      <c r="R102" s="127" t="s">
        <v>271</v>
      </c>
      <c r="S102" s="129">
        <v>110.32</v>
      </c>
      <c r="T102" s="129">
        <v>45.32</v>
      </c>
      <c r="U102" s="129">
        <v>0</v>
      </c>
      <c r="V102" s="129" t="b">
        <v>0</v>
      </c>
      <c r="W102" s="129">
        <v>99535031</v>
      </c>
      <c r="X102" s="129">
        <v>0</v>
      </c>
      <c r="Y102" s="129">
        <v>0</v>
      </c>
      <c r="Z102" s="127" t="s">
        <v>255</v>
      </c>
      <c r="AA102" s="129">
        <v>0</v>
      </c>
      <c r="AB102" s="129" t="b">
        <v>0</v>
      </c>
      <c r="AC102" s="127" t="s">
        <v>142</v>
      </c>
      <c r="AD102" s="127" t="s">
        <v>142</v>
      </c>
      <c r="AE102" s="127" t="s">
        <v>142</v>
      </c>
      <c r="AF102" s="129">
        <v>99.974800000000002</v>
      </c>
      <c r="AG102" s="144">
        <v>41316</v>
      </c>
      <c r="AH102" s="129"/>
    </row>
    <row r="103" spans="1:34" x14ac:dyDescent="0.2">
      <c r="A103" s="127" t="s">
        <v>23</v>
      </c>
      <c r="B103" s="128">
        <v>41281.368252314816</v>
      </c>
      <c r="C103" s="127" t="s">
        <v>272</v>
      </c>
      <c r="D103" s="127" t="s">
        <v>271</v>
      </c>
      <c r="E103" s="127" t="s">
        <v>21</v>
      </c>
      <c r="F103" s="129">
        <v>0.48630000000000001</v>
      </c>
      <c r="G103" s="129">
        <v>0.57679999999999998</v>
      </c>
      <c r="H103" s="129">
        <v>34</v>
      </c>
      <c r="I103" s="129">
        <v>115.36</v>
      </c>
      <c r="J103" s="129" t="b">
        <v>0</v>
      </c>
      <c r="K103" s="129" t="b">
        <v>0</v>
      </c>
      <c r="L103" s="129">
        <v>200</v>
      </c>
      <c r="M103" s="129">
        <v>0</v>
      </c>
      <c r="N103" s="129">
        <v>3.39</v>
      </c>
      <c r="O103" s="129">
        <v>0</v>
      </c>
      <c r="P103" s="129">
        <v>0</v>
      </c>
      <c r="Q103" s="129">
        <v>115.36</v>
      </c>
      <c r="R103" s="127" t="s">
        <v>271</v>
      </c>
      <c r="S103" s="129">
        <v>115.36</v>
      </c>
      <c r="T103" s="129">
        <v>37.39</v>
      </c>
      <c r="U103" s="129">
        <v>0</v>
      </c>
      <c r="V103" s="129" t="b">
        <v>0</v>
      </c>
      <c r="W103" s="129">
        <v>99458197</v>
      </c>
      <c r="X103" s="129">
        <v>0</v>
      </c>
      <c r="Y103" s="129">
        <v>0</v>
      </c>
      <c r="Z103" s="127" t="s">
        <v>255</v>
      </c>
      <c r="AA103" s="129">
        <v>0</v>
      </c>
      <c r="AB103" s="129" t="b">
        <v>0</v>
      </c>
      <c r="AC103" s="127" t="s">
        <v>142</v>
      </c>
      <c r="AD103" s="127" t="s">
        <v>142</v>
      </c>
      <c r="AE103" s="127" t="s">
        <v>142</v>
      </c>
      <c r="AF103" s="129">
        <v>9.0499999999999997E-2</v>
      </c>
      <c r="AG103" s="144">
        <v>41284</v>
      </c>
      <c r="AH103" s="129"/>
    </row>
    <row r="104" spans="1:34" x14ac:dyDescent="0.2">
      <c r="A104" s="127" t="s">
        <v>23</v>
      </c>
      <c r="B104" s="128">
        <v>41247.509039351855</v>
      </c>
      <c r="C104" s="127" t="s">
        <v>272</v>
      </c>
      <c r="D104" s="127" t="s">
        <v>271</v>
      </c>
      <c r="E104" s="127" t="s">
        <v>21</v>
      </c>
      <c r="F104" s="129">
        <v>0.69730000000000003</v>
      </c>
      <c r="G104" s="129">
        <v>0.48630000000000001</v>
      </c>
      <c r="H104" s="129">
        <v>29</v>
      </c>
      <c r="I104" s="129">
        <v>97.26</v>
      </c>
      <c r="J104" s="129" t="b">
        <v>0</v>
      </c>
      <c r="K104" s="129" t="b">
        <v>0</v>
      </c>
      <c r="L104" s="129">
        <v>200</v>
      </c>
      <c r="M104" s="129">
        <v>0</v>
      </c>
      <c r="N104" s="129">
        <v>3.35</v>
      </c>
      <c r="O104" s="129">
        <v>0</v>
      </c>
      <c r="P104" s="129">
        <v>0</v>
      </c>
      <c r="Q104" s="129">
        <v>97.26</v>
      </c>
      <c r="R104" s="127" t="s">
        <v>271</v>
      </c>
      <c r="S104" s="129">
        <v>97.26</v>
      </c>
      <c r="T104" s="129">
        <v>49.04</v>
      </c>
      <c r="U104" s="129">
        <v>0</v>
      </c>
      <c r="V104" s="129" t="b">
        <v>0</v>
      </c>
      <c r="W104" s="129">
        <v>99374380</v>
      </c>
      <c r="X104" s="129">
        <v>0</v>
      </c>
      <c r="Y104" s="129">
        <v>0</v>
      </c>
      <c r="Z104" s="127" t="s">
        <v>255</v>
      </c>
      <c r="AA104" s="129">
        <v>0</v>
      </c>
      <c r="AB104" s="129" t="b">
        <v>0</v>
      </c>
      <c r="AC104" s="127" t="s">
        <v>142</v>
      </c>
      <c r="AD104" s="127" t="s">
        <v>142</v>
      </c>
      <c r="AE104" s="127" t="s">
        <v>142</v>
      </c>
      <c r="AF104" s="129">
        <v>99.789000000000001</v>
      </c>
      <c r="AG104" s="144">
        <v>41254</v>
      </c>
      <c r="AH104" s="129"/>
    </row>
    <row r="105" spans="1:34" x14ac:dyDescent="0.2">
      <c r="A105" s="127" t="s">
        <v>23</v>
      </c>
      <c r="B105" s="128">
        <v>41218.406956018516</v>
      </c>
      <c r="C105" s="127" t="s">
        <v>272</v>
      </c>
      <c r="D105" s="127" t="s">
        <v>271</v>
      </c>
      <c r="E105" s="127" t="s">
        <v>21</v>
      </c>
      <c r="F105" s="129">
        <v>0.74099999999999999</v>
      </c>
      <c r="G105" s="129">
        <v>0.69730000000000003</v>
      </c>
      <c r="H105" s="129">
        <v>32</v>
      </c>
      <c r="I105" s="129">
        <v>139.46</v>
      </c>
      <c r="J105" s="129" t="b">
        <v>0</v>
      </c>
      <c r="K105" s="129" t="b">
        <v>0</v>
      </c>
      <c r="L105" s="129">
        <v>200</v>
      </c>
      <c r="M105" s="129">
        <v>0</v>
      </c>
      <c r="N105" s="129">
        <v>4.3600000000000003</v>
      </c>
      <c r="O105" s="129">
        <v>0</v>
      </c>
      <c r="P105" s="129">
        <v>0</v>
      </c>
      <c r="Q105" s="129">
        <v>139.46</v>
      </c>
      <c r="R105" s="127" t="s">
        <v>271</v>
      </c>
      <c r="S105" s="129">
        <v>139.46</v>
      </c>
      <c r="T105" s="129">
        <v>34.549999999999997</v>
      </c>
      <c r="U105" s="129">
        <v>0</v>
      </c>
      <c r="V105" s="129" t="b">
        <v>0</v>
      </c>
      <c r="W105" s="129">
        <v>99293639</v>
      </c>
      <c r="X105" s="129">
        <v>0</v>
      </c>
      <c r="Y105" s="129">
        <v>0</v>
      </c>
      <c r="Z105" s="127" t="s">
        <v>255</v>
      </c>
      <c r="AA105" s="129">
        <v>0</v>
      </c>
      <c r="AB105" s="129" t="b">
        <v>0</v>
      </c>
      <c r="AC105" s="127" t="s">
        <v>142</v>
      </c>
      <c r="AD105" s="127" t="s">
        <v>142</v>
      </c>
      <c r="AE105" s="127" t="s">
        <v>142</v>
      </c>
      <c r="AF105" s="129">
        <v>99.956299999999999</v>
      </c>
      <c r="AG105" s="144">
        <v>41222</v>
      </c>
      <c r="AH105" s="129"/>
    </row>
    <row r="106" spans="1:34" x14ac:dyDescent="0.2">
      <c r="A106" s="127" t="s">
        <v>23</v>
      </c>
      <c r="B106" s="128">
        <v>41186.338379629633</v>
      </c>
      <c r="C106" s="127" t="s">
        <v>272</v>
      </c>
      <c r="D106" s="127" t="s">
        <v>271</v>
      </c>
      <c r="E106" s="127" t="s">
        <v>21</v>
      </c>
      <c r="F106" s="129">
        <v>0.7853</v>
      </c>
      <c r="G106" s="129">
        <v>0.74099999999999999</v>
      </c>
      <c r="H106" s="129">
        <v>29</v>
      </c>
      <c r="I106" s="129">
        <v>148.19999999999999</v>
      </c>
      <c r="J106" s="129" t="b">
        <v>0</v>
      </c>
      <c r="K106" s="129" t="b">
        <v>0</v>
      </c>
      <c r="L106" s="129">
        <v>200</v>
      </c>
      <c r="M106" s="129">
        <v>0</v>
      </c>
      <c r="N106" s="129">
        <v>5.1100000000000003</v>
      </c>
      <c r="O106" s="129">
        <v>0</v>
      </c>
      <c r="P106" s="129">
        <v>0</v>
      </c>
      <c r="Q106" s="129">
        <v>148.19999999999999</v>
      </c>
      <c r="R106" s="127" t="s">
        <v>271</v>
      </c>
      <c r="S106" s="129">
        <v>148.19999999999999</v>
      </c>
      <c r="T106" s="129">
        <v>37.619999999999997</v>
      </c>
      <c r="U106" s="129">
        <v>0</v>
      </c>
      <c r="V106" s="129" t="b">
        <v>0</v>
      </c>
      <c r="W106" s="129">
        <v>99202770</v>
      </c>
      <c r="X106" s="129">
        <v>0</v>
      </c>
      <c r="Y106" s="129">
        <v>0</v>
      </c>
      <c r="Z106" s="127" t="s">
        <v>255</v>
      </c>
      <c r="AA106" s="129">
        <v>0</v>
      </c>
      <c r="AB106" s="129" t="b">
        <v>0</v>
      </c>
      <c r="AC106" s="127" t="s">
        <v>142</v>
      </c>
      <c r="AD106" s="127" t="s">
        <v>142</v>
      </c>
      <c r="AE106" s="127" t="s">
        <v>142</v>
      </c>
      <c r="AF106" s="129">
        <v>99.955699999999993</v>
      </c>
      <c r="AG106" s="144">
        <v>41194</v>
      </c>
      <c r="AH106" s="129"/>
    </row>
    <row r="107" spans="1:34" x14ac:dyDescent="0.2">
      <c r="A107" s="127" t="s">
        <v>23</v>
      </c>
      <c r="B107" s="128">
        <v>41157.424050925925</v>
      </c>
      <c r="C107" s="127" t="s">
        <v>272</v>
      </c>
      <c r="D107" s="127" t="s">
        <v>271</v>
      </c>
      <c r="E107" s="127" t="s">
        <v>21</v>
      </c>
      <c r="F107" s="129">
        <v>0.88639999999999997</v>
      </c>
      <c r="G107" s="129">
        <v>0.7853</v>
      </c>
      <c r="H107" s="129">
        <v>30</v>
      </c>
      <c r="I107" s="129">
        <v>157.06</v>
      </c>
      <c r="J107" s="129" t="b">
        <v>0</v>
      </c>
      <c r="K107" s="129" t="b">
        <v>0</v>
      </c>
      <c r="L107" s="129">
        <v>200</v>
      </c>
      <c r="M107" s="129">
        <v>0</v>
      </c>
      <c r="N107" s="129">
        <v>5.24</v>
      </c>
      <c r="O107" s="129">
        <v>0</v>
      </c>
      <c r="P107" s="129">
        <v>0</v>
      </c>
      <c r="Q107" s="129">
        <v>157.06</v>
      </c>
      <c r="R107" s="127" t="s">
        <v>271</v>
      </c>
      <c r="S107" s="129">
        <v>157.06</v>
      </c>
      <c r="T107" s="129">
        <v>39.97</v>
      </c>
      <c r="U107" s="129">
        <v>0</v>
      </c>
      <c r="V107" s="129" t="b">
        <v>0</v>
      </c>
      <c r="W107" s="129">
        <v>99113770</v>
      </c>
      <c r="X107" s="129">
        <v>0</v>
      </c>
      <c r="Y107" s="129">
        <v>0</v>
      </c>
      <c r="Z107" s="127" t="s">
        <v>255</v>
      </c>
      <c r="AA107" s="129">
        <v>0</v>
      </c>
      <c r="AB107" s="129" t="b">
        <v>0</v>
      </c>
      <c r="AC107" s="127" t="s">
        <v>142</v>
      </c>
      <c r="AD107" s="127" t="s">
        <v>142</v>
      </c>
      <c r="AE107" s="127" t="s">
        <v>142</v>
      </c>
      <c r="AF107" s="129">
        <v>99.898899999999998</v>
      </c>
      <c r="AG107" s="144">
        <v>41164</v>
      </c>
      <c r="AH107" s="129"/>
    </row>
    <row r="108" spans="1:34" x14ac:dyDescent="0.2">
      <c r="A108" s="127" t="s">
        <v>23</v>
      </c>
      <c r="B108" s="128">
        <v>41127.345381944448</v>
      </c>
      <c r="C108" s="127" t="s">
        <v>272</v>
      </c>
      <c r="D108" s="127" t="s">
        <v>271</v>
      </c>
      <c r="E108" s="127" t="s">
        <v>21</v>
      </c>
      <c r="F108" s="129">
        <v>0.78480000000000005</v>
      </c>
      <c r="G108" s="129">
        <v>0.88639999999999997</v>
      </c>
      <c r="H108" s="129">
        <v>32</v>
      </c>
      <c r="I108" s="129">
        <v>177.28</v>
      </c>
      <c r="J108" s="129" t="b">
        <v>0</v>
      </c>
      <c r="K108" s="129" t="b">
        <v>0</v>
      </c>
      <c r="L108" s="129">
        <v>200</v>
      </c>
      <c r="M108" s="129">
        <v>0</v>
      </c>
      <c r="N108" s="129">
        <v>5.54</v>
      </c>
      <c r="O108" s="129">
        <v>0</v>
      </c>
      <c r="P108" s="129">
        <v>0</v>
      </c>
      <c r="Q108" s="129">
        <v>177.28</v>
      </c>
      <c r="R108" s="127" t="s">
        <v>271</v>
      </c>
      <c r="S108" s="129">
        <v>177.28</v>
      </c>
      <c r="T108" s="129">
        <v>40.25</v>
      </c>
      <c r="U108" s="129">
        <v>0</v>
      </c>
      <c r="V108" s="129" t="b">
        <v>0</v>
      </c>
      <c r="W108" s="129">
        <v>99034515</v>
      </c>
      <c r="X108" s="129">
        <v>0</v>
      </c>
      <c r="Y108" s="129">
        <v>0</v>
      </c>
      <c r="Z108" s="127" t="s">
        <v>255</v>
      </c>
      <c r="AA108" s="129">
        <v>0</v>
      </c>
      <c r="AB108" s="129" t="b">
        <v>0</v>
      </c>
      <c r="AC108" s="127" t="s">
        <v>142</v>
      </c>
      <c r="AD108" s="127" t="s">
        <v>142</v>
      </c>
      <c r="AE108" s="127" t="s">
        <v>142</v>
      </c>
      <c r="AF108" s="129">
        <v>0.1016</v>
      </c>
      <c r="AG108" s="144">
        <v>41134</v>
      </c>
      <c r="AH108" s="129"/>
    </row>
    <row r="109" spans="1:34" x14ac:dyDescent="0.2">
      <c r="A109" s="127" t="s">
        <v>23</v>
      </c>
      <c r="B109" s="128">
        <v>41095.355081018519</v>
      </c>
      <c r="C109" s="127" t="s">
        <v>272</v>
      </c>
      <c r="D109" s="127" t="s">
        <v>271</v>
      </c>
      <c r="E109" s="127" t="s">
        <v>21</v>
      </c>
      <c r="F109" s="129">
        <v>0.67500000000000004</v>
      </c>
      <c r="G109" s="129">
        <v>0.78480000000000005</v>
      </c>
      <c r="H109" s="129">
        <v>31</v>
      </c>
      <c r="I109" s="129">
        <v>156.96</v>
      </c>
      <c r="J109" s="129" t="b">
        <v>0</v>
      </c>
      <c r="K109" s="129" t="b">
        <v>0</v>
      </c>
      <c r="L109" s="129">
        <v>200</v>
      </c>
      <c r="M109" s="129">
        <v>0</v>
      </c>
      <c r="N109" s="129">
        <v>5.0599999999999996</v>
      </c>
      <c r="O109" s="129">
        <v>0</v>
      </c>
      <c r="P109" s="129">
        <v>0</v>
      </c>
      <c r="Q109" s="129">
        <v>156.96</v>
      </c>
      <c r="R109" s="127" t="s">
        <v>271</v>
      </c>
      <c r="S109" s="129">
        <v>156.96</v>
      </c>
      <c r="T109" s="129">
        <v>39.049999999999997</v>
      </c>
      <c r="U109" s="129">
        <v>0</v>
      </c>
      <c r="V109" s="129" t="b">
        <v>0</v>
      </c>
      <c r="W109" s="129">
        <v>98951993</v>
      </c>
      <c r="X109" s="129">
        <v>0</v>
      </c>
      <c r="Y109" s="129">
        <v>0</v>
      </c>
      <c r="Z109" s="127" t="s">
        <v>255</v>
      </c>
      <c r="AA109" s="129">
        <v>0</v>
      </c>
      <c r="AB109" s="129" t="b">
        <v>0</v>
      </c>
      <c r="AC109" s="127" t="s">
        <v>142</v>
      </c>
      <c r="AD109" s="127" t="s">
        <v>142</v>
      </c>
      <c r="AE109" s="127" t="s">
        <v>142</v>
      </c>
      <c r="AF109" s="129">
        <v>0.10979999999999999</v>
      </c>
      <c r="AG109" s="144">
        <v>41101</v>
      </c>
      <c r="AH109" s="129"/>
    </row>
    <row r="110" spans="1:34" x14ac:dyDescent="0.2">
      <c r="A110" s="127" t="s">
        <v>23</v>
      </c>
      <c r="B110" s="128">
        <v>41064.548067129632</v>
      </c>
      <c r="C110" s="127" t="s">
        <v>272</v>
      </c>
      <c r="D110" s="127" t="s">
        <v>271</v>
      </c>
      <c r="E110" s="127" t="s">
        <v>21</v>
      </c>
      <c r="F110" s="129">
        <v>0.67179999999999995</v>
      </c>
      <c r="G110" s="129">
        <v>0.67500000000000004</v>
      </c>
      <c r="H110" s="129">
        <v>31</v>
      </c>
      <c r="I110" s="129">
        <v>135</v>
      </c>
      <c r="J110" s="129" t="b">
        <v>0</v>
      </c>
      <c r="K110" s="129" t="b">
        <v>0</v>
      </c>
      <c r="L110" s="129">
        <v>200</v>
      </c>
      <c r="M110" s="129">
        <v>0</v>
      </c>
      <c r="N110" s="129">
        <v>4.3499999999999996</v>
      </c>
      <c r="O110" s="129">
        <v>0</v>
      </c>
      <c r="P110" s="129">
        <v>0</v>
      </c>
      <c r="Q110" s="129">
        <v>135</v>
      </c>
      <c r="R110" s="127" t="s">
        <v>271</v>
      </c>
      <c r="S110" s="129">
        <v>135</v>
      </c>
      <c r="T110" s="129">
        <v>40.619999999999997</v>
      </c>
      <c r="U110" s="129">
        <v>0</v>
      </c>
      <c r="V110" s="129" t="b">
        <v>0</v>
      </c>
      <c r="W110" s="129">
        <v>98870138</v>
      </c>
      <c r="X110" s="129">
        <v>0</v>
      </c>
      <c r="Y110" s="129">
        <v>0</v>
      </c>
      <c r="Z110" s="127" t="s">
        <v>255</v>
      </c>
      <c r="AA110" s="129">
        <v>0</v>
      </c>
      <c r="AB110" s="129" t="b">
        <v>0</v>
      </c>
      <c r="AC110" s="127" t="s">
        <v>142</v>
      </c>
      <c r="AD110" s="127" t="s">
        <v>142</v>
      </c>
      <c r="AE110" s="127" t="s">
        <v>142</v>
      </c>
      <c r="AF110" s="129">
        <v>3.2000000000000002E-3</v>
      </c>
      <c r="AG110" s="144">
        <v>41071</v>
      </c>
      <c r="AH110" s="129"/>
    </row>
    <row r="111" spans="1:34" x14ac:dyDescent="0.2">
      <c r="A111" s="127" t="s">
        <v>23</v>
      </c>
      <c r="B111" s="128">
        <v>41033.344618055555</v>
      </c>
      <c r="C111" s="127" t="s">
        <v>272</v>
      </c>
      <c r="D111" s="127" t="s">
        <v>271</v>
      </c>
      <c r="E111" s="127" t="s">
        <v>21</v>
      </c>
      <c r="F111" s="129">
        <v>0.72089999999999999</v>
      </c>
      <c r="G111" s="129">
        <v>0.67179999999999995</v>
      </c>
      <c r="H111" s="129">
        <v>30</v>
      </c>
      <c r="I111" s="129">
        <v>134.35990000000001</v>
      </c>
      <c r="J111" s="129" t="b">
        <v>0</v>
      </c>
      <c r="K111" s="129" t="b">
        <v>0</v>
      </c>
      <c r="L111" s="129">
        <v>200</v>
      </c>
      <c r="M111" s="129">
        <v>0</v>
      </c>
      <c r="N111" s="129">
        <v>4.4800000000000004</v>
      </c>
      <c r="O111" s="129">
        <v>0</v>
      </c>
      <c r="P111" s="129">
        <v>0</v>
      </c>
      <c r="Q111" s="129">
        <v>134.36000000000001</v>
      </c>
      <c r="R111" s="127" t="s">
        <v>271</v>
      </c>
      <c r="S111" s="129">
        <v>134.35990000000001</v>
      </c>
      <c r="T111" s="129">
        <v>37.21</v>
      </c>
      <c r="U111" s="129">
        <v>0</v>
      </c>
      <c r="V111" s="129" t="b">
        <v>0</v>
      </c>
      <c r="W111" s="129">
        <v>98787461</v>
      </c>
      <c r="X111" s="129">
        <v>0</v>
      </c>
      <c r="Y111" s="129">
        <v>0</v>
      </c>
      <c r="Z111" s="127" t="s">
        <v>255</v>
      </c>
      <c r="AA111" s="129">
        <v>0</v>
      </c>
      <c r="AB111" s="129" t="b">
        <v>0</v>
      </c>
      <c r="AC111" s="127" t="s">
        <v>142</v>
      </c>
      <c r="AD111" s="127" t="s">
        <v>142</v>
      </c>
      <c r="AE111" s="127" t="s">
        <v>142</v>
      </c>
      <c r="AF111" s="129">
        <v>99.950900000000004</v>
      </c>
      <c r="AG111" s="144">
        <v>41039</v>
      </c>
      <c r="AH111" s="129"/>
    </row>
    <row r="112" spans="1:34" x14ac:dyDescent="0.2">
      <c r="A112" s="127" t="s">
        <v>23</v>
      </c>
      <c r="B112" s="128">
        <v>41003.366655092592</v>
      </c>
      <c r="C112" s="127" t="s">
        <v>272</v>
      </c>
      <c r="D112" s="127" t="s">
        <v>271</v>
      </c>
      <c r="E112" s="127" t="s">
        <v>21</v>
      </c>
      <c r="F112" s="129">
        <v>0.52110000000000001</v>
      </c>
      <c r="G112" s="129">
        <v>0.72089999999999999</v>
      </c>
      <c r="H112" s="129">
        <v>30</v>
      </c>
      <c r="I112" s="129">
        <v>144.18</v>
      </c>
      <c r="J112" s="129" t="b">
        <v>0</v>
      </c>
      <c r="K112" s="129" t="b">
        <v>0</v>
      </c>
      <c r="L112" s="129">
        <v>200</v>
      </c>
      <c r="M112" s="129">
        <v>0</v>
      </c>
      <c r="N112" s="129">
        <v>4.8099999999999996</v>
      </c>
      <c r="O112" s="129">
        <v>0</v>
      </c>
      <c r="P112" s="129">
        <v>0</v>
      </c>
      <c r="Q112" s="129">
        <v>144.18</v>
      </c>
      <c r="R112" s="127" t="s">
        <v>271</v>
      </c>
      <c r="S112" s="129">
        <v>144.18</v>
      </c>
      <c r="T112" s="129">
        <v>37.18</v>
      </c>
      <c r="U112" s="129">
        <v>0</v>
      </c>
      <c r="V112" s="129" t="b">
        <v>0</v>
      </c>
      <c r="W112" s="129">
        <v>98706796</v>
      </c>
      <c r="X112" s="129">
        <v>0</v>
      </c>
      <c r="Y112" s="129">
        <v>0</v>
      </c>
      <c r="Z112" s="127" t="s">
        <v>255</v>
      </c>
      <c r="AA112" s="129">
        <v>0</v>
      </c>
      <c r="AB112" s="129" t="b">
        <v>0</v>
      </c>
      <c r="AC112" s="127" t="s">
        <v>142</v>
      </c>
      <c r="AD112" s="127" t="s">
        <v>142</v>
      </c>
      <c r="AE112" s="127" t="s">
        <v>142</v>
      </c>
      <c r="AF112" s="129">
        <v>0.19980000000000001</v>
      </c>
      <c r="AG112" s="144">
        <v>41010</v>
      </c>
      <c r="AH112" s="129"/>
    </row>
    <row r="113" spans="1:34" x14ac:dyDescent="0.2">
      <c r="A113" s="127" t="s">
        <v>23</v>
      </c>
      <c r="B113" s="128">
        <v>40973.36550925926</v>
      </c>
      <c r="C113" s="127" t="s">
        <v>272</v>
      </c>
      <c r="D113" s="127" t="s">
        <v>271</v>
      </c>
      <c r="E113" s="127" t="s">
        <v>21</v>
      </c>
      <c r="F113" s="129">
        <v>0.53380000000000005</v>
      </c>
      <c r="G113" s="129">
        <v>0.52110000000000001</v>
      </c>
      <c r="H113" s="129">
        <v>31</v>
      </c>
      <c r="I113" s="129">
        <v>104.22</v>
      </c>
      <c r="J113" s="129" t="b">
        <v>0</v>
      </c>
      <c r="K113" s="129" t="b">
        <v>0</v>
      </c>
      <c r="L113" s="129">
        <v>200</v>
      </c>
      <c r="M113" s="129">
        <v>0</v>
      </c>
      <c r="N113" s="129">
        <v>3.36</v>
      </c>
      <c r="O113" s="129">
        <v>0</v>
      </c>
      <c r="P113" s="129">
        <v>0</v>
      </c>
      <c r="Q113" s="129">
        <v>104.22</v>
      </c>
      <c r="R113" s="127" t="s">
        <v>271</v>
      </c>
      <c r="S113" s="129">
        <v>104.22</v>
      </c>
      <c r="T113" s="129">
        <v>47.2</v>
      </c>
      <c r="U113" s="129">
        <v>0</v>
      </c>
      <c r="V113" s="129" t="b">
        <v>0</v>
      </c>
      <c r="W113" s="129">
        <v>98627897</v>
      </c>
      <c r="X113" s="129">
        <v>0</v>
      </c>
      <c r="Y113" s="129">
        <v>0</v>
      </c>
      <c r="Z113" s="127" t="s">
        <v>255</v>
      </c>
      <c r="AA113" s="129">
        <v>0</v>
      </c>
      <c r="AB113" s="129" t="b">
        <v>0</v>
      </c>
      <c r="AC113" s="127" t="s">
        <v>142</v>
      </c>
      <c r="AD113" s="127" t="s">
        <v>142</v>
      </c>
      <c r="AE113" s="127" t="s">
        <v>142</v>
      </c>
      <c r="AF113" s="129">
        <v>99.987300000000005</v>
      </c>
      <c r="AG113" s="144">
        <v>40980</v>
      </c>
      <c r="AH113" s="129"/>
    </row>
    <row r="114" spans="1:34" x14ac:dyDescent="0.2">
      <c r="A114" s="127" t="s">
        <v>23</v>
      </c>
      <c r="B114" s="128">
        <v>40942.498067129629</v>
      </c>
      <c r="C114" s="127" t="s">
        <v>272</v>
      </c>
      <c r="D114" s="127" t="s">
        <v>271</v>
      </c>
      <c r="E114" s="127" t="s">
        <v>21</v>
      </c>
      <c r="F114" s="129">
        <v>0.5403</v>
      </c>
      <c r="G114" s="129">
        <v>0.53380000000000005</v>
      </c>
      <c r="H114" s="129">
        <v>30</v>
      </c>
      <c r="I114" s="129">
        <v>106.76</v>
      </c>
      <c r="J114" s="129" t="b">
        <v>0</v>
      </c>
      <c r="K114" s="129" t="b">
        <v>0</v>
      </c>
      <c r="L114" s="129">
        <v>200</v>
      </c>
      <c r="M114" s="129">
        <v>0</v>
      </c>
      <c r="N114" s="129">
        <v>3.56</v>
      </c>
      <c r="O114" s="129">
        <v>0</v>
      </c>
      <c r="P114" s="129">
        <v>0</v>
      </c>
      <c r="Q114" s="129">
        <v>106.76</v>
      </c>
      <c r="R114" s="127" t="s">
        <v>271</v>
      </c>
      <c r="S114" s="129">
        <v>106.76</v>
      </c>
      <c r="T114" s="129">
        <v>54.38</v>
      </c>
      <c r="U114" s="129">
        <v>0</v>
      </c>
      <c r="V114" s="129" t="b">
        <v>0</v>
      </c>
      <c r="W114" s="129">
        <v>98538812</v>
      </c>
      <c r="X114" s="129">
        <v>0</v>
      </c>
      <c r="Y114" s="129">
        <v>0</v>
      </c>
      <c r="Z114" s="127" t="s">
        <v>255</v>
      </c>
      <c r="AA114" s="129">
        <v>0</v>
      </c>
      <c r="AB114" s="129" t="b">
        <v>0</v>
      </c>
      <c r="AC114" s="127" t="s">
        <v>142</v>
      </c>
      <c r="AD114" s="127" t="s">
        <v>142</v>
      </c>
      <c r="AE114" s="127" t="s">
        <v>142</v>
      </c>
      <c r="AF114" s="129">
        <v>99.993499999999997</v>
      </c>
      <c r="AG114" s="144">
        <v>40948</v>
      </c>
      <c r="AH114" s="129"/>
    </row>
    <row r="115" spans="1:34" x14ac:dyDescent="0.2">
      <c r="A115" s="127" t="s">
        <v>23</v>
      </c>
      <c r="B115" s="128">
        <v>40912.512256944443</v>
      </c>
      <c r="C115" s="127" t="s">
        <v>272</v>
      </c>
      <c r="D115" s="127" t="s">
        <v>271</v>
      </c>
      <c r="E115" s="127" t="s">
        <v>21</v>
      </c>
      <c r="F115" s="129">
        <v>0.61170000000000002</v>
      </c>
      <c r="G115" s="129">
        <v>0.5403</v>
      </c>
      <c r="H115" s="129">
        <v>29</v>
      </c>
      <c r="I115" s="129">
        <v>108.06</v>
      </c>
      <c r="J115" s="129" t="b">
        <v>0</v>
      </c>
      <c r="K115" s="129" t="b">
        <v>0</v>
      </c>
      <c r="L115" s="129">
        <v>200</v>
      </c>
      <c r="M115" s="129">
        <v>0</v>
      </c>
      <c r="N115" s="129">
        <v>3.73</v>
      </c>
      <c r="O115" s="129">
        <v>0</v>
      </c>
      <c r="P115" s="129">
        <v>0</v>
      </c>
      <c r="Q115" s="129">
        <v>108.06</v>
      </c>
      <c r="R115" s="127" t="s">
        <v>271</v>
      </c>
      <c r="S115" s="129">
        <v>108.06</v>
      </c>
      <c r="T115" s="129">
        <v>49.99</v>
      </c>
      <c r="U115" s="129">
        <v>0</v>
      </c>
      <c r="V115" s="129" t="b">
        <v>0</v>
      </c>
      <c r="W115" s="129">
        <v>98446065</v>
      </c>
      <c r="X115" s="129">
        <v>0</v>
      </c>
      <c r="Y115" s="129">
        <v>0</v>
      </c>
      <c r="Z115" s="127" t="s">
        <v>255</v>
      </c>
      <c r="AA115" s="129">
        <v>0</v>
      </c>
      <c r="AB115" s="129" t="b">
        <v>0</v>
      </c>
      <c r="AC115" s="127" t="s">
        <v>142</v>
      </c>
      <c r="AD115" s="127" t="s">
        <v>142</v>
      </c>
      <c r="AE115" s="127" t="s">
        <v>142</v>
      </c>
      <c r="AF115" s="129">
        <v>99.928600000000003</v>
      </c>
      <c r="AG115" s="144">
        <v>40919</v>
      </c>
      <c r="AH115" s="129"/>
    </row>
    <row r="116" spans="1:34" x14ac:dyDescent="0.2">
      <c r="A116" s="127" t="s">
        <v>23</v>
      </c>
      <c r="B116" s="128">
        <v>40883.341249999998</v>
      </c>
      <c r="C116" s="127" t="s">
        <v>272</v>
      </c>
      <c r="D116" s="127" t="s">
        <v>271</v>
      </c>
      <c r="E116" s="127" t="s">
        <v>21</v>
      </c>
      <c r="F116" s="129">
        <v>0.63449999999999995</v>
      </c>
      <c r="G116" s="129">
        <v>0.61170000000000002</v>
      </c>
      <c r="H116" s="129">
        <v>33</v>
      </c>
      <c r="I116" s="129">
        <v>122.34</v>
      </c>
      <c r="J116" s="129" t="b">
        <v>0</v>
      </c>
      <c r="K116" s="129" t="b">
        <v>0</v>
      </c>
      <c r="L116" s="129">
        <v>200</v>
      </c>
      <c r="M116" s="129">
        <v>0</v>
      </c>
      <c r="N116" s="129">
        <v>3.71</v>
      </c>
      <c r="O116" s="129">
        <v>0</v>
      </c>
      <c r="P116" s="129">
        <v>0</v>
      </c>
      <c r="Q116" s="129">
        <v>122.34</v>
      </c>
      <c r="R116" s="127" t="s">
        <v>271</v>
      </c>
      <c r="S116" s="129">
        <v>122.34</v>
      </c>
      <c r="T116" s="129">
        <v>37.36</v>
      </c>
      <c r="U116" s="129">
        <v>0</v>
      </c>
      <c r="V116" s="129" t="b">
        <v>0</v>
      </c>
      <c r="W116" s="129">
        <v>98365737</v>
      </c>
      <c r="X116" s="129">
        <v>0</v>
      </c>
      <c r="Y116" s="129">
        <v>0</v>
      </c>
      <c r="Z116" s="127" t="s">
        <v>255</v>
      </c>
      <c r="AA116" s="129">
        <v>0</v>
      </c>
      <c r="AB116" s="129" t="b">
        <v>0</v>
      </c>
      <c r="AC116" s="127" t="s">
        <v>142</v>
      </c>
      <c r="AD116" s="127" t="s">
        <v>142</v>
      </c>
      <c r="AE116" s="127" t="s">
        <v>142</v>
      </c>
      <c r="AF116" s="129">
        <v>99.977199999999996</v>
      </c>
      <c r="AG116" s="144">
        <v>40886</v>
      </c>
      <c r="AH116" s="129"/>
    </row>
    <row r="117" spans="1:34" x14ac:dyDescent="0.2">
      <c r="A117" s="127" t="s">
        <v>23</v>
      </c>
      <c r="B117" s="128">
        <v>40850.342581018522</v>
      </c>
      <c r="C117" s="127" t="s">
        <v>272</v>
      </c>
      <c r="D117" s="127" t="s">
        <v>271</v>
      </c>
      <c r="E117" s="127" t="s">
        <v>21</v>
      </c>
      <c r="F117" s="129">
        <v>0.73070000000000002</v>
      </c>
      <c r="G117" s="129">
        <v>0.63449999999999995</v>
      </c>
      <c r="H117" s="129">
        <v>31</v>
      </c>
      <c r="I117" s="129">
        <v>126.9</v>
      </c>
      <c r="J117" s="129" t="b">
        <v>0</v>
      </c>
      <c r="K117" s="129" t="b">
        <v>0</v>
      </c>
      <c r="L117" s="129">
        <v>200</v>
      </c>
      <c r="M117" s="129">
        <v>0</v>
      </c>
      <c r="N117" s="129">
        <v>4.09</v>
      </c>
      <c r="O117" s="129">
        <v>0</v>
      </c>
      <c r="P117" s="129">
        <v>0</v>
      </c>
      <c r="Q117" s="129">
        <v>126.9</v>
      </c>
      <c r="R117" s="127" t="s">
        <v>271</v>
      </c>
      <c r="S117" s="129">
        <v>126.9</v>
      </c>
      <c r="T117" s="129">
        <v>39.61</v>
      </c>
      <c r="U117" s="129">
        <v>0</v>
      </c>
      <c r="V117" s="129" t="b">
        <v>0</v>
      </c>
      <c r="W117" s="129">
        <v>98275786</v>
      </c>
      <c r="X117" s="129">
        <v>0</v>
      </c>
      <c r="Y117" s="129">
        <v>0</v>
      </c>
      <c r="Z117" s="129"/>
      <c r="AA117" s="129">
        <v>0</v>
      </c>
      <c r="AB117" s="129" t="b">
        <v>0</v>
      </c>
      <c r="AC117" s="127" t="s">
        <v>142</v>
      </c>
      <c r="AD117" s="127" t="s">
        <v>142</v>
      </c>
      <c r="AE117" s="127" t="s">
        <v>142</v>
      </c>
      <c r="AF117" s="129">
        <v>99.903800000000004</v>
      </c>
      <c r="AG117" s="144">
        <v>40856</v>
      </c>
      <c r="AH117" s="129"/>
    </row>
    <row r="118" spans="1:34" x14ac:dyDescent="0.2">
      <c r="A118" s="127" t="s">
        <v>23</v>
      </c>
      <c r="B118" s="128">
        <v>40819.476550925923</v>
      </c>
      <c r="C118" s="127" t="s">
        <v>272</v>
      </c>
      <c r="D118" s="127" t="s">
        <v>271</v>
      </c>
      <c r="E118" s="127" t="s">
        <v>21</v>
      </c>
      <c r="F118" s="129">
        <v>0.83</v>
      </c>
      <c r="G118" s="129">
        <v>0.73070000000000002</v>
      </c>
      <c r="H118" s="129">
        <v>27</v>
      </c>
      <c r="I118" s="129">
        <v>146.13999999999999</v>
      </c>
      <c r="J118" s="129" t="b">
        <v>0</v>
      </c>
      <c r="K118" s="129" t="b">
        <v>0</v>
      </c>
      <c r="L118" s="129">
        <v>200</v>
      </c>
      <c r="M118" s="129">
        <v>0</v>
      </c>
      <c r="N118" s="129">
        <v>5.41</v>
      </c>
      <c r="O118" s="129">
        <v>0</v>
      </c>
      <c r="P118" s="129">
        <v>0</v>
      </c>
      <c r="Q118" s="129">
        <v>146.13999999999999</v>
      </c>
      <c r="R118" s="127" t="s">
        <v>271</v>
      </c>
      <c r="S118" s="129">
        <v>146.13999999999999</v>
      </c>
      <c r="T118" s="129">
        <v>35.69</v>
      </c>
      <c r="U118" s="129">
        <v>0</v>
      </c>
      <c r="V118" s="129" t="b">
        <v>0</v>
      </c>
      <c r="W118" s="129">
        <v>98188635</v>
      </c>
      <c r="X118" s="129">
        <v>0</v>
      </c>
      <c r="Y118" s="129">
        <v>0</v>
      </c>
      <c r="Z118" s="129"/>
      <c r="AA118" s="129">
        <v>0</v>
      </c>
      <c r="AB118" s="129" t="b">
        <v>0</v>
      </c>
      <c r="AC118" s="127" t="s">
        <v>142</v>
      </c>
      <c r="AD118" s="127" t="s">
        <v>142</v>
      </c>
      <c r="AE118" s="127" t="s">
        <v>142</v>
      </c>
      <c r="AF118" s="129">
        <v>99.900700000000001</v>
      </c>
      <c r="AG118" s="144">
        <v>40827</v>
      </c>
      <c r="AH118" s="129"/>
    </row>
    <row r="119" spans="1:34" x14ac:dyDescent="0.2">
      <c r="A119" s="127" t="s">
        <v>23</v>
      </c>
      <c r="B119" s="128">
        <v>40792.487592592595</v>
      </c>
      <c r="C119" s="127" t="s">
        <v>272</v>
      </c>
      <c r="D119" s="127" t="s">
        <v>271</v>
      </c>
      <c r="E119" s="127" t="s">
        <v>21</v>
      </c>
      <c r="F119" s="129">
        <v>0.82</v>
      </c>
      <c r="G119" s="129">
        <v>0.83</v>
      </c>
      <c r="H119" s="129">
        <v>34</v>
      </c>
      <c r="I119" s="129">
        <v>166</v>
      </c>
      <c r="J119" s="129" t="b">
        <v>0</v>
      </c>
      <c r="K119" s="129" t="b">
        <v>0</v>
      </c>
      <c r="L119" s="129">
        <v>200</v>
      </c>
      <c r="M119" s="129">
        <v>0</v>
      </c>
      <c r="N119" s="129">
        <v>4.88</v>
      </c>
      <c r="O119" s="129">
        <v>0</v>
      </c>
      <c r="P119" s="129">
        <v>0</v>
      </c>
      <c r="Q119" s="129">
        <v>166</v>
      </c>
      <c r="R119" s="127" t="s">
        <v>271</v>
      </c>
      <c r="S119" s="129">
        <v>166</v>
      </c>
      <c r="T119" s="129">
        <v>36.47</v>
      </c>
      <c r="U119" s="129">
        <v>0</v>
      </c>
      <c r="V119" s="129" t="b">
        <v>0</v>
      </c>
      <c r="W119" s="129">
        <v>98107250</v>
      </c>
      <c r="X119" s="129">
        <v>0</v>
      </c>
      <c r="Y119" s="129">
        <v>0</v>
      </c>
      <c r="Z119" s="129"/>
      <c r="AA119" s="129">
        <v>0</v>
      </c>
      <c r="AB119" s="129" t="b">
        <v>0</v>
      </c>
      <c r="AC119" s="127" t="s">
        <v>142</v>
      </c>
      <c r="AD119" s="127" t="s">
        <v>142</v>
      </c>
      <c r="AE119" s="127" t="s">
        <v>142</v>
      </c>
      <c r="AF119" s="129">
        <v>0.01</v>
      </c>
      <c r="AG119" s="144">
        <v>40798</v>
      </c>
      <c r="AH119" s="129"/>
    </row>
    <row r="120" spans="1:34" x14ac:dyDescent="0.2">
      <c r="A120" s="127" t="s">
        <v>23</v>
      </c>
      <c r="B120" s="128">
        <v>40758.352523148147</v>
      </c>
      <c r="C120" s="127" t="s">
        <v>272</v>
      </c>
      <c r="D120" s="127" t="s">
        <v>271</v>
      </c>
      <c r="E120" s="127" t="s">
        <v>21</v>
      </c>
      <c r="F120" s="129">
        <v>0.83</v>
      </c>
      <c r="G120" s="129">
        <v>0.82</v>
      </c>
      <c r="H120" s="129">
        <v>26</v>
      </c>
      <c r="I120" s="129">
        <v>164</v>
      </c>
      <c r="J120" s="129" t="b">
        <v>0</v>
      </c>
      <c r="K120" s="129" t="b">
        <v>0</v>
      </c>
      <c r="L120" s="129">
        <v>200</v>
      </c>
      <c r="M120" s="129">
        <v>0</v>
      </c>
      <c r="N120" s="129">
        <v>6.31</v>
      </c>
      <c r="O120" s="129">
        <v>0</v>
      </c>
      <c r="P120" s="129">
        <v>0</v>
      </c>
      <c r="Q120" s="129">
        <v>164</v>
      </c>
      <c r="R120" s="127" t="s">
        <v>271</v>
      </c>
      <c r="S120" s="129">
        <v>164</v>
      </c>
      <c r="T120" s="129">
        <v>39.869999999999997</v>
      </c>
      <c r="U120" s="129">
        <v>0</v>
      </c>
      <c r="V120" s="129" t="b">
        <v>0</v>
      </c>
      <c r="W120" s="129">
        <v>98026646</v>
      </c>
      <c r="X120" s="129">
        <v>0</v>
      </c>
      <c r="Y120" s="129">
        <v>0</v>
      </c>
      <c r="Z120" s="129"/>
      <c r="AA120" s="129">
        <v>0</v>
      </c>
      <c r="AB120" s="129" t="b">
        <v>0</v>
      </c>
      <c r="AC120" s="127" t="s">
        <v>142</v>
      </c>
      <c r="AD120" s="127" t="s">
        <v>142</v>
      </c>
      <c r="AE120" s="127" t="s">
        <v>142</v>
      </c>
      <c r="AF120" s="129">
        <v>99.99</v>
      </c>
      <c r="AG120" s="144">
        <v>40766</v>
      </c>
      <c r="AH120" s="129"/>
    </row>
    <row r="121" spans="1:34" x14ac:dyDescent="0.2">
      <c r="A121" s="127" t="s">
        <v>23</v>
      </c>
      <c r="B121" s="128">
        <v>40732</v>
      </c>
      <c r="C121" s="127" t="s">
        <v>272</v>
      </c>
      <c r="D121" s="127" t="s">
        <v>271</v>
      </c>
      <c r="E121" s="127" t="s">
        <v>75</v>
      </c>
      <c r="F121" s="129">
        <v>0</v>
      </c>
      <c r="G121" s="129">
        <v>0.83</v>
      </c>
      <c r="H121" s="129">
        <v>23</v>
      </c>
      <c r="I121" s="129">
        <v>166</v>
      </c>
      <c r="J121" s="129" t="b">
        <v>0</v>
      </c>
      <c r="K121" s="129" t="b">
        <v>0</v>
      </c>
      <c r="L121" s="129">
        <v>200</v>
      </c>
      <c r="M121" s="129">
        <v>0</v>
      </c>
      <c r="N121" s="129">
        <v>7.22</v>
      </c>
      <c r="O121" s="129">
        <v>0</v>
      </c>
      <c r="P121" s="129">
        <v>0</v>
      </c>
      <c r="Q121" s="129">
        <v>166</v>
      </c>
      <c r="R121" s="127" t="s">
        <v>271</v>
      </c>
      <c r="S121" s="129">
        <v>166</v>
      </c>
      <c r="T121" s="129">
        <v>42.41</v>
      </c>
      <c r="U121" s="129">
        <v>0</v>
      </c>
      <c r="V121" s="129" t="b">
        <v>0</v>
      </c>
      <c r="W121" s="129">
        <v>97940271</v>
      </c>
      <c r="X121" s="129">
        <v>0</v>
      </c>
      <c r="Y121" s="129">
        <v>0</v>
      </c>
      <c r="Z121" s="129"/>
      <c r="AA121" s="129">
        <v>0</v>
      </c>
      <c r="AB121" s="129" t="b">
        <v>0</v>
      </c>
      <c r="AC121" s="127" t="s">
        <v>142</v>
      </c>
      <c r="AD121" s="127" t="s">
        <v>142</v>
      </c>
      <c r="AE121" s="127" t="s">
        <v>142</v>
      </c>
      <c r="AF121" s="129">
        <v>0.83</v>
      </c>
      <c r="AG121" s="144">
        <v>40737</v>
      </c>
      <c r="AH121" s="129"/>
    </row>
    <row r="122" spans="1:34" x14ac:dyDescent="0.2">
      <c r="A122" s="127" t="s">
        <v>23</v>
      </c>
      <c r="B122" s="128">
        <v>40709</v>
      </c>
      <c r="C122" s="127" t="s">
        <v>274</v>
      </c>
      <c r="D122" s="127" t="s">
        <v>271</v>
      </c>
      <c r="E122" s="127" t="s">
        <v>21</v>
      </c>
      <c r="F122" s="129">
        <v>0.8</v>
      </c>
      <c r="G122" s="129">
        <v>0.72</v>
      </c>
      <c r="H122" s="129">
        <v>6</v>
      </c>
      <c r="I122" s="129">
        <v>144</v>
      </c>
      <c r="J122" s="129" t="b">
        <v>0</v>
      </c>
      <c r="K122" s="129" t="b">
        <v>0</v>
      </c>
      <c r="L122" s="129">
        <v>200</v>
      </c>
      <c r="M122" s="129">
        <v>0</v>
      </c>
      <c r="N122" s="129">
        <v>24</v>
      </c>
      <c r="O122" s="129">
        <v>0</v>
      </c>
      <c r="P122" s="129">
        <v>0</v>
      </c>
      <c r="Q122" s="129">
        <v>144</v>
      </c>
      <c r="R122" s="127" t="s">
        <v>271</v>
      </c>
      <c r="S122" s="129">
        <v>144</v>
      </c>
      <c r="T122" s="129">
        <v>42.41</v>
      </c>
      <c r="U122" s="129">
        <v>0</v>
      </c>
      <c r="V122" s="129" t="b">
        <v>0</v>
      </c>
      <c r="W122" s="129">
        <v>97940271</v>
      </c>
      <c r="X122" s="129">
        <v>0</v>
      </c>
      <c r="Y122" s="129">
        <v>0</v>
      </c>
      <c r="Z122" s="129"/>
      <c r="AA122" s="129">
        <v>0</v>
      </c>
      <c r="AB122" s="129" t="b">
        <v>0</v>
      </c>
      <c r="AC122" s="127" t="s">
        <v>142</v>
      </c>
      <c r="AD122" s="127" t="s">
        <v>142</v>
      </c>
      <c r="AE122" s="127" t="s">
        <v>142</v>
      </c>
      <c r="AF122" s="129">
        <v>99.92</v>
      </c>
      <c r="AG122" s="144">
        <v>40737</v>
      </c>
      <c r="AH122" s="129"/>
    </row>
    <row r="123" spans="1:34" x14ac:dyDescent="0.2">
      <c r="A123" s="127" t="s">
        <v>23</v>
      </c>
      <c r="B123" s="128">
        <v>40703.395868055559</v>
      </c>
      <c r="C123" s="127" t="s">
        <v>274</v>
      </c>
      <c r="D123" s="127" t="s">
        <v>271</v>
      </c>
      <c r="E123" s="127" t="s">
        <v>21</v>
      </c>
      <c r="F123" s="129">
        <v>0.65</v>
      </c>
      <c r="G123" s="129">
        <v>0.8</v>
      </c>
      <c r="H123" s="129">
        <v>34</v>
      </c>
      <c r="I123" s="129">
        <v>160</v>
      </c>
      <c r="J123" s="129" t="b">
        <v>0</v>
      </c>
      <c r="K123" s="129" t="b">
        <v>0</v>
      </c>
      <c r="L123" s="129">
        <v>200</v>
      </c>
      <c r="M123" s="129">
        <v>0</v>
      </c>
      <c r="N123" s="129">
        <v>4.71</v>
      </c>
      <c r="O123" s="129">
        <v>0</v>
      </c>
      <c r="P123" s="129">
        <v>0</v>
      </c>
      <c r="Q123" s="129">
        <v>160</v>
      </c>
      <c r="R123" s="127" t="s">
        <v>271</v>
      </c>
      <c r="S123" s="129">
        <v>0</v>
      </c>
      <c r="T123" s="129">
        <v>38.299999999999997</v>
      </c>
      <c r="U123" s="129">
        <v>0</v>
      </c>
      <c r="V123" s="129" t="b">
        <v>0</v>
      </c>
      <c r="W123" s="129">
        <v>97857389</v>
      </c>
      <c r="X123" s="129">
        <v>0</v>
      </c>
      <c r="Y123" s="129">
        <v>0</v>
      </c>
      <c r="Z123" s="127" t="s">
        <v>250</v>
      </c>
      <c r="AA123" s="129">
        <v>0</v>
      </c>
      <c r="AB123" s="129" t="b">
        <v>0</v>
      </c>
      <c r="AC123" s="127" t="s">
        <v>142</v>
      </c>
      <c r="AD123" s="127" t="s">
        <v>142</v>
      </c>
      <c r="AE123" s="127" t="s">
        <v>142</v>
      </c>
      <c r="AF123" s="129">
        <v>0.15</v>
      </c>
      <c r="AG123" s="144">
        <v>40704</v>
      </c>
      <c r="AH123" s="129"/>
    </row>
    <row r="124" spans="1:34" x14ac:dyDescent="0.2">
      <c r="A124" s="127" t="s">
        <v>23</v>
      </c>
      <c r="B124" s="128">
        <v>40669.327766203707</v>
      </c>
      <c r="C124" s="127" t="s">
        <v>274</v>
      </c>
      <c r="D124" s="127" t="s">
        <v>271</v>
      </c>
      <c r="E124" s="127" t="s">
        <v>21</v>
      </c>
      <c r="F124" s="129">
        <v>0.63</v>
      </c>
      <c r="G124" s="129">
        <v>0.65</v>
      </c>
      <c r="H124" s="129">
        <v>28</v>
      </c>
      <c r="I124" s="129">
        <v>130</v>
      </c>
      <c r="J124" s="129" t="b">
        <v>0</v>
      </c>
      <c r="K124" s="129" t="b">
        <v>0</v>
      </c>
      <c r="L124" s="129">
        <v>200</v>
      </c>
      <c r="M124" s="129">
        <v>0</v>
      </c>
      <c r="N124" s="129">
        <v>4.6399999999999997</v>
      </c>
      <c r="O124" s="129">
        <v>0</v>
      </c>
      <c r="P124" s="129">
        <v>0</v>
      </c>
      <c r="Q124" s="129">
        <v>130</v>
      </c>
      <c r="R124" s="127" t="s">
        <v>271</v>
      </c>
      <c r="S124" s="129">
        <v>0</v>
      </c>
      <c r="T124" s="129">
        <v>39.15</v>
      </c>
      <c r="U124" s="129">
        <v>0</v>
      </c>
      <c r="V124" s="129" t="b">
        <v>0</v>
      </c>
      <c r="W124" s="129">
        <v>97779647</v>
      </c>
      <c r="X124" s="129">
        <v>0</v>
      </c>
      <c r="Y124" s="129">
        <v>0</v>
      </c>
      <c r="Z124" s="127" t="s">
        <v>265</v>
      </c>
      <c r="AA124" s="129">
        <v>0</v>
      </c>
      <c r="AB124" s="129" t="b">
        <v>0</v>
      </c>
      <c r="AC124" s="127" t="s">
        <v>142</v>
      </c>
      <c r="AD124" s="127" t="s">
        <v>142</v>
      </c>
      <c r="AE124" s="127" t="s">
        <v>142</v>
      </c>
      <c r="AF124" s="129">
        <v>0.02</v>
      </c>
      <c r="AG124" s="144">
        <v>40674</v>
      </c>
      <c r="AH124" s="129"/>
    </row>
    <row r="125" spans="1:34" x14ac:dyDescent="0.2">
      <c r="A125" s="127" t="s">
        <v>23</v>
      </c>
      <c r="B125" s="128">
        <v>40641.511261574073</v>
      </c>
      <c r="C125" s="127" t="s">
        <v>274</v>
      </c>
      <c r="D125" s="127" t="s">
        <v>271</v>
      </c>
      <c r="E125" s="127" t="s">
        <v>21</v>
      </c>
      <c r="F125" s="129">
        <v>0.68</v>
      </c>
      <c r="G125" s="129">
        <v>0.63</v>
      </c>
      <c r="H125" s="129">
        <v>29</v>
      </c>
      <c r="I125" s="129">
        <v>126</v>
      </c>
      <c r="J125" s="129" t="b">
        <v>0</v>
      </c>
      <c r="K125" s="129" t="b">
        <v>0</v>
      </c>
      <c r="L125" s="129">
        <v>200</v>
      </c>
      <c r="M125" s="129">
        <v>0</v>
      </c>
      <c r="N125" s="129">
        <v>4.34</v>
      </c>
      <c r="O125" s="129">
        <v>0</v>
      </c>
      <c r="P125" s="129">
        <v>0</v>
      </c>
      <c r="Q125" s="129">
        <v>126</v>
      </c>
      <c r="R125" s="127" t="s">
        <v>271</v>
      </c>
      <c r="S125" s="129">
        <v>0</v>
      </c>
      <c r="T125" s="129">
        <v>42.65</v>
      </c>
      <c r="U125" s="129">
        <v>0</v>
      </c>
      <c r="V125" s="129" t="b">
        <v>0</v>
      </c>
      <c r="W125" s="129">
        <v>97698423</v>
      </c>
      <c r="X125" s="129">
        <v>0</v>
      </c>
      <c r="Y125" s="129">
        <v>0</v>
      </c>
      <c r="Z125" s="127" t="s">
        <v>252</v>
      </c>
      <c r="AA125" s="129">
        <v>0</v>
      </c>
      <c r="AB125" s="129" t="b">
        <v>0</v>
      </c>
      <c r="AC125" s="127" t="s">
        <v>142</v>
      </c>
      <c r="AD125" s="127" t="s">
        <v>142</v>
      </c>
      <c r="AE125" s="127" t="s">
        <v>142</v>
      </c>
      <c r="AF125" s="129">
        <v>99.95</v>
      </c>
      <c r="AG125" s="144">
        <v>40644</v>
      </c>
      <c r="AH125" s="129"/>
    </row>
    <row r="126" spans="1:34" x14ac:dyDescent="0.2">
      <c r="A126" s="127" t="s">
        <v>23</v>
      </c>
      <c r="B126" s="128">
        <v>40612.446168981478</v>
      </c>
      <c r="C126" s="127" t="s">
        <v>274</v>
      </c>
      <c r="D126" s="127" t="s">
        <v>271</v>
      </c>
      <c r="E126" s="127" t="s">
        <v>21</v>
      </c>
      <c r="F126" s="129">
        <v>0.7</v>
      </c>
      <c r="G126" s="129">
        <v>0.68</v>
      </c>
      <c r="H126" s="129">
        <v>30</v>
      </c>
      <c r="I126" s="129">
        <v>136</v>
      </c>
      <c r="J126" s="129" t="b">
        <v>0</v>
      </c>
      <c r="K126" s="129" t="b">
        <v>0</v>
      </c>
      <c r="L126" s="129">
        <v>200</v>
      </c>
      <c r="M126" s="129">
        <v>0</v>
      </c>
      <c r="N126" s="129">
        <v>4.53</v>
      </c>
      <c r="O126" s="129">
        <v>0</v>
      </c>
      <c r="P126" s="129">
        <v>0</v>
      </c>
      <c r="Q126" s="129">
        <v>136</v>
      </c>
      <c r="R126" s="127" t="s">
        <v>271</v>
      </c>
      <c r="S126" s="129">
        <v>0</v>
      </c>
      <c r="T126" s="129">
        <v>35.74</v>
      </c>
      <c r="U126" s="129">
        <v>0</v>
      </c>
      <c r="V126" s="129" t="b">
        <v>0</v>
      </c>
      <c r="W126" s="129">
        <v>97611359</v>
      </c>
      <c r="X126" s="129">
        <v>0</v>
      </c>
      <c r="Y126" s="129">
        <v>0</v>
      </c>
      <c r="Z126" s="127" t="s">
        <v>252</v>
      </c>
      <c r="AA126" s="129">
        <v>0</v>
      </c>
      <c r="AB126" s="129" t="b">
        <v>0</v>
      </c>
      <c r="AC126" s="127" t="s">
        <v>142</v>
      </c>
      <c r="AD126" s="127" t="s">
        <v>142</v>
      </c>
      <c r="AE126" s="127" t="s">
        <v>142</v>
      </c>
      <c r="AF126" s="129">
        <v>99.98</v>
      </c>
      <c r="AG126" s="144">
        <v>40613</v>
      </c>
      <c r="AH126" s="129"/>
    </row>
    <row r="127" spans="1:34" x14ac:dyDescent="0.2">
      <c r="A127" s="127" t="s">
        <v>23</v>
      </c>
      <c r="B127" s="128">
        <v>40582</v>
      </c>
      <c r="C127" s="127" t="s">
        <v>274</v>
      </c>
      <c r="D127" s="127" t="s">
        <v>271</v>
      </c>
      <c r="E127" s="127" t="s">
        <v>75</v>
      </c>
      <c r="F127" s="129">
        <v>0.71</v>
      </c>
      <c r="G127" s="129">
        <v>0.7</v>
      </c>
      <c r="H127" s="129">
        <v>29</v>
      </c>
      <c r="I127" s="129">
        <v>140</v>
      </c>
      <c r="J127" s="129" t="b">
        <v>0</v>
      </c>
      <c r="K127" s="129" t="b">
        <v>0</v>
      </c>
      <c r="L127" s="129">
        <v>200</v>
      </c>
      <c r="M127" s="129">
        <v>0</v>
      </c>
      <c r="N127" s="129">
        <v>4.83</v>
      </c>
      <c r="O127" s="129">
        <v>0</v>
      </c>
      <c r="P127" s="129">
        <v>0</v>
      </c>
      <c r="Q127" s="129">
        <v>140</v>
      </c>
      <c r="R127" s="127" t="s">
        <v>271</v>
      </c>
      <c r="S127" s="129">
        <v>0</v>
      </c>
      <c r="T127" s="129">
        <v>42.9</v>
      </c>
      <c r="U127" s="129">
        <v>0</v>
      </c>
      <c r="V127" s="129" t="b">
        <v>0</v>
      </c>
      <c r="W127" s="129">
        <v>97527070</v>
      </c>
      <c r="X127" s="129">
        <v>0</v>
      </c>
      <c r="Y127" s="129">
        <v>0</v>
      </c>
      <c r="Z127" s="129"/>
      <c r="AA127" s="129">
        <v>0</v>
      </c>
      <c r="AB127" s="129" t="b">
        <v>0</v>
      </c>
      <c r="AC127" s="127" t="s">
        <v>142</v>
      </c>
      <c r="AD127" s="127" t="s">
        <v>142</v>
      </c>
      <c r="AE127" s="127" t="s">
        <v>142</v>
      </c>
      <c r="AF127" s="129">
        <v>99.99</v>
      </c>
      <c r="AG127" s="144">
        <v>40584</v>
      </c>
      <c r="AH127" s="129"/>
    </row>
    <row r="128" spans="1:34" x14ac:dyDescent="0.2">
      <c r="A128" s="127" t="s">
        <v>23</v>
      </c>
      <c r="B128" s="128">
        <v>40553.33384259259</v>
      </c>
      <c r="C128" s="127" t="s">
        <v>274</v>
      </c>
      <c r="D128" s="127" t="s">
        <v>271</v>
      </c>
      <c r="E128" s="127" t="s">
        <v>21</v>
      </c>
      <c r="F128" s="129">
        <v>0.65</v>
      </c>
      <c r="G128" s="129">
        <v>0.71</v>
      </c>
      <c r="H128" s="129">
        <v>35</v>
      </c>
      <c r="I128" s="129">
        <v>142</v>
      </c>
      <c r="J128" s="129" t="b">
        <v>0</v>
      </c>
      <c r="K128" s="129" t="b">
        <v>0</v>
      </c>
      <c r="L128" s="129">
        <v>200</v>
      </c>
      <c r="M128" s="129">
        <v>0</v>
      </c>
      <c r="N128" s="129">
        <v>4.0599999999999996</v>
      </c>
      <c r="O128" s="129">
        <v>0</v>
      </c>
      <c r="P128" s="129">
        <v>0</v>
      </c>
      <c r="Q128" s="129">
        <v>142</v>
      </c>
      <c r="R128" s="127" t="s">
        <v>271</v>
      </c>
      <c r="S128" s="129">
        <v>0</v>
      </c>
      <c r="T128" s="129">
        <v>37.56</v>
      </c>
      <c r="U128" s="129">
        <v>0</v>
      </c>
      <c r="V128" s="129" t="b">
        <v>0</v>
      </c>
      <c r="W128" s="129">
        <v>97444364</v>
      </c>
      <c r="X128" s="129">
        <v>0</v>
      </c>
      <c r="Y128" s="129">
        <v>0</v>
      </c>
      <c r="Z128" s="127" t="s">
        <v>265</v>
      </c>
      <c r="AA128" s="129">
        <v>0</v>
      </c>
      <c r="AB128" s="129" t="b">
        <v>0</v>
      </c>
      <c r="AC128" s="127" t="s">
        <v>142</v>
      </c>
      <c r="AD128" s="127" t="s">
        <v>142</v>
      </c>
      <c r="AE128" s="127" t="s">
        <v>142</v>
      </c>
      <c r="AF128" s="129">
        <v>0.06</v>
      </c>
      <c r="AG128" s="144">
        <v>40554</v>
      </c>
      <c r="AH128" s="129"/>
    </row>
    <row r="129" spans="1:34" x14ac:dyDescent="0.2">
      <c r="A129" s="127" t="s">
        <v>23</v>
      </c>
      <c r="B129" s="128">
        <v>40518.330995370372</v>
      </c>
      <c r="C129" s="127" t="s">
        <v>274</v>
      </c>
      <c r="D129" s="127" t="s">
        <v>271</v>
      </c>
      <c r="E129" s="127" t="s">
        <v>21</v>
      </c>
      <c r="F129" s="129">
        <v>0.7</v>
      </c>
      <c r="G129" s="129">
        <v>0.65</v>
      </c>
      <c r="H129" s="129">
        <v>32</v>
      </c>
      <c r="I129" s="129">
        <v>130</v>
      </c>
      <c r="J129" s="129" t="b">
        <v>0</v>
      </c>
      <c r="K129" s="129" t="b">
        <v>0</v>
      </c>
      <c r="L129" s="129">
        <v>200</v>
      </c>
      <c r="M129" s="129">
        <v>0</v>
      </c>
      <c r="N129" s="129">
        <v>4.0599999999999996</v>
      </c>
      <c r="O129" s="129">
        <v>0</v>
      </c>
      <c r="P129" s="129">
        <v>0</v>
      </c>
      <c r="Q129" s="129">
        <v>130</v>
      </c>
      <c r="R129" s="127" t="s">
        <v>271</v>
      </c>
      <c r="S129" s="129">
        <v>0</v>
      </c>
      <c r="T129" s="129">
        <v>42.07</v>
      </c>
      <c r="U129" s="129">
        <v>0</v>
      </c>
      <c r="V129" s="129" t="b">
        <v>0</v>
      </c>
      <c r="W129" s="129">
        <v>97368684</v>
      </c>
      <c r="X129" s="129">
        <v>0</v>
      </c>
      <c r="Y129" s="129">
        <v>0</v>
      </c>
      <c r="Z129" s="127" t="s">
        <v>246</v>
      </c>
      <c r="AA129" s="129">
        <v>0</v>
      </c>
      <c r="AB129" s="129" t="b">
        <v>0</v>
      </c>
      <c r="AC129" s="127" t="s">
        <v>142</v>
      </c>
      <c r="AD129" s="127" t="s">
        <v>142</v>
      </c>
      <c r="AE129" s="127" t="s">
        <v>142</v>
      </c>
      <c r="AF129" s="129">
        <v>99.95</v>
      </c>
      <c r="AG129" s="144">
        <v>40522</v>
      </c>
      <c r="AH129" s="129"/>
    </row>
    <row r="130" spans="1:34" x14ac:dyDescent="0.2">
      <c r="A130" s="127" t="s">
        <v>23</v>
      </c>
      <c r="B130" s="128">
        <v>40486.329409722224</v>
      </c>
      <c r="C130" s="127" t="s">
        <v>274</v>
      </c>
      <c r="D130" s="127" t="s">
        <v>271</v>
      </c>
      <c r="E130" s="127" t="s">
        <v>21</v>
      </c>
      <c r="F130" s="129">
        <v>0.75</v>
      </c>
      <c r="G130" s="129">
        <v>0.7</v>
      </c>
      <c r="H130" s="129">
        <v>27</v>
      </c>
      <c r="I130" s="129">
        <v>140</v>
      </c>
      <c r="J130" s="129" t="b">
        <v>0</v>
      </c>
      <c r="K130" s="129" t="b">
        <v>0</v>
      </c>
      <c r="L130" s="129">
        <v>200</v>
      </c>
      <c r="M130" s="129">
        <v>0</v>
      </c>
      <c r="N130" s="129">
        <v>5.19</v>
      </c>
      <c r="O130" s="129">
        <v>0</v>
      </c>
      <c r="P130" s="129">
        <v>0</v>
      </c>
      <c r="Q130" s="129">
        <v>140</v>
      </c>
      <c r="R130" s="127" t="s">
        <v>271</v>
      </c>
      <c r="S130" s="129">
        <v>0</v>
      </c>
      <c r="T130" s="129">
        <v>41.23</v>
      </c>
      <c r="U130" s="129">
        <v>0</v>
      </c>
      <c r="V130" s="129" t="b">
        <v>0</v>
      </c>
      <c r="W130" s="129">
        <v>97281560</v>
      </c>
      <c r="X130" s="129">
        <v>0</v>
      </c>
      <c r="Y130" s="129">
        <v>0</v>
      </c>
      <c r="Z130" s="127" t="s">
        <v>246</v>
      </c>
      <c r="AA130" s="129">
        <v>0</v>
      </c>
      <c r="AB130" s="129" t="b">
        <v>0</v>
      </c>
      <c r="AC130" s="127" t="s">
        <v>142</v>
      </c>
      <c r="AD130" s="127" t="s">
        <v>142</v>
      </c>
      <c r="AE130" s="127" t="s">
        <v>142</v>
      </c>
      <c r="AF130" s="129">
        <v>99.95</v>
      </c>
      <c r="AG130" s="144">
        <v>40491</v>
      </c>
      <c r="AH130" s="129"/>
    </row>
    <row r="131" spans="1:34" x14ac:dyDescent="0.2">
      <c r="A131" s="127" t="s">
        <v>23</v>
      </c>
      <c r="B131" s="128">
        <v>40459.334050925929</v>
      </c>
      <c r="C131" s="127" t="s">
        <v>274</v>
      </c>
      <c r="D131" s="127" t="s">
        <v>271</v>
      </c>
      <c r="E131" s="127" t="s">
        <v>21</v>
      </c>
      <c r="F131" s="129">
        <v>0.85</v>
      </c>
      <c r="G131" s="129">
        <v>0.75</v>
      </c>
      <c r="H131" s="129">
        <v>29</v>
      </c>
      <c r="I131" s="129">
        <v>150</v>
      </c>
      <c r="J131" s="129" t="b">
        <v>0</v>
      </c>
      <c r="K131" s="129" t="b">
        <v>0</v>
      </c>
      <c r="L131" s="129">
        <v>200</v>
      </c>
      <c r="M131" s="129">
        <v>0</v>
      </c>
      <c r="N131" s="129">
        <v>5.17</v>
      </c>
      <c r="O131" s="129">
        <v>0</v>
      </c>
      <c r="P131" s="129">
        <v>0</v>
      </c>
      <c r="Q131" s="129">
        <v>150</v>
      </c>
      <c r="R131" s="127" t="s">
        <v>271</v>
      </c>
      <c r="S131" s="129">
        <v>0</v>
      </c>
      <c r="T131" s="129">
        <v>46.17</v>
      </c>
      <c r="U131" s="129">
        <v>0</v>
      </c>
      <c r="V131" s="129" t="b">
        <v>0</v>
      </c>
      <c r="W131" s="129">
        <v>97199498</v>
      </c>
      <c r="X131" s="129">
        <v>0</v>
      </c>
      <c r="Y131" s="129">
        <v>0</v>
      </c>
      <c r="Z131" s="127" t="s">
        <v>246</v>
      </c>
      <c r="AA131" s="129">
        <v>0</v>
      </c>
      <c r="AB131" s="129" t="b">
        <v>0</v>
      </c>
      <c r="AC131" s="127" t="s">
        <v>142</v>
      </c>
      <c r="AD131" s="127" t="s">
        <v>142</v>
      </c>
      <c r="AE131" s="127" t="s">
        <v>142</v>
      </c>
      <c r="AF131" s="129">
        <v>99.9</v>
      </c>
      <c r="AG131" s="144">
        <v>40463</v>
      </c>
      <c r="AH131" s="129"/>
    </row>
    <row r="132" spans="1:34" x14ac:dyDescent="0.2">
      <c r="A132" s="127" t="s">
        <v>23</v>
      </c>
      <c r="B132" s="128">
        <v>40430.333414351851</v>
      </c>
      <c r="C132" s="127" t="s">
        <v>274</v>
      </c>
      <c r="D132" s="127" t="s">
        <v>271</v>
      </c>
      <c r="E132" s="127" t="s">
        <v>21</v>
      </c>
      <c r="F132" s="129">
        <v>0.86</v>
      </c>
      <c r="G132" s="129">
        <v>0.85</v>
      </c>
      <c r="H132" s="129">
        <v>31</v>
      </c>
      <c r="I132" s="129">
        <v>170</v>
      </c>
      <c r="J132" s="129" t="b">
        <v>0</v>
      </c>
      <c r="K132" s="129" t="b">
        <v>0</v>
      </c>
      <c r="L132" s="129">
        <v>200</v>
      </c>
      <c r="M132" s="129">
        <v>0</v>
      </c>
      <c r="N132" s="129">
        <v>5.48</v>
      </c>
      <c r="O132" s="129">
        <v>0</v>
      </c>
      <c r="P132" s="129">
        <v>0</v>
      </c>
      <c r="Q132" s="129">
        <v>170</v>
      </c>
      <c r="R132" s="127" t="s">
        <v>271</v>
      </c>
      <c r="S132" s="129">
        <v>0</v>
      </c>
      <c r="T132" s="129">
        <v>43.49</v>
      </c>
      <c r="U132" s="129">
        <v>0</v>
      </c>
      <c r="V132" s="129" t="b">
        <v>0</v>
      </c>
      <c r="W132" s="129">
        <v>97118174</v>
      </c>
      <c r="X132" s="129">
        <v>0</v>
      </c>
      <c r="Y132" s="129">
        <v>0</v>
      </c>
      <c r="Z132" s="127" t="s">
        <v>252</v>
      </c>
      <c r="AA132" s="129">
        <v>0</v>
      </c>
      <c r="AB132" s="129" t="b">
        <v>0</v>
      </c>
      <c r="AC132" s="127" t="s">
        <v>142</v>
      </c>
      <c r="AD132" s="127" t="s">
        <v>142</v>
      </c>
      <c r="AE132" s="127" t="s">
        <v>142</v>
      </c>
      <c r="AF132" s="129">
        <v>99.99</v>
      </c>
      <c r="AG132" s="144">
        <v>40431</v>
      </c>
      <c r="AH132" s="129"/>
    </row>
    <row r="133" spans="1:34" x14ac:dyDescent="0.2">
      <c r="A133" s="127" t="s">
        <v>23</v>
      </c>
      <c r="B133" s="128">
        <v>40399.356689814813</v>
      </c>
      <c r="C133" s="127" t="s">
        <v>274</v>
      </c>
      <c r="D133" s="127" t="s">
        <v>271</v>
      </c>
      <c r="E133" s="127" t="s">
        <v>21</v>
      </c>
      <c r="F133" s="129">
        <v>0.83</v>
      </c>
      <c r="G133" s="129">
        <v>0.86</v>
      </c>
      <c r="H133" s="129">
        <v>32</v>
      </c>
      <c r="I133" s="129">
        <v>172</v>
      </c>
      <c r="J133" s="129" t="b">
        <v>0</v>
      </c>
      <c r="K133" s="129" t="b">
        <v>0</v>
      </c>
      <c r="L133" s="129">
        <v>200</v>
      </c>
      <c r="M133" s="129">
        <v>0</v>
      </c>
      <c r="N133" s="129">
        <v>5.38</v>
      </c>
      <c r="O133" s="129">
        <v>0</v>
      </c>
      <c r="P133" s="129">
        <v>0</v>
      </c>
      <c r="Q133" s="129">
        <v>172</v>
      </c>
      <c r="R133" s="127" t="s">
        <v>271</v>
      </c>
      <c r="S133" s="129">
        <v>0</v>
      </c>
      <c r="T133" s="129">
        <v>51.02</v>
      </c>
      <c r="U133" s="129">
        <v>0</v>
      </c>
      <c r="V133" s="129" t="b">
        <v>0</v>
      </c>
      <c r="W133" s="129">
        <v>97034691</v>
      </c>
      <c r="X133" s="129">
        <v>0</v>
      </c>
      <c r="Y133" s="129">
        <v>0</v>
      </c>
      <c r="Z133" s="127" t="s">
        <v>266</v>
      </c>
      <c r="AA133" s="129">
        <v>0</v>
      </c>
      <c r="AB133" s="129" t="b">
        <v>0</v>
      </c>
      <c r="AC133" s="127" t="s">
        <v>142</v>
      </c>
      <c r="AD133" s="127" t="s">
        <v>142</v>
      </c>
      <c r="AE133" s="127" t="s">
        <v>142</v>
      </c>
      <c r="AF133" s="129">
        <v>0.03</v>
      </c>
      <c r="AG133" s="144">
        <v>40401</v>
      </c>
      <c r="AH133" s="129"/>
    </row>
    <row r="134" spans="1:34" x14ac:dyDescent="0.2">
      <c r="A134" s="127" t="s">
        <v>23</v>
      </c>
      <c r="B134" s="128">
        <v>40367.360798611109</v>
      </c>
      <c r="C134" s="127" t="s">
        <v>274</v>
      </c>
      <c r="D134" s="127" t="s">
        <v>271</v>
      </c>
      <c r="E134" s="127" t="s">
        <v>21</v>
      </c>
      <c r="F134" s="129">
        <v>0.9</v>
      </c>
      <c r="G134" s="129">
        <v>0.83</v>
      </c>
      <c r="H134" s="129">
        <v>30</v>
      </c>
      <c r="I134" s="129">
        <v>166</v>
      </c>
      <c r="J134" s="129" t="b">
        <v>0</v>
      </c>
      <c r="K134" s="129" t="b">
        <v>0</v>
      </c>
      <c r="L134" s="129">
        <v>200</v>
      </c>
      <c r="M134" s="129">
        <v>0</v>
      </c>
      <c r="N134" s="129">
        <v>5.53</v>
      </c>
      <c r="O134" s="129">
        <v>0</v>
      </c>
      <c r="P134" s="129">
        <v>0</v>
      </c>
      <c r="Q134" s="129">
        <v>166</v>
      </c>
      <c r="R134" s="127" t="s">
        <v>271</v>
      </c>
      <c r="S134" s="129">
        <v>0</v>
      </c>
      <c r="T134" s="129">
        <v>44.01</v>
      </c>
      <c r="U134" s="129">
        <v>0</v>
      </c>
      <c r="V134" s="129" t="b">
        <v>0</v>
      </c>
      <c r="W134" s="129">
        <v>96938789</v>
      </c>
      <c r="X134" s="129">
        <v>0</v>
      </c>
      <c r="Y134" s="129">
        <v>0</v>
      </c>
      <c r="Z134" s="127" t="s">
        <v>266</v>
      </c>
      <c r="AA134" s="129">
        <v>0</v>
      </c>
      <c r="AB134" s="129" t="b">
        <v>0</v>
      </c>
      <c r="AC134" s="127" t="s">
        <v>142</v>
      </c>
      <c r="AD134" s="127" t="s">
        <v>142</v>
      </c>
      <c r="AE134" s="127" t="s">
        <v>142</v>
      </c>
      <c r="AF134" s="129">
        <v>99.93</v>
      </c>
      <c r="AG134" s="144">
        <v>40373</v>
      </c>
      <c r="AH134" s="129"/>
    </row>
    <row r="135" spans="1:34" x14ac:dyDescent="0.2">
      <c r="A135" s="127" t="s">
        <v>23</v>
      </c>
      <c r="B135" s="128">
        <v>40337.548472222225</v>
      </c>
      <c r="C135" s="127" t="s">
        <v>274</v>
      </c>
      <c r="D135" s="127" t="s">
        <v>271</v>
      </c>
      <c r="E135" s="127" t="s">
        <v>21</v>
      </c>
      <c r="F135" s="129">
        <v>0.7</v>
      </c>
      <c r="G135" s="129">
        <v>0.9</v>
      </c>
      <c r="H135" s="129">
        <v>32</v>
      </c>
      <c r="I135" s="129">
        <v>180</v>
      </c>
      <c r="J135" s="129" t="b">
        <v>0</v>
      </c>
      <c r="K135" s="129" t="b">
        <v>0</v>
      </c>
      <c r="L135" s="129">
        <v>200</v>
      </c>
      <c r="M135" s="129">
        <v>0</v>
      </c>
      <c r="N135" s="129">
        <v>5.63</v>
      </c>
      <c r="O135" s="129">
        <v>0</v>
      </c>
      <c r="P135" s="129">
        <v>0</v>
      </c>
      <c r="Q135" s="129">
        <v>180</v>
      </c>
      <c r="R135" s="127" t="s">
        <v>271</v>
      </c>
      <c r="S135" s="129">
        <v>0</v>
      </c>
      <c r="T135" s="129">
        <v>39.5</v>
      </c>
      <c r="U135" s="129">
        <v>0</v>
      </c>
      <c r="V135" s="129" t="b">
        <v>0</v>
      </c>
      <c r="W135" s="129">
        <v>96837428</v>
      </c>
      <c r="X135" s="129">
        <v>0</v>
      </c>
      <c r="Y135" s="129">
        <v>0</v>
      </c>
      <c r="Z135" s="127" t="s">
        <v>266</v>
      </c>
      <c r="AA135" s="129">
        <v>0</v>
      </c>
      <c r="AB135" s="129" t="b">
        <v>0</v>
      </c>
      <c r="AC135" s="127" t="s">
        <v>142</v>
      </c>
      <c r="AD135" s="127" t="s">
        <v>142</v>
      </c>
      <c r="AE135" s="127" t="s">
        <v>142</v>
      </c>
      <c r="AF135" s="129">
        <v>0.2</v>
      </c>
      <c r="AG135" s="144">
        <v>40339</v>
      </c>
      <c r="AH135" s="129"/>
    </row>
    <row r="136" spans="1:34" x14ac:dyDescent="0.2">
      <c r="A136" s="127" t="s">
        <v>23</v>
      </c>
      <c r="B136" s="128">
        <v>40305.337291666663</v>
      </c>
      <c r="C136" s="127" t="s">
        <v>274</v>
      </c>
      <c r="D136" s="127" t="s">
        <v>271</v>
      </c>
      <c r="E136" s="127" t="s">
        <v>21</v>
      </c>
      <c r="F136" s="129">
        <v>0.7</v>
      </c>
      <c r="G136" s="129">
        <v>0.7</v>
      </c>
      <c r="H136" s="129">
        <v>29</v>
      </c>
      <c r="I136" s="129">
        <v>140</v>
      </c>
      <c r="J136" s="129" t="b">
        <v>0</v>
      </c>
      <c r="K136" s="129" t="b">
        <v>0</v>
      </c>
      <c r="L136" s="129">
        <v>200</v>
      </c>
      <c r="M136" s="129">
        <v>0</v>
      </c>
      <c r="N136" s="129">
        <v>4.83</v>
      </c>
      <c r="O136" s="129">
        <v>0</v>
      </c>
      <c r="P136" s="129">
        <v>0</v>
      </c>
      <c r="Q136" s="129">
        <v>140</v>
      </c>
      <c r="R136" s="127" t="s">
        <v>271</v>
      </c>
      <c r="S136" s="129">
        <v>0</v>
      </c>
      <c r="T136" s="129">
        <v>43.31</v>
      </c>
      <c r="U136" s="129">
        <v>0</v>
      </c>
      <c r="V136" s="129" t="b">
        <v>0</v>
      </c>
      <c r="W136" s="129">
        <v>96754192</v>
      </c>
      <c r="X136" s="129">
        <v>0</v>
      </c>
      <c r="Y136" s="129">
        <v>0</v>
      </c>
      <c r="Z136" s="127" t="s">
        <v>251</v>
      </c>
      <c r="AA136" s="129">
        <v>0</v>
      </c>
      <c r="AB136" s="129" t="b">
        <v>0</v>
      </c>
      <c r="AC136" s="127" t="s">
        <v>142</v>
      </c>
      <c r="AD136" s="127" t="s">
        <v>142</v>
      </c>
      <c r="AE136" s="127" t="s">
        <v>142</v>
      </c>
      <c r="AF136" s="129">
        <v>0</v>
      </c>
      <c r="AG136" s="144">
        <v>40308</v>
      </c>
      <c r="AH136" s="129"/>
    </row>
    <row r="137" spans="1:34" x14ac:dyDescent="0.2">
      <c r="A137" s="127" t="s">
        <v>23</v>
      </c>
      <c r="B137" s="128">
        <v>40276.339004629626</v>
      </c>
      <c r="C137" s="127" t="s">
        <v>274</v>
      </c>
      <c r="D137" s="127" t="s">
        <v>271</v>
      </c>
      <c r="E137" s="127" t="s">
        <v>21</v>
      </c>
      <c r="F137" s="129">
        <v>0.67</v>
      </c>
      <c r="G137" s="129">
        <v>0.7</v>
      </c>
      <c r="H137" s="129">
        <v>31</v>
      </c>
      <c r="I137" s="129">
        <v>140</v>
      </c>
      <c r="J137" s="129" t="b">
        <v>0</v>
      </c>
      <c r="K137" s="129" t="b">
        <v>0</v>
      </c>
      <c r="L137" s="129">
        <v>200</v>
      </c>
      <c r="M137" s="129">
        <v>0</v>
      </c>
      <c r="N137" s="129">
        <v>4.5199999999999996</v>
      </c>
      <c r="O137" s="129">
        <v>0</v>
      </c>
      <c r="P137" s="129">
        <v>0</v>
      </c>
      <c r="Q137" s="129">
        <v>140</v>
      </c>
      <c r="R137" s="127" t="s">
        <v>271</v>
      </c>
      <c r="S137" s="129">
        <v>0</v>
      </c>
      <c r="T137" s="129">
        <v>44.35</v>
      </c>
      <c r="U137" s="129">
        <v>0</v>
      </c>
      <c r="V137" s="129" t="b">
        <v>0</v>
      </c>
      <c r="W137" s="129">
        <v>96662118</v>
      </c>
      <c r="X137" s="129">
        <v>0</v>
      </c>
      <c r="Y137" s="129">
        <v>0</v>
      </c>
      <c r="Z137" s="127" t="s">
        <v>267</v>
      </c>
      <c r="AA137" s="129">
        <v>0</v>
      </c>
      <c r="AB137" s="129" t="b">
        <v>0</v>
      </c>
      <c r="AC137" s="127" t="s">
        <v>142</v>
      </c>
      <c r="AD137" s="127" t="s">
        <v>142</v>
      </c>
      <c r="AE137" s="127" t="s">
        <v>142</v>
      </c>
      <c r="AF137" s="129">
        <v>0.03</v>
      </c>
      <c r="AG137" s="144">
        <v>40281</v>
      </c>
      <c r="AH137" s="129"/>
    </row>
    <row r="138" spans="1:34" x14ac:dyDescent="0.2">
      <c r="A138" s="127" t="s">
        <v>23</v>
      </c>
      <c r="B138" s="128">
        <v>40245</v>
      </c>
      <c r="C138" s="127" t="s">
        <v>274</v>
      </c>
      <c r="D138" s="127" t="s">
        <v>271</v>
      </c>
      <c r="E138" s="127" t="s">
        <v>75</v>
      </c>
      <c r="F138" s="129">
        <v>0.7</v>
      </c>
      <c r="G138" s="129">
        <v>0.67</v>
      </c>
      <c r="H138" s="129">
        <v>28</v>
      </c>
      <c r="I138" s="129">
        <v>134</v>
      </c>
      <c r="J138" s="129" t="b">
        <v>0</v>
      </c>
      <c r="K138" s="129" t="b">
        <v>0</v>
      </c>
      <c r="L138" s="129">
        <v>200</v>
      </c>
      <c r="M138" s="129">
        <v>0</v>
      </c>
      <c r="N138" s="129">
        <v>4.79</v>
      </c>
      <c r="O138" s="129">
        <v>0</v>
      </c>
      <c r="P138" s="129">
        <v>0</v>
      </c>
      <c r="Q138" s="129">
        <v>134</v>
      </c>
      <c r="R138" s="127" t="s">
        <v>271</v>
      </c>
      <c r="S138" s="129">
        <v>0</v>
      </c>
      <c r="T138" s="129">
        <v>42.64</v>
      </c>
      <c r="U138" s="129">
        <v>0</v>
      </c>
      <c r="V138" s="129" t="b">
        <v>0</v>
      </c>
      <c r="W138" s="129">
        <v>96575181</v>
      </c>
      <c r="X138" s="129">
        <v>0</v>
      </c>
      <c r="Y138" s="129">
        <v>0</v>
      </c>
      <c r="Z138" s="129"/>
      <c r="AA138" s="129">
        <v>0</v>
      </c>
      <c r="AB138" s="129" t="b">
        <v>0</v>
      </c>
      <c r="AC138" s="127" t="s">
        <v>142</v>
      </c>
      <c r="AD138" s="127" t="s">
        <v>142</v>
      </c>
      <c r="AE138" s="127" t="s">
        <v>142</v>
      </c>
      <c r="AF138" s="129">
        <v>99.97</v>
      </c>
      <c r="AG138" s="144">
        <v>40248</v>
      </c>
      <c r="AH138" s="129"/>
    </row>
    <row r="139" spans="1:34" x14ac:dyDescent="0.2">
      <c r="A139" s="127" t="s">
        <v>23</v>
      </c>
      <c r="B139" s="128">
        <v>40217.378530092596</v>
      </c>
      <c r="C139" s="127" t="s">
        <v>274</v>
      </c>
      <c r="D139" s="127" t="s">
        <v>271</v>
      </c>
      <c r="E139" s="127" t="s">
        <v>21</v>
      </c>
      <c r="F139" s="129">
        <v>0.64</v>
      </c>
      <c r="G139" s="129">
        <v>0.7</v>
      </c>
      <c r="H139" s="129">
        <v>28</v>
      </c>
      <c r="I139" s="129">
        <v>140</v>
      </c>
      <c r="J139" s="129" t="b">
        <v>0</v>
      </c>
      <c r="K139" s="129" t="b">
        <v>0</v>
      </c>
      <c r="L139" s="129">
        <v>200</v>
      </c>
      <c r="M139" s="129">
        <v>0</v>
      </c>
      <c r="N139" s="129">
        <v>5</v>
      </c>
      <c r="O139" s="129">
        <v>0</v>
      </c>
      <c r="P139" s="129">
        <v>0</v>
      </c>
      <c r="Q139" s="129">
        <v>140</v>
      </c>
      <c r="R139" s="127" t="s">
        <v>271</v>
      </c>
      <c r="S139" s="129">
        <v>0</v>
      </c>
      <c r="T139" s="129">
        <v>42.94</v>
      </c>
      <c r="U139" s="129">
        <v>0</v>
      </c>
      <c r="V139" s="129" t="b">
        <v>0</v>
      </c>
      <c r="W139" s="129">
        <v>96488455</v>
      </c>
      <c r="X139" s="129">
        <v>0</v>
      </c>
      <c r="Y139" s="129">
        <v>0</v>
      </c>
      <c r="Z139" s="127" t="s">
        <v>251</v>
      </c>
      <c r="AA139" s="129">
        <v>0</v>
      </c>
      <c r="AB139" s="129" t="b">
        <v>0</v>
      </c>
      <c r="AC139" s="127" t="s">
        <v>142</v>
      </c>
      <c r="AD139" s="127" t="s">
        <v>142</v>
      </c>
      <c r="AE139" s="127" t="s">
        <v>142</v>
      </c>
      <c r="AF139" s="129">
        <v>0.06</v>
      </c>
      <c r="AG139" s="144">
        <v>40218</v>
      </c>
      <c r="AH139" s="129"/>
    </row>
    <row r="140" spans="1:34" x14ac:dyDescent="0.2">
      <c r="A140" s="127" t="s">
        <v>23</v>
      </c>
      <c r="B140" s="128">
        <v>40189.558749999997</v>
      </c>
      <c r="C140" s="127" t="s">
        <v>274</v>
      </c>
      <c r="D140" s="127" t="s">
        <v>271</v>
      </c>
      <c r="E140" s="127" t="s">
        <v>21</v>
      </c>
      <c r="F140" s="129">
        <v>0.56999999999999995</v>
      </c>
      <c r="G140" s="129">
        <v>0.64</v>
      </c>
      <c r="H140" s="129">
        <v>34</v>
      </c>
      <c r="I140" s="129">
        <v>128</v>
      </c>
      <c r="J140" s="129" t="b">
        <v>0</v>
      </c>
      <c r="K140" s="129" t="b">
        <v>0</v>
      </c>
      <c r="L140" s="129">
        <v>200</v>
      </c>
      <c r="M140" s="129">
        <v>0</v>
      </c>
      <c r="N140" s="129">
        <v>3.76</v>
      </c>
      <c r="O140" s="129">
        <v>0</v>
      </c>
      <c r="P140" s="129">
        <v>0</v>
      </c>
      <c r="Q140" s="129">
        <v>128</v>
      </c>
      <c r="R140" s="127" t="s">
        <v>271</v>
      </c>
      <c r="S140" s="129">
        <v>0</v>
      </c>
      <c r="T140" s="129">
        <v>42.13</v>
      </c>
      <c r="U140" s="129">
        <v>0</v>
      </c>
      <c r="V140" s="129" t="b">
        <v>0</v>
      </c>
      <c r="W140" s="129">
        <v>96407250</v>
      </c>
      <c r="X140" s="129">
        <v>0</v>
      </c>
      <c r="Y140" s="129">
        <v>0</v>
      </c>
      <c r="Z140" s="127" t="s">
        <v>266</v>
      </c>
      <c r="AA140" s="129">
        <v>0</v>
      </c>
      <c r="AB140" s="129" t="b">
        <v>0</v>
      </c>
      <c r="AC140" s="127" t="s">
        <v>142</v>
      </c>
      <c r="AD140" s="127" t="s">
        <v>142</v>
      </c>
      <c r="AE140" s="127" t="s">
        <v>142</v>
      </c>
      <c r="AF140" s="129">
        <v>7.0000000000000007E-2</v>
      </c>
      <c r="AG140" s="144">
        <v>40190</v>
      </c>
      <c r="AH140" s="129"/>
    </row>
    <row r="141" spans="1:34" x14ac:dyDescent="0.2">
      <c r="A141" s="127" t="s">
        <v>23</v>
      </c>
      <c r="B141" s="128">
        <v>40155.486689814818</v>
      </c>
      <c r="C141" s="127" t="s">
        <v>274</v>
      </c>
      <c r="D141" s="127" t="s">
        <v>271</v>
      </c>
      <c r="E141" s="127" t="s">
        <v>21</v>
      </c>
      <c r="F141" s="129">
        <v>0.64</v>
      </c>
      <c r="G141" s="129">
        <v>0.56999999999999995</v>
      </c>
      <c r="H141" s="129">
        <v>29</v>
      </c>
      <c r="I141" s="129">
        <v>114</v>
      </c>
      <c r="J141" s="129" t="b">
        <v>0</v>
      </c>
      <c r="K141" s="129" t="b">
        <v>0</v>
      </c>
      <c r="L141" s="129">
        <v>200</v>
      </c>
      <c r="M141" s="129">
        <v>0</v>
      </c>
      <c r="N141" s="129">
        <v>3.93</v>
      </c>
      <c r="O141" s="129">
        <v>0</v>
      </c>
      <c r="P141" s="129">
        <v>0</v>
      </c>
      <c r="Q141" s="129">
        <v>114</v>
      </c>
      <c r="R141" s="127" t="s">
        <v>271</v>
      </c>
      <c r="S141" s="129">
        <v>0</v>
      </c>
      <c r="T141" s="129">
        <v>47.39</v>
      </c>
      <c r="U141" s="129">
        <v>0</v>
      </c>
      <c r="V141" s="129" t="b">
        <v>0</v>
      </c>
      <c r="W141" s="129">
        <v>96326180</v>
      </c>
      <c r="X141" s="129">
        <v>0</v>
      </c>
      <c r="Y141" s="129">
        <v>0</v>
      </c>
      <c r="Z141" s="127" t="s">
        <v>266</v>
      </c>
      <c r="AA141" s="129">
        <v>0</v>
      </c>
      <c r="AB141" s="129" t="b">
        <v>0</v>
      </c>
      <c r="AC141" s="127" t="s">
        <v>142</v>
      </c>
      <c r="AD141" s="127" t="s">
        <v>142</v>
      </c>
      <c r="AE141" s="127" t="s">
        <v>142</v>
      </c>
      <c r="AF141" s="129">
        <v>99.93</v>
      </c>
      <c r="AG141" s="144">
        <v>40156</v>
      </c>
      <c r="AH141" s="129"/>
    </row>
    <row r="142" spans="1:34" x14ac:dyDescent="0.2">
      <c r="A142" s="127" t="s">
        <v>23</v>
      </c>
      <c r="B142" s="128">
        <v>40126.346331018518</v>
      </c>
      <c r="C142" s="127" t="s">
        <v>274</v>
      </c>
      <c r="D142" s="127" t="s">
        <v>271</v>
      </c>
      <c r="E142" s="127" t="s">
        <v>21</v>
      </c>
      <c r="F142" s="129">
        <v>0.74</v>
      </c>
      <c r="G142" s="129">
        <v>0.64</v>
      </c>
      <c r="H142" s="129">
        <v>33</v>
      </c>
      <c r="I142" s="129">
        <v>128</v>
      </c>
      <c r="J142" s="129" t="b">
        <v>0</v>
      </c>
      <c r="K142" s="129" t="b">
        <v>0</v>
      </c>
      <c r="L142" s="129">
        <v>200</v>
      </c>
      <c r="M142" s="129">
        <v>0</v>
      </c>
      <c r="N142" s="129">
        <v>3.88</v>
      </c>
      <c r="O142" s="129">
        <v>0</v>
      </c>
      <c r="P142" s="129">
        <v>0</v>
      </c>
      <c r="Q142" s="129">
        <v>128</v>
      </c>
      <c r="R142" s="127" t="s">
        <v>271</v>
      </c>
      <c r="S142" s="129">
        <v>0</v>
      </c>
      <c r="T142" s="129">
        <v>40.64</v>
      </c>
      <c r="U142" s="129">
        <v>0</v>
      </c>
      <c r="V142" s="129" t="b">
        <v>0</v>
      </c>
      <c r="W142" s="129">
        <v>96240375</v>
      </c>
      <c r="X142" s="129">
        <v>0</v>
      </c>
      <c r="Y142" s="129">
        <v>0</v>
      </c>
      <c r="Z142" s="127" t="s">
        <v>249</v>
      </c>
      <c r="AA142" s="129">
        <v>0</v>
      </c>
      <c r="AB142" s="129" t="b">
        <v>0</v>
      </c>
      <c r="AC142" s="127" t="s">
        <v>142</v>
      </c>
      <c r="AD142" s="127" t="s">
        <v>142</v>
      </c>
      <c r="AE142" s="127" t="s">
        <v>142</v>
      </c>
      <c r="AF142" s="129">
        <v>99.9</v>
      </c>
      <c r="AG142" s="144">
        <v>40127</v>
      </c>
      <c r="AH142" s="129"/>
    </row>
    <row r="143" spans="1:34" x14ac:dyDescent="0.2">
      <c r="A143" s="127" t="s">
        <v>23</v>
      </c>
      <c r="B143" s="128">
        <v>40093.353842592594</v>
      </c>
      <c r="C143" s="127" t="s">
        <v>274</v>
      </c>
      <c r="D143" s="127" t="s">
        <v>271</v>
      </c>
      <c r="E143" s="127" t="s">
        <v>21</v>
      </c>
      <c r="F143" s="129">
        <v>0.74</v>
      </c>
      <c r="G143" s="129">
        <v>0.74</v>
      </c>
      <c r="H143" s="129">
        <v>29</v>
      </c>
      <c r="I143" s="129">
        <v>148</v>
      </c>
      <c r="J143" s="129" t="b">
        <v>0</v>
      </c>
      <c r="K143" s="129" t="b">
        <v>0</v>
      </c>
      <c r="L143" s="129">
        <v>200</v>
      </c>
      <c r="M143" s="129">
        <v>0</v>
      </c>
      <c r="N143" s="129">
        <v>5.0999999999999996</v>
      </c>
      <c r="O143" s="129">
        <v>0</v>
      </c>
      <c r="P143" s="129">
        <v>0</v>
      </c>
      <c r="Q143" s="129">
        <v>148</v>
      </c>
      <c r="R143" s="127" t="s">
        <v>271</v>
      </c>
      <c r="S143" s="129">
        <v>0</v>
      </c>
      <c r="T143" s="129">
        <v>40.39</v>
      </c>
      <c r="U143" s="129">
        <v>0</v>
      </c>
      <c r="V143" s="129" t="b">
        <v>0</v>
      </c>
      <c r="W143" s="129">
        <v>96161019</v>
      </c>
      <c r="X143" s="129">
        <v>0</v>
      </c>
      <c r="Y143" s="129">
        <v>0</v>
      </c>
      <c r="Z143" s="127" t="s">
        <v>246</v>
      </c>
      <c r="AA143" s="129">
        <v>0</v>
      </c>
      <c r="AB143" s="129" t="b">
        <v>0</v>
      </c>
      <c r="AC143" s="127" t="s">
        <v>142</v>
      </c>
      <c r="AD143" s="127" t="s">
        <v>142</v>
      </c>
      <c r="AE143" s="127" t="s">
        <v>142</v>
      </c>
      <c r="AF143" s="129">
        <v>0</v>
      </c>
      <c r="AG143" s="144">
        <v>40099</v>
      </c>
      <c r="AH143" s="129"/>
    </row>
    <row r="144" spans="1:34" x14ac:dyDescent="0.2">
      <c r="A144" s="127" t="s">
        <v>23</v>
      </c>
      <c r="B144" s="128">
        <v>40064.434699074074</v>
      </c>
      <c r="C144" s="127" t="s">
        <v>274</v>
      </c>
      <c r="D144" s="127" t="s">
        <v>271</v>
      </c>
      <c r="E144" s="127" t="s">
        <v>21</v>
      </c>
      <c r="F144" s="129">
        <v>0.76</v>
      </c>
      <c r="G144" s="129">
        <v>0.74</v>
      </c>
      <c r="H144" s="129">
        <v>33</v>
      </c>
      <c r="I144" s="129">
        <v>148</v>
      </c>
      <c r="J144" s="129" t="b">
        <v>0</v>
      </c>
      <c r="K144" s="129" t="b">
        <v>0</v>
      </c>
      <c r="L144" s="129">
        <v>200</v>
      </c>
      <c r="M144" s="129">
        <v>0</v>
      </c>
      <c r="N144" s="129">
        <v>4.4800000000000004</v>
      </c>
      <c r="O144" s="129">
        <v>0</v>
      </c>
      <c r="P144" s="129">
        <v>0</v>
      </c>
      <c r="Q144" s="129">
        <v>148</v>
      </c>
      <c r="R144" s="127" t="s">
        <v>271</v>
      </c>
      <c r="S144" s="129">
        <v>0</v>
      </c>
      <c r="T144" s="129">
        <v>45.39</v>
      </c>
      <c r="U144" s="129">
        <v>0</v>
      </c>
      <c r="V144" s="129" t="b">
        <v>0</v>
      </c>
      <c r="W144" s="129">
        <v>96079880</v>
      </c>
      <c r="X144" s="129">
        <v>0</v>
      </c>
      <c r="Y144" s="129">
        <v>0</v>
      </c>
      <c r="Z144" s="127" t="s">
        <v>252</v>
      </c>
      <c r="AA144" s="129">
        <v>0</v>
      </c>
      <c r="AB144" s="129" t="b">
        <v>0</v>
      </c>
      <c r="AC144" s="127" t="s">
        <v>142</v>
      </c>
      <c r="AD144" s="127" t="s">
        <v>142</v>
      </c>
      <c r="AE144" s="127" t="s">
        <v>142</v>
      </c>
      <c r="AF144" s="129">
        <v>99.98</v>
      </c>
      <c r="AG144" s="144">
        <v>40067</v>
      </c>
      <c r="AH144" s="129"/>
    </row>
    <row r="145" spans="1:34" x14ac:dyDescent="0.2">
      <c r="A145" s="127" t="s">
        <v>23</v>
      </c>
      <c r="B145" s="128">
        <v>40031.393784722219</v>
      </c>
      <c r="C145" s="127" t="s">
        <v>274</v>
      </c>
      <c r="D145" s="127" t="s">
        <v>271</v>
      </c>
      <c r="E145" s="127" t="s">
        <v>21</v>
      </c>
      <c r="F145" s="129">
        <v>0.81</v>
      </c>
      <c r="G145" s="129">
        <v>0.76</v>
      </c>
      <c r="H145" s="129">
        <v>29</v>
      </c>
      <c r="I145" s="129">
        <v>152</v>
      </c>
      <c r="J145" s="129" t="b">
        <v>0</v>
      </c>
      <c r="K145" s="129" t="b">
        <v>0</v>
      </c>
      <c r="L145" s="129">
        <v>200</v>
      </c>
      <c r="M145" s="129">
        <v>0</v>
      </c>
      <c r="N145" s="129">
        <v>5.24</v>
      </c>
      <c r="O145" s="129">
        <v>0</v>
      </c>
      <c r="P145" s="129">
        <v>0</v>
      </c>
      <c r="Q145" s="129">
        <v>152</v>
      </c>
      <c r="R145" s="127" t="s">
        <v>271</v>
      </c>
      <c r="S145" s="129">
        <v>0</v>
      </c>
      <c r="T145" s="129">
        <v>46.88</v>
      </c>
      <c r="U145" s="129">
        <v>0</v>
      </c>
      <c r="V145" s="129" t="b">
        <v>0</v>
      </c>
      <c r="W145" s="129">
        <v>95999225</v>
      </c>
      <c r="X145" s="129">
        <v>0</v>
      </c>
      <c r="Y145" s="129">
        <v>0</v>
      </c>
      <c r="Z145" s="127" t="s">
        <v>266</v>
      </c>
      <c r="AA145" s="129">
        <v>0</v>
      </c>
      <c r="AB145" s="129" t="b">
        <v>0</v>
      </c>
      <c r="AC145" s="127" t="s">
        <v>142</v>
      </c>
      <c r="AD145" s="127" t="s">
        <v>142</v>
      </c>
      <c r="AE145" s="127" t="s">
        <v>142</v>
      </c>
      <c r="AF145" s="129">
        <v>99.95</v>
      </c>
      <c r="AG145" s="144">
        <v>40037</v>
      </c>
      <c r="AH145" s="129"/>
    </row>
    <row r="146" spans="1:34" x14ac:dyDescent="0.2">
      <c r="A146" s="127" t="s">
        <v>23</v>
      </c>
      <c r="B146" s="128">
        <v>40002.42324074074</v>
      </c>
      <c r="C146" s="127" t="s">
        <v>274</v>
      </c>
      <c r="D146" s="127" t="s">
        <v>271</v>
      </c>
      <c r="E146" s="127" t="s">
        <v>21</v>
      </c>
      <c r="F146" s="129">
        <v>0.74</v>
      </c>
      <c r="G146" s="129">
        <v>0.81</v>
      </c>
      <c r="H146" s="129">
        <v>30</v>
      </c>
      <c r="I146" s="129">
        <v>162</v>
      </c>
      <c r="J146" s="129" t="b">
        <v>0</v>
      </c>
      <c r="K146" s="129" t="b">
        <v>0</v>
      </c>
      <c r="L146" s="129">
        <v>200</v>
      </c>
      <c r="M146" s="129">
        <v>0</v>
      </c>
      <c r="N146" s="129">
        <v>5.4</v>
      </c>
      <c r="O146" s="129">
        <v>0</v>
      </c>
      <c r="P146" s="129">
        <v>0</v>
      </c>
      <c r="Q146" s="129">
        <v>162</v>
      </c>
      <c r="R146" s="127" t="s">
        <v>271</v>
      </c>
      <c r="S146" s="129">
        <v>0</v>
      </c>
      <c r="T146" s="129">
        <v>45.61</v>
      </c>
      <c r="U146" s="129">
        <v>0</v>
      </c>
      <c r="V146" s="129" t="b">
        <v>0</v>
      </c>
      <c r="W146" s="129">
        <v>95919879</v>
      </c>
      <c r="X146" s="129">
        <v>0</v>
      </c>
      <c r="Y146" s="129">
        <v>0</v>
      </c>
      <c r="Z146" s="127" t="s">
        <v>266</v>
      </c>
      <c r="AA146" s="129">
        <v>0</v>
      </c>
      <c r="AB146" s="129" t="b">
        <v>0</v>
      </c>
      <c r="AC146" s="127" t="s">
        <v>142</v>
      </c>
      <c r="AD146" s="127" t="s">
        <v>142</v>
      </c>
      <c r="AE146" s="127" t="s">
        <v>142</v>
      </c>
      <c r="AF146" s="129">
        <v>7.0000000000000007E-2</v>
      </c>
      <c r="AG146" s="144">
        <v>40004</v>
      </c>
      <c r="AH146" s="129"/>
    </row>
    <row r="147" spans="1:34" x14ac:dyDescent="0.2">
      <c r="A147" s="127" t="s">
        <v>23</v>
      </c>
      <c r="B147" s="128">
        <v>39972.346608796295</v>
      </c>
      <c r="C147" s="127" t="s">
        <v>274</v>
      </c>
      <c r="D147" s="127" t="s">
        <v>271</v>
      </c>
      <c r="E147" s="127" t="s">
        <v>21</v>
      </c>
      <c r="F147" s="129">
        <v>0.67</v>
      </c>
      <c r="G147" s="129">
        <v>0.74</v>
      </c>
      <c r="H147" s="129">
        <v>31</v>
      </c>
      <c r="I147" s="129">
        <v>148</v>
      </c>
      <c r="J147" s="129" t="b">
        <v>0</v>
      </c>
      <c r="K147" s="129" t="b">
        <v>0</v>
      </c>
      <c r="L147" s="129">
        <v>200</v>
      </c>
      <c r="M147" s="129">
        <v>0</v>
      </c>
      <c r="N147" s="129">
        <v>4.7699999999999996</v>
      </c>
      <c r="O147" s="129">
        <v>0</v>
      </c>
      <c r="P147" s="129">
        <v>0</v>
      </c>
      <c r="Q147" s="129">
        <v>148</v>
      </c>
      <c r="R147" s="127" t="s">
        <v>271</v>
      </c>
      <c r="S147" s="129">
        <v>0</v>
      </c>
      <c r="T147" s="129">
        <v>39.96</v>
      </c>
      <c r="U147" s="129">
        <v>0</v>
      </c>
      <c r="V147" s="129" t="b">
        <v>0</v>
      </c>
      <c r="W147" s="129">
        <v>95841612</v>
      </c>
      <c r="X147" s="129">
        <v>0</v>
      </c>
      <c r="Y147" s="129">
        <v>0</v>
      </c>
      <c r="Z147" s="127" t="s">
        <v>267</v>
      </c>
      <c r="AA147" s="129">
        <v>0</v>
      </c>
      <c r="AB147" s="129" t="b">
        <v>0</v>
      </c>
      <c r="AC147" s="127" t="s">
        <v>142</v>
      </c>
      <c r="AD147" s="127" t="s">
        <v>142</v>
      </c>
      <c r="AE147" s="127" t="s">
        <v>142</v>
      </c>
      <c r="AF147" s="129">
        <v>7.0000000000000007E-2</v>
      </c>
      <c r="AG147" s="144">
        <v>39975</v>
      </c>
      <c r="AH147" s="129"/>
    </row>
    <row r="148" spans="1:34" x14ac:dyDescent="0.2">
      <c r="A148" s="127" t="s">
        <v>23</v>
      </c>
      <c r="B148" s="128">
        <v>39941.638912037037</v>
      </c>
      <c r="C148" s="127" t="s">
        <v>274</v>
      </c>
      <c r="D148" s="127" t="s">
        <v>271</v>
      </c>
      <c r="E148" s="127" t="s">
        <v>21</v>
      </c>
      <c r="F148" s="129">
        <v>0.67</v>
      </c>
      <c r="G148" s="129">
        <v>0.67</v>
      </c>
      <c r="H148" s="129">
        <v>29</v>
      </c>
      <c r="I148" s="129">
        <v>134</v>
      </c>
      <c r="J148" s="129" t="b">
        <v>0</v>
      </c>
      <c r="K148" s="129" t="b">
        <v>0</v>
      </c>
      <c r="L148" s="129">
        <v>200</v>
      </c>
      <c r="M148" s="129">
        <v>0</v>
      </c>
      <c r="N148" s="129">
        <v>4.62</v>
      </c>
      <c r="O148" s="129">
        <v>0</v>
      </c>
      <c r="P148" s="129">
        <v>0</v>
      </c>
      <c r="Q148" s="129">
        <v>134</v>
      </c>
      <c r="R148" s="127" t="s">
        <v>271</v>
      </c>
      <c r="S148" s="129">
        <v>0</v>
      </c>
      <c r="T148" s="129">
        <v>43.53</v>
      </c>
      <c r="U148" s="129">
        <v>0</v>
      </c>
      <c r="V148" s="129" t="b">
        <v>0</v>
      </c>
      <c r="W148" s="129">
        <v>95757903</v>
      </c>
      <c r="X148" s="129">
        <v>0</v>
      </c>
      <c r="Y148" s="129">
        <v>0</v>
      </c>
      <c r="Z148" s="127" t="s">
        <v>266</v>
      </c>
      <c r="AA148" s="129">
        <v>0</v>
      </c>
      <c r="AB148" s="129" t="b">
        <v>0</v>
      </c>
      <c r="AC148" s="127" t="s">
        <v>142</v>
      </c>
      <c r="AD148" s="127" t="s">
        <v>142</v>
      </c>
      <c r="AE148" s="127" t="s">
        <v>142</v>
      </c>
      <c r="AF148" s="129">
        <v>0</v>
      </c>
      <c r="AG148" s="144">
        <v>39944</v>
      </c>
      <c r="AH148" s="129"/>
    </row>
    <row r="149" spans="1:34" x14ac:dyDescent="0.2">
      <c r="A149" s="127" t="s">
        <v>23</v>
      </c>
      <c r="B149" s="128">
        <v>39912.516145833331</v>
      </c>
      <c r="C149" s="127" t="s">
        <v>274</v>
      </c>
      <c r="D149" s="127" t="s">
        <v>271</v>
      </c>
      <c r="E149" s="127" t="s">
        <v>21</v>
      </c>
      <c r="F149" s="129">
        <v>0.67</v>
      </c>
      <c r="G149" s="129">
        <v>0.67</v>
      </c>
      <c r="H149" s="129">
        <v>30</v>
      </c>
      <c r="I149" s="129">
        <v>134</v>
      </c>
      <c r="J149" s="129" t="b">
        <v>0</v>
      </c>
      <c r="K149" s="129" t="b">
        <v>0</v>
      </c>
      <c r="L149" s="129">
        <v>200</v>
      </c>
      <c r="M149" s="129">
        <v>0</v>
      </c>
      <c r="N149" s="129">
        <v>4.47</v>
      </c>
      <c r="O149" s="129">
        <v>0</v>
      </c>
      <c r="P149" s="129">
        <v>0</v>
      </c>
      <c r="Q149" s="129">
        <v>134</v>
      </c>
      <c r="R149" s="127" t="s">
        <v>271</v>
      </c>
      <c r="S149" s="129">
        <v>0</v>
      </c>
      <c r="T149" s="129">
        <v>43.33</v>
      </c>
      <c r="U149" s="129">
        <v>0</v>
      </c>
      <c r="V149" s="129" t="b">
        <v>0</v>
      </c>
      <c r="W149" s="129">
        <v>95678315</v>
      </c>
      <c r="X149" s="129">
        <v>0</v>
      </c>
      <c r="Y149" s="129">
        <v>0</v>
      </c>
      <c r="Z149" s="127" t="s">
        <v>266</v>
      </c>
      <c r="AA149" s="129">
        <v>0</v>
      </c>
      <c r="AB149" s="129" t="b">
        <v>0</v>
      </c>
      <c r="AC149" s="127" t="s">
        <v>142</v>
      </c>
      <c r="AD149" s="127" t="s">
        <v>142</v>
      </c>
      <c r="AE149" s="127" t="s">
        <v>142</v>
      </c>
      <c r="AF149" s="129">
        <v>0</v>
      </c>
      <c r="AG149" s="144">
        <v>39916</v>
      </c>
      <c r="AH149" s="129"/>
    </row>
    <row r="150" spans="1:34" x14ac:dyDescent="0.2">
      <c r="A150" s="127" t="s">
        <v>23</v>
      </c>
      <c r="B150" s="128">
        <v>39882.414895833332</v>
      </c>
      <c r="C150" s="127" t="s">
        <v>274</v>
      </c>
      <c r="D150" s="127" t="s">
        <v>271</v>
      </c>
      <c r="E150" s="127" t="s">
        <v>21</v>
      </c>
      <c r="F150" s="129">
        <v>0.66</v>
      </c>
      <c r="G150" s="129">
        <v>0.67</v>
      </c>
      <c r="H150" s="129">
        <v>35</v>
      </c>
      <c r="I150" s="129">
        <v>134</v>
      </c>
      <c r="J150" s="129" t="b">
        <v>0</v>
      </c>
      <c r="K150" s="129" t="b">
        <v>0</v>
      </c>
      <c r="L150" s="129">
        <v>200</v>
      </c>
      <c r="M150" s="129">
        <v>0</v>
      </c>
      <c r="N150" s="129">
        <v>3.83</v>
      </c>
      <c r="O150" s="129">
        <v>0</v>
      </c>
      <c r="P150" s="129">
        <v>0</v>
      </c>
      <c r="Q150" s="129">
        <v>134</v>
      </c>
      <c r="R150" s="127" t="s">
        <v>271</v>
      </c>
      <c r="S150" s="129">
        <v>0</v>
      </c>
      <c r="T150" s="129">
        <v>42.64</v>
      </c>
      <c r="U150" s="129">
        <v>0</v>
      </c>
      <c r="V150" s="129" t="b">
        <v>0</v>
      </c>
      <c r="W150" s="129">
        <v>95590310</v>
      </c>
      <c r="X150" s="129">
        <v>0</v>
      </c>
      <c r="Y150" s="129">
        <v>0</v>
      </c>
      <c r="Z150" s="127" t="s">
        <v>266</v>
      </c>
      <c r="AA150" s="129">
        <v>0</v>
      </c>
      <c r="AB150" s="129" t="b">
        <v>0</v>
      </c>
      <c r="AC150" s="127" t="s">
        <v>142</v>
      </c>
      <c r="AD150" s="127" t="s">
        <v>142</v>
      </c>
      <c r="AE150" s="127" t="s">
        <v>142</v>
      </c>
      <c r="AF150" s="129">
        <v>0.01</v>
      </c>
      <c r="AG150" s="144">
        <v>39884</v>
      </c>
      <c r="AH150" s="129"/>
    </row>
    <row r="151" spans="1:34" x14ac:dyDescent="0.2">
      <c r="A151" s="127" t="s">
        <v>23</v>
      </c>
      <c r="B151" s="128">
        <v>39847</v>
      </c>
      <c r="C151" s="127" t="s">
        <v>274</v>
      </c>
      <c r="D151" s="127" t="s">
        <v>271</v>
      </c>
      <c r="E151" s="127" t="s">
        <v>75</v>
      </c>
      <c r="F151" s="129">
        <v>0.67</v>
      </c>
      <c r="G151" s="129">
        <v>0.66</v>
      </c>
      <c r="H151" s="129">
        <v>26</v>
      </c>
      <c r="I151" s="129">
        <v>132</v>
      </c>
      <c r="J151" s="129" t="b">
        <v>0</v>
      </c>
      <c r="K151" s="129" t="b">
        <v>0</v>
      </c>
      <c r="L151" s="129">
        <v>200</v>
      </c>
      <c r="M151" s="129">
        <v>0</v>
      </c>
      <c r="N151" s="129">
        <v>5.08</v>
      </c>
      <c r="O151" s="129">
        <v>0</v>
      </c>
      <c r="P151" s="129">
        <v>0</v>
      </c>
      <c r="Q151" s="129">
        <v>132</v>
      </c>
      <c r="R151" s="127" t="s">
        <v>271</v>
      </c>
      <c r="S151" s="129">
        <v>0</v>
      </c>
      <c r="T151" s="129">
        <v>45.16</v>
      </c>
      <c r="U151" s="129">
        <v>0</v>
      </c>
      <c r="V151" s="129" t="b">
        <v>0</v>
      </c>
      <c r="W151" s="129">
        <v>95503732</v>
      </c>
      <c r="X151" s="129">
        <v>0</v>
      </c>
      <c r="Y151" s="129">
        <v>0</v>
      </c>
      <c r="Z151" s="129"/>
      <c r="AA151" s="129">
        <v>0</v>
      </c>
      <c r="AB151" s="129" t="b">
        <v>0</v>
      </c>
      <c r="AC151" s="127" t="s">
        <v>142</v>
      </c>
      <c r="AD151" s="127" t="s">
        <v>142</v>
      </c>
      <c r="AE151" s="127" t="s">
        <v>142</v>
      </c>
      <c r="AF151" s="129">
        <v>99.99</v>
      </c>
      <c r="AG151" s="144">
        <v>39853</v>
      </c>
      <c r="AH151" s="129"/>
    </row>
    <row r="152" spans="1:34" x14ac:dyDescent="0.2">
      <c r="A152" s="127" t="s">
        <v>23</v>
      </c>
      <c r="B152" s="128">
        <v>39821.447546296295</v>
      </c>
      <c r="C152" s="127" t="s">
        <v>274</v>
      </c>
      <c r="D152" s="127" t="s">
        <v>271</v>
      </c>
      <c r="E152" s="127" t="s">
        <v>21</v>
      </c>
      <c r="F152" s="129">
        <v>0.59</v>
      </c>
      <c r="G152" s="129">
        <v>0.67</v>
      </c>
      <c r="H152" s="129">
        <v>31</v>
      </c>
      <c r="I152" s="129">
        <v>134</v>
      </c>
      <c r="J152" s="129" t="b">
        <v>0</v>
      </c>
      <c r="K152" s="129" t="b">
        <v>0</v>
      </c>
      <c r="L152" s="129">
        <v>200</v>
      </c>
      <c r="M152" s="129">
        <v>0</v>
      </c>
      <c r="N152" s="129">
        <v>4.32</v>
      </c>
      <c r="O152" s="129">
        <v>0</v>
      </c>
      <c r="P152" s="129">
        <v>0</v>
      </c>
      <c r="Q152" s="129">
        <v>134</v>
      </c>
      <c r="R152" s="127" t="s">
        <v>271</v>
      </c>
      <c r="S152" s="129">
        <v>0</v>
      </c>
      <c r="T152" s="129">
        <v>39.119999999999997</v>
      </c>
      <c r="U152" s="129">
        <v>0</v>
      </c>
      <c r="V152" s="129" t="b">
        <v>0</v>
      </c>
      <c r="W152" s="129">
        <v>95420644</v>
      </c>
      <c r="X152" s="129">
        <v>0</v>
      </c>
      <c r="Y152" s="129">
        <v>0</v>
      </c>
      <c r="Z152" s="127" t="s">
        <v>266</v>
      </c>
      <c r="AA152" s="129">
        <v>0</v>
      </c>
      <c r="AB152" s="129" t="b">
        <v>0</v>
      </c>
      <c r="AC152" s="127" t="s">
        <v>142</v>
      </c>
      <c r="AD152" s="127" t="s">
        <v>142</v>
      </c>
      <c r="AE152" s="127" t="s">
        <v>142</v>
      </c>
      <c r="AF152" s="129">
        <v>0.08</v>
      </c>
      <c r="AG152" s="144">
        <v>39825</v>
      </c>
      <c r="AH152" s="129"/>
    </row>
    <row r="153" spans="1:34" x14ac:dyDescent="0.2">
      <c r="A153" s="127" t="s">
        <v>23</v>
      </c>
      <c r="B153" s="128">
        <v>39790.407025462962</v>
      </c>
      <c r="C153" s="127" t="s">
        <v>274</v>
      </c>
      <c r="D153" s="127" t="s">
        <v>271</v>
      </c>
      <c r="E153" s="127" t="s">
        <v>21</v>
      </c>
      <c r="F153" s="129">
        <v>0.75</v>
      </c>
      <c r="G153" s="129">
        <v>0.59</v>
      </c>
      <c r="H153" s="129">
        <v>31</v>
      </c>
      <c r="I153" s="129">
        <v>118</v>
      </c>
      <c r="J153" s="129" t="b">
        <v>0</v>
      </c>
      <c r="K153" s="129" t="b">
        <v>0</v>
      </c>
      <c r="L153" s="129">
        <v>200</v>
      </c>
      <c r="M153" s="129">
        <v>0</v>
      </c>
      <c r="N153" s="129">
        <v>3.81</v>
      </c>
      <c r="O153" s="129">
        <v>0</v>
      </c>
      <c r="P153" s="129">
        <v>0</v>
      </c>
      <c r="Q153" s="129">
        <v>118</v>
      </c>
      <c r="R153" s="127" t="s">
        <v>271</v>
      </c>
      <c r="S153" s="129">
        <v>0</v>
      </c>
      <c r="T153" s="129">
        <v>43.74</v>
      </c>
      <c r="U153" s="129">
        <v>0</v>
      </c>
      <c r="V153" s="129" t="b">
        <v>0</v>
      </c>
      <c r="W153" s="129">
        <v>95339276</v>
      </c>
      <c r="X153" s="129">
        <v>0</v>
      </c>
      <c r="Y153" s="129">
        <v>0</v>
      </c>
      <c r="Z153" s="127" t="s">
        <v>266</v>
      </c>
      <c r="AA153" s="129">
        <v>0</v>
      </c>
      <c r="AB153" s="129" t="b">
        <v>0</v>
      </c>
      <c r="AC153" s="127" t="s">
        <v>142</v>
      </c>
      <c r="AD153" s="127" t="s">
        <v>142</v>
      </c>
      <c r="AE153" s="127" t="s">
        <v>142</v>
      </c>
      <c r="AF153" s="129">
        <v>99.84</v>
      </c>
      <c r="AG153" s="144">
        <v>39791</v>
      </c>
      <c r="AH153" s="129"/>
    </row>
    <row r="154" spans="1:34" x14ac:dyDescent="0.2">
      <c r="A154" s="127" t="s">
        <v>23</v>
      </c>
      <c r="B154" s="128">
        <v>39759.407222222224</v>
      </c>
      <c r="C154" s="127" t="s">
        <v>274</v>
      </c>
      <c r="D154" s="127" t="s">
        <v>271</v>
      </c>
      <c r="E154" s="127" t="s">
        <v>21</v>
      </c>
      <c r="F154" s="129">
        <v>0.78</v>
      </c>
      <c r="G154" s="129">
        <v>0.75</v>
      </c>
      <c r="H154" s="129">
        <v>28</v>
      </c>
      <c r="I154" s="129">
        <v>150</v>
      </c>
      <c r="J154" s="129" t="b">
        <v>0</v>
      </c>
      <c r="K154" s="129" t="b">
        <v>0</v>
      </c>
      <c r="L154" s="129">
        <v>200</v>
      </c>
      <c r="M154" s="129">
        <v>0</v>
      </c>
      <c r="N154" s="129">
        <v>5.36</v>
      </c>
      <c r="O154" s="129">
        <v>0</v>
      </c>
      <c r="P154" s="129">
        <v>0</v>
      </c>
      <c r="Q154" s="129">
        <v>150</v>
      </c>
      <c r="R154" s="127" t="s">
        <v>271</v>
      </c>
      <c r="S154" s="129">
        <v>0</v>
      </c>
      <c r="T154" s="129">
        <v>36.11</v>
      </c>
      <c r="U154" s="129">
        <v>0</v>
      </c>
      <c r="V154" s="129" t="b">
        <v>0</v>
      </c>
      <c r="W154" s="129">
        <v>95258066</v>
      </c>
      <c r="X154" s="129">
        <v>0</v>
      </c>
      <c r="Y154" s="129">
        <v>0</v>
      </c>
      <c r="Z154" s="127" t="s">
        <v>266</v>
      </c>
      <c r="AA154" s="129">
        <v>0</v>
      </c>
      <c r="AB154" s="129" t="b">
        <v>0</v>
      </c>
      <c r="AC154" s="127" t="s">
        <v>142</v>
      </c>
      <c r="AD154" s="127" t="s">
        <v>142</v>
      </c>
      <c r="AE154" s="127" t="s">
        <v>142</v>
      </c>
      <c r="AF154" s="129">
        <v>99.97</v>
      </c>
      <c r="AG154" s="144">
        <v>39764</v>
      </c>
      <c r="AH154" s="129"/>
    </row>
    <row r="155" spans="1:34" x14ac:dyDescent="0.2">
      <c r="A155" s="127" t="s">
        <v>23</v>
      </c>
      <c r="B155" s="128">
        <v>39731.404062499998</v>
      </c>
      <c r="C155" s="127" t="s">
        <v>274</v>
      </c>
      <c r="D155" s="127" t="s">
        <v>271</v>
      </c>
      <c r="E155" s="127" t="s">
        <v>21</v>
      </c>
      <c r="F155" s="129">
        <v>0.82</v>
      </c>
      <c r="G155" s="129">
        <v>0.78</v>
      </c>
      <c r="H155" s="129">
        <v>31</v>
      </c>
      <c r="I155" s="129">
        <v>156</v>
      </c>
      <c r="J155" s="129" t="b">
        <v>0</v>
      </c>
      <c r="K155" s="129" t="b">
        <v>0</v>
      </c>
      <c r="L155" s="129">
        <v>200</v>
      </c>
      <c r="M155" s="129">
        <v>0</v>
      </c>
      <c r="N155" s="129">
        <v>5.03</v>
      </c>
      <c r="O155" s="129">
        <v>0</v>
      </c>
      <c r="P155" s="129">
        <v>0</v>
      </c>
      <c r="Q155" s="129">
        <v>156</v>
      </c>
      <c r="R155" s="127" t="s">
        <v>271</v>
      </c>
      <c r="S155" s="129">
        <v>0</v>
      </c>
      <c r="T155" s="129">
        <v>37.909999999999997</v>
      </c>
      <c r="U155" s="129">
        <v>0</v>
      </c>
      <c r="V155" s="129" t="b">
        <v>0</v>
      </c>
      <c r="W155" s="129">
        <v>95175741</v>
      </c>
      <c r="X155" s="129">
        <v>0</v>
      </c>
      <c r="Y155" s="129">
        <v>0</v>
      </c>
      <c r="Z155" s="127" t="s">
        <v>266</v>
      </c>
      <c r="AA155" s="129">
        <v>0</v>
      </c>
      <c r="AB155" s="129" t="b">
        <v>0</v>
      </c>
      <c r="AC155" s="127" t="s">
        <v>142</v>
      </c>
      <c r="AD155" s="127" t="s">
        <v>142</v>
      </c>
      <c r="AE155" s="127" t="s">
        <v>142</v>
      </c>
      <c r="AF155" s="129">
        <v>99.96</v>
      </c>
      <c r="AG155" s="144">
        <v>39735</v>
      </c>
      <c r="AH155" s="129"/>
    </row>
    <row r="156" spans="1:34" x14ac:dyDescent="0.2">
      <c r="A156" s="127" t="s">
        <v>23</v>
      </c>
      <c r="B156" s="128">
        <v>39700.475162037037</v>
      </c>
      <c r="C156" s="127" t="s">
        <v>274</v>
      </c>
      <c r="D156" s="127" t="s">
        <v>271</v>
      </c>
      <c r="E156" s="127" t="s">
        <v>21</v>
      </c>
      <c r="F156" s="129">
        <v>0.92</v>
      </c>
      <c r="G156" s="129">
        <v>0.82</v>
      </c>
      <c r="H156" s="129">
        <v>35</v>
      </c>
      <c r="I156" s="129">
        <v>164</v>
      </c>
      <c r="J156" s="129" t="b">
        <v>0</v>
      </c>
      <c r="K156" s="129" t="b">
        <v>0</v>
      </c>
      <c r="L156" s="129">
        <v>200</v>
      </c>
      <c r="M156" s="129">
        <v>0</v>
      </c>
      <c r="N156" s="129">
        <v>4.6900000000000004</v>
      </c>
      <c r="O156" s="129">
        <v>0</v>
      </c>
      <c r="P156" s="129">
        <v>0</v>
      </c>
      <c r="Q156" s="129">
        <v>164</v>
      </c>
      <c r="R156" s="127" t="s">
        <v>271</v>
      </c>
      <c r="S156" s="129">
        <v>0</v>
      </c>
      <c r="T156" s="129">
        <v>39.49</v>
      </c>
      <c r="U156" s="129">
        <v>0</v>
      </c>
      <c r="V156" s="129" t="b">
        <v>0</v>
      </c>
      <c r="W156" s="129">
        <v>95084984</v>
      </c>
      <c r="X156" s="129">
        <v>0</v>
      </c>
      <c r="Y156" s="129">
        <v>0</v>
      </c>
      <c r="Z156" s="127" t="s">
        <v>266</v>
      </c>
      <c r="AA156" s="129">
        <v>0</v>
      </c>
      <c r="AB156" s="129" t="b">
        <v>0</v>
      </c>
      <c r="AC156" s="127" t="s">
        <v>142</v>
      </c>
      <c r="AD156" s="127" t="s">
        <v>142</v>
      </c>
      <c r="AE156" s="127" t="s">
        <v>142</v>
      </c>
      <c r="AF156" s="129">
        <v>99.9</v>
      </c>
      <c r="AG156" s="144">
        <v>39702</v>
      </c>
      <c r="AH156" s="129"/>
    </row>
    <row r="157" spans="1:34" x14ac:dyDescent="0.2">
      <c r="A157" s="127" t="s">
        <v>23</v>
      </c>
      <c r="B157" s="128">
        <v>39665.414039351854</v>
      </c>
      <c r="C157" s="127" t="s">
        <v>274</v>
      </c>
      <c r="D157" s="127" t="s">
        <v>271</v>
      </c>
      <c r="E157" s="127" t="s">
        <v>21</v>
      </c>
      <c r="F157" s="129">
        <v>0.82</v>
      </c>
      <c r="G157" s="129">
        <v>0.92</v>
      </c>
      <c r="H157" s="129">
        <v>33</v>
      </c>
      <c r="I157" s="129">
        <v>184</v>
      </c>
      <c r="J157" s="129" t="b">
        <v>0</v>
      </c>
      <c r="K157" s="129" t="b">
        <v>0</v>
      </c>
      <c r="L157" s="129">
        <v>200</v>
      </c>
      <c r="M157" s="129">
        <v>0</v>
      </c>
      <c r="N157" s="129">
        <v>5.58</v>
      </c>
      <c r="O157" s="129">
        <v>0</v>
      </c>
      <c r="P157" s="129">
        <v>0</v>
      </c>
      <c r="Q157" s="129">
        <v>184</v>
      </c>
      <c r="R157" s="127" t="s">
        <v>271</v>
      </c>
      <c r="S157" s="129">
        <v>0</v>
      </c>
      <c r="T157" s="129">
        <v>37.19</v>
      </c>
      <c r="U157" s="129">
        <v>0</v>
      </c>
      <c r="V157" s="129" t="b">
        <v>0</v>
      </c>
      <c r="W157" s="129">
        <v>95003069</v>
      </c>
      <c r="X157" s="129">
        <v>0</v>
      </c>
      <c r="Y157" s="129">
        <v>0</v>
      </c>
      <c r="Z157" s="127" t="s">
        <v>266</v>
      </c>
      <c r="AA157" s="129">
        <v>0</v>
      </c>
      <c r="AB157" s="129" t="b">
        <v>0</v>
      </c>
      <c r="AC157" s="127" t="s">
        <v>142</v>
      </c>
      <c r="AD157" s="127" t="s">
        <v>142</v>
      </c>
      <c r="AE157" s="127" t="s">
        <v>142</v>
      </c>
      <c r="AF157" s="129">
        <v>0.1</v>
      </c>
      <c r="AG157" s="144">
        <v>39671</v>
      </c>
      <c r="AH157" s="129"/>
    </row>
    <row r="158" spans="1:34" x14ac:dyDescent="0.2">
      <c r="A158" s="127" t="s">
        <v>23</v>
      </c>
      <c r="B158" s="128">
        <v>39632.599432870367</v>
      </c>
      <c r="C158" s="127" t="s">
        <v>274</v>
      </c>
      <c r="D158" s="127" t="s">
        <v>271</v>
      </c>
      <c r="E158" s="127" t="s">
        <v>21</v>
      </c>
      <c r="F158" s="129">
        <v>0.78</v>
      </c>
      <c r="G158" s="129">
        <v>0.82</v>
      </c>
      <c r="H158" s="129">
        <v>30</v>
      </c>
      <c r="I158" s="129">
        <v>164</v>
      </c>
      <c r="J158" s="129" t="b">
        <v>0</v>
      </c>
      <c r="K158" s="129" t="b">
        <v>0</v>
      </c>
      <c r="L158" s="129">
        <v>200</v>
      </c>
      <c r="M158" s="129">
        <v>0</v>
      </c>
      <c r="N158" s="129">
        <v>5.47</v>
      </c>
      <c r="O158" s="129">
        <v>0</v>
      </c>
      <c r="P158" s="129">
        <v>0</v>
      </c>
      <c r="Q158" s="129">
        <v>164</v>
      </c>
      <c r="R158" s="127" t="s">
        <v>271</v>
      </c>
      <c r="S158" s="129">
        <v>0</v>
      </c>
      <c r="T158" s="129">
        <v>41.84</v>
      </c>
      <c r="U158" s="129">
        <v>0</v>
      </c>
      <c r="V158" s="129" t="b">
        <v>0</v>
      </c>
      <c r="W158" s="129">
        <v>94916674</v>
      </c>
      <c r="X158" s="129">
        <v>0</v>
      </c>
      <c r="Y158" s="129">
        <v>0</v>
      </c>
      <c r="Z158" s="127" t="s">
        <v>266</v>
      </c>
      <c r="AA158" s="129">
        <v>0</v>
      </c>
      <c r="AB158" s="129" t="b">
        <v>0</v>
      </c>
      <c r="AC158" s="127" t="s">
        <v>142</v>
      </c>
      <c r="AD158" s="127" t="s">
        <v>142</v>
      </c>
      <c r="AE158" s="127" t="s">
        <v>142</v>
      </c>
      <c r="AF158" s="129">
        <v>0.04</v>
      </c>
      <c r="AG158" s="144">
        <v>39639</v>
      </c>
      <c r="AH158" s="129"/>
    </row>
    <row r="159" spans="1:34" x14ac:dyDescent="0.2">
      <c r="A159" s="127" t="s">
        <v>23</v>
      </c>
      <c r="B159" s="128">
        <v>39602.345324074071</v>
      </c>
      <c r="C159" s="127" t="s">
        <v>274</v>
      </c>
      <c r="D159" s="127" t="s">
        <v>271</v>
      </c>
      <c r="E159" s="127" t="s">
        <v>21</v>
      </c>
      <c r="F159" s="129">
        <v>0.68</v>
      </c>
      <c r="G159" s="129">
        <v>0.78</v>
      </c>
      <c r="H159" s="129">
        <v>29</v>
      </c>
      <c r="I159" s="129">
        <v>156</v>
      </c>
      <c r="J159" s="129" t="b">
        <v>0</v>
      </c>
      <c r="K159" s="129" t="b">
        <v>0</v>
      </c>
      <c r="L159" s="129">
        <v>200</v>
      </c>
      <c r="M159" s="129">
        <v>0</v>
      </c>
      <c r="N159" s="129">
        <v>5.38</v>
      </c>
      <c r="O159" s="129">
        <v>0</v>
      </c>
      <c r="P159" s="129">
        <v>0</v>
      </c>
      <c r="Q159" s="129">
        <v>156</v>
      </c>
      <c r="R159" s="127" t="s">
        <v>271</v>
      </c>
      <c r="S159" s="129">
        <v>0</v>
      </c>
      <c r="T159" s="129">
        <v>34.450000000000003</v>
      </c>
      <c r="U159" s="129">
        <v>0</v>
      </c>
      <c r="V159" s="129" t="b">
        <v>0</v>
      </c>
      <c r="W159" s="129">
        <v>94837818</v>
      </c>
      <c r="X159" s="129">
        <v>0</v>
      </c>
      <c r="Y159" s="129">
        <v>0</v>
      </c>
      <c r="Z159" s="127" t="s">
        <v>256</v>
      </c>
      <c r="AA159" s="129">
        <v>0</v>
      </c>
      <c r="AB159" s="129" t="b">
        <v>0</v>
      </c>
      <c r="AC159" s="127" t="s">
        <v>142</v>
      </c>
      <c r="AD159" s="127" t="s">
        <v>142</v>
      </c>
      <c r="AE159" s="127" t="s">
        <v>142</v>
      </c>
      <c r="AF159" s="129">
        <v>0.1</v>
      </c>
      <c r="AG159" s="144">
        <v>39609</v>
      </c>
      <c r="AH159" s="129"/>
    </row>
    <row r="160" spans="1:34" x14ac:dyDescent="0.2">
      <c r="A160" s="127" t="s">
        <v>23</v>
      </c>
      <c r="B160" s="128">
        <v>39573.452384259261</v>
      </c>
      <c r="C160" s="127" t="s">
        <v>274</v>
      </c>
      <c r="D160" s="127" t="s">
        <v>271</v>
      </c>
      <c r="E160" s="127" t="s">
        <v>21</v>
      </c>
      <c r="F160" s="129">
        <v>0.56000000000000005</v>
      </c>
      <c r="G160" s="129">
        <v>0.68</v>
      </c>
      <c r="H160" s="129">
        <v>27</v>
      </c>
      <c r="I160" s="129">
        <v>136</v>
      </c>
      <c r="J160" s="129" t="b">
        <v>0</v>
      </c>
      <c r="K160" s="129" t="b">
        <v>0</v>
      </c>
      <c r="L160" s="129">
        <v>200</v>
      </c>
      <c r="M160" s="129">
        <v>0</v>
      </c>
      <c r="N160" s="129">
        <v>5.04</v>
      </c>
      <c r="O160" s="129">
        <v>0</v>
      </c>
      <c r="P160" s="129">
        <v>0</v>
      </c>
      <c r="Q160" s="129">
        <v>136</v>
      </c>
      <c r="R160" s="127" t="s">
        <v>271</v>
      </c>
      <c r="S160" s="129">
        <v>0</v>
      </c>
      <c r="T160" s="129">
        <v>39.71</v>
      </c>
      <c r="U160" s="129">
        <v>0</v>
      </c>
      <c r="V160" s="129" t="b">
        <v>0</v>
      </c>
      <c r="W160" s="129">
        <v>94758820</v>
      </c>
      <c r="X160" s="129">
        <v>0</v>
      </c>
      <c r="Y160" s="129">
        <v>0</v>
      </c>
      <c r="Z160" s="127" t="s">
        <v>266</v>
      </c>
      <c r="AA160" s="129">
        <v>0</v>
      </c>
      <c r="AB160" s="129" t="b">
        <v>0</v>
      </c>
      <c r="AC160" s="127" t="s">
        <v>142</v>
      </c>
      <c r="AD160" s="127" t="s">
        <v>142</v>
      </c>
      <c r="AE160" s="127" t="s">
        <v>142</v>
      </c>
      <c r="AF160" s="129">
        <v>0.12</v>
      </c>
      <c r="AG160" s="144">
        <v>39577</v>
      </c>
      <c r="AH160" s="129"/>
    </row>
    <row r="161" spans="1:34" x14ac:dyDescent="0.2">
      <c r="A161" s="127" t="s">
        <v>23</v>
      </c>
      <c r="B161" s="128">
        <v>39546.430844907409</v>
      </c>
      <c r="C161" s="127" t="s">
        <v>274</v>
      </c>
      <c r="D161" s="127" t="s">
        <v>271</v>
      </c>
      <c r="E161" s="127" t="s">
        <v>21</v>
      </c>
      <c r="F161" s="129">
        <v>0.73</v>
      </c>
      <c r="G161" s="129">
        <v>0.56000000000000005</v>
      </c>
      <c r="H161" s="129">
        <v>32</v>
      </c>
      <c r="I161" s="129">
        <v>112</v>
      </c>
      <c r="J161" s="129" t="b">
        <v>0</v>
      </c>
      <c r="K161" s="129" t="b">
        <v>0</v>
      </c>
      <c r="L161" s="129">
        <v>200</v>
      </c>
      <c r="M161" s="129">
        <v>0</v>
      </c>
      <c r="N161" s="129">
        <v>3.5</v>
      </c>
      <c r="O161" s="129">
        <v>0</v>
      </c>
      <c r="P161" s="129">
        <v>0</v>
      </c>
      <c r="Q161" s="129">
        <v>112</v>
      </c>
      <c r="R161" s="127" t="s">
        <v>271</v>
      </c>
      <c r="S161" s="129">
        <v>0</v>
      </c>
      <c r="T161" s="129">
        <v>47.2</v>
      </c>
      <c r="U161" s="129">
        <v>0</v>
      </c>
      <c r="V161" s="129" t="b">
        <v>0</v>
      </c>
      <c r="W161" s="129">
        <v>94677398</v>
      </c>
      <c r="X161" s="129">
        <v>0</v>
      </c>
      <c r="Y161" s="129">
        <v>0</v>
      </c>
      <c r="Z161" s="127" t="s">
        <v>266</v>
      </c>
      <c r="AA161" s="129">
        <v>0</v>
      </c>
      <c r="AB161" s="129" t="b">
        <v>0</v>
      </c>
      <c r="AC161" s="127" t="s">
        <v>142</v>
      </c>
      <c r="AD161" s="127" t="s">
        <v>142</v>
      </c>
      <c r="AE161" s="127" t="s">
        <v>142</v>
      </c>
      <c r="AF161" s="129">
        <v>99.83</v>
      </c>
      <c r="AG161" s="144">
        <v>39548</v>
      </c>
      <c r="AH161" s="129"/>
    </row>
    <row r="162" spans="1:34" x14ac:dyDescent="0.2">
      <c r="A162" s="127" t="s">
        <v>23</v>
      </c>
      <c r="B162" s="128">
        <v>39514.42491898148</v>
      </c>
      <c r="C162" s="127" t="s">
        <v>274</v>
      </c>
      <c r="D162" s="127" t="s">
        <v>271</v>
      </c>
      <c r="E162" s="127" t="s">
        <v>21</v>
      </c>
      <c r="F162" s="129">
        <v>0.66</v>
      </c>
      <c r="G162" s="129">
        <v>0.73</v>
      </c>
      <c r="H162" s="129">
        <v>28</v>
      </c>
      <c r="I162" s="129">
        <v>146</v>
      </c>
      <c r="J162" s="129" t="b">
        <v>0</v>
      </c>
      <c r="K162" s="129" t="b">
        <v>0</v>
      </c>
      <c r="L162" s="129">
        <v>200</v>
      </c>
      <c r="M162" s="129">
        <v>0</v>
      </c>
      <c r="N162" s="129">
        <v>5.21</v>
      </c>
      <c r="O162" s="129">
        <v>0</v>
      </c>
      <c r="P162" s="129">
        <v>0</v>
      </c>
      <c r="Q162" s="129">
        <v>146</v>
      </c>
      <c r="R162" s="127" t="s">
        <v>271</v>
      </c>
      <c r="S162" s="129">
        <v>0</v>
      </c>
      <c r="T162" s="129">
        <v>38.94</v>
      </c>
      <c r="U162" s="129">
        <v>0</v>
      </c>
      <c r="V162" s="129" t="b">
        <v>0</v>
      </c>
      <c r="W162" s="129">
        <v>94588820</v>
      </c>
      <c r="X162" s="129">
        <v>0</v>
      </c>
      <c r="Y162" s="129">
        <v>0</v>
      </c>
      <c r="Z162" s="127" t="s">
        <v>266</v>
      </c>
      <c r="AA162" s="129">
        <v>0</v>
      </c>
      <c r="AB162" s="129" t="b">
        <v>0</v>
      </c>
      <c r="AC162" s="127" t="s">
        <v>142</v>
      </c>
      <c r="AD162" s="127" t="s">
        <v>142</v>
      </c>
      <c r="AE162" s="127" t="s">
        <v>142</v>
      </c>
      <c r="AF162" s="129">
        <v>7.0000000000000007E-2</v>
      </c>
      <c r="AG162" s="144">
        <v>39518</v>
      </c>
      <c r="AH162" s="129"/>
    </row>
    <row r="163" spans="1:34" x14ac:dyDescent="0.2">
      <c r="A163" s="127" t="s">
        <v>23</v>
      </c>
      <c r="B163" s="128">
        <v>39486.4140162037</v>
      </c>
      <c r="C163" s="127" t="s">
        <v>274</v>
      </c>
      <c r="D163" s="127" t="s">
        <v>271</v>
      </c>
      <c r="E163" s="127" t="s">
        <v>21</v>
      </c>
      <c r="F163" s="129">
        <v>0.66</v>
      </c>
      <c r="G163" s="129">
        <v>0.66</v>
      </c>
      <c r="H163" s="129">
        <v>31</v>
      </c>
      <c r="I163" s="129">
        <v>132</v>
      </c>
      <c r="J163" s="129" t="b">
        <v>0</v>
      </c>
      <c r="K163" s="129" t="b">
        <v>0</v>
      </c>
      <c r="L163" s="129">
        <v>200</v>
      </c>
      <c r="M163" s="129">
        <v>0</v>
      </c>
      <c r="N163" s="129">
        <v>4.26</v>
      </c>
      <c r="O163" s="129">
        <v>0</v>
      </c>
      <c r="P163" s="129">
        <v>0</v>
      </c>
      <c r="Q163" s="129">
        <v>132</v>
      </c>
      <c r="R163" s="127" t="s">
        <v>271</v>
      </c>
      <c r="S163" s="129">
        <v>0</v>
      </c>
      <c r="T163" s="129">
        <v>45.21</v>
      </c>
      <c r="U163" s="129">
        <v>0</v>
      </c>
      <c r="V163" s="129" t="b">
        <v>0</v>
      </c>
      <c r="W163" s="129">
        <v>94504695</v>
      </c>
      <c r="X163" s="129">
        <v>0</v>
      </c>
      <c r="Y163" s="129">
        <v>0</v>
      </c>
      <c r="Z163" s="127" t="s">
        <v>266</v>
      </c>
      <c r="AA163" s="129">
        <v>0</v>
      </c>
      <c r="AB163" s="129" t="b">
        <v>0</v>
      </c>
      <c r="AC163" s="127" t="s">
        <v>142</v>
      </c>
      <c r="AD163" s="127" t="s">
        <v>142</v>
      </c>
      <c r="AE163" s="127" t="s">
        <v>142</v>
      </c>
      <c r="AF163" s="129">
        <v>0</v>
      </c>
      <c r="AG163" s="144">
        <v>39489</v>
      </c>
      <c r="AH163" s="129"/>
    </row>
    <row r="164" spans="1:34" x14ac:dyDescent="0.2">
      <c r="A164" s="127" t="s">
        <v>23</v>
      </c>
      <c r="B164" s="128">
        <v>39455.534756944442</v>
      </c>
      <c r="C164" s="127" t="s">
        <v>274</v>
      </c>
      <c r="D164" s="127" t="s">
        <v>271</v>
      </c>
      <c r="E164" s="127" t="s">
        <v>21</v>
      </c>
      <c r="F164" s="129">
        <v>0.76</v>
      </c>
      <c r="G164" s="129">
        <v>0.66</v>
      </c>
      <c r="H164" s="129">
        <v>34</v>
      </c>
      <c r="I164" s="129">
        <v>132</v>
      </c>
      <c r="J164" s="129" t="b">
        <v>0</v>
      </c>
      <c r="K164" s="129" t="b">
        <v>0</v>
      </c>
      <c r="L164" s="129">
        <v>200</v>
      </c>
      <c r="M164" s="129">
        <v>0</v>
      </c>
      <c r="N164" s="129">
        <v>3.88</v>
      </c>
      <c r="O164" s="129">
        <v>0</v>
      </c>
      <c r="P164" s="129">
        <v>0</v>
      </c>
      <c r="Q164" s="129">
        <v>132</v>
      </c>
      <c r="R164" s="127" t="s">
        <v>271</v>
      </c>
      <c r="S164" s="129">
        <v>0</v>
      </c>
      <c r="T164" s="129">
        <v>38.06</v>
      </c>
      <c r="U164" s="129">
        <v>0</v>
      </c>
      <c r="V164" s="129" t="b">
        <v>0</v>
      </c>
      <c r="W164" s="129">
        <v>94422289</v>
      </c>
      <c r="X164" s="129">
        <v>0</v>
      </c>
      <c r="Y164" s="129">
        <v>0</v>
      </c>
      <c r="Z164" s="127" t="s">
        <v>266</v>
      </c>
      <c r="AA164" s="129">
        <v>0</v>
      </c>
      <c r="AB164" s="129" t="b">
        <v>0</v>
      </c>
      <c r="AC164" s="127" t="s">
        <v>142</v>
      </c>
      <c r="AD164" s="127" t="s">
        <v>142</v>
      </c>
      <c r="AE164" s="127" t="s">
        <v>142</v>
      </c>
      <c r="AF164" s="129">
        <v>99.9</v>
      </c>
      <c r="AG164" s="144">
        <v>39457</v>
      </c>
      <c r="AH164" s="129"/>
    </row>
    <row r="165" spans="1:34" x14ac:dyDescent="0.2">
      <c r="A165" s="127" t="s">
        <v>23</v>
      </c>
      <c r="B165" s="128">
        <v>39421.534074074072</v>
      </c>
      <c r="C165" s="127" t="s">
        <v>274</v>
      </c>
      <c r="D165" s="127" t="s">
        <v>271</v>
      </c>
      <c r="E165" s="127" t="s">
        <v>21</v>
      </c>
      <c r="F165" s="129">
        <v>0.66</v>
      </c>
      <c r="G165" s="129">
        <v>0.76</v>
      </c>
      <c r="H165" s="129">
        <v>33</v>
      </c>
      <c r="I165" s="129">
        <v>152</v>
      </c>
      <c r="J165" s="129" t="b">
        <v>0</v>
      </c>
      <c r="K165" s="129" t="b">
        <v>0</v>
      </c>
      <c r="L165" s="129">
        <v>200</v>
      </c>
      <c r="M165" s="129">
        <v>0</v>
      </c>
      <c r="N165" s="129">
        <v>4.6100000000000003</v>
      </c>
      <c r="O165" s="129">
        <v>0</v>
      </c>
      <c r="P165" s="129">
        <v>0</v>
      </c>
      <c r="Q165" s="129">
        <v>152</v>
      </c>
      <c r="R165" s="127" t="s">
        <v>271</v>
      </c>
      <c r="S165" s="129">
        <v>0</v>
      </c>
      <c r="T165" s="129">
        <v>33.229999999999997</v>
      </c>
      <c r="U165" s="129">
        <v>0</v>
      </c>
      <c r="V165" s="129" t="b">
        <v>0</v>
      </c>
      <c r="W165" s="129">
        <v>94341513</v>
      </c>
      <c r="X165" s="129">
        <v>0</v>
      </c>
      <c r="Y165" s="129">
        <v>0</v>
      </c>
      <c r="Z165" s="127" t="s">
        <v>266</v>
      </c>
      <c r="AA165" s="129">
        <v>0</v>
      </c>
      <c r="AB165" s="129" t="b">
        <v>0</v>
      </c>
      <c r="AC165" s="127" t="s">
        <v>142</v>
      </c>
      <c r="AD165" s="127" t="s">
        <v>142</v>
      </c>
      <c r="AE165" s="127" t="s">
        <v>142</v>
      </c>
      <c r="AF165" s="129">
        <v>0.1</v>
      </c>
      <c r="AG165" s="144">
        <v>39427</v>
      </c>
      <c r="AH165" s="129"/>
    </row>
    <row r="166" spans="1:34" x14ac:dyDescent="0.2">
      <c r="A166" s="127" t="s">
        <v>23</v>
      </c>
      <c r="B166" s="128">
        <v>39388</v>
      </c>
      <c r="C166" s="127" t="s">
        <v>274</v>
      </c>
      <c r="D166" s="127" t="s">
        <v>271</v>
      </c>
      <c r="E166" s="127" t="s">
        <v>75</v>
      </c>
      <c r="F166" s="129">
        <v>0.79</v>
      </c>
      <c r="G166" s="129">
        <v>0.66</v>
      </c>
      <c r="H166" s="129">
        <v>30</v>
      </c>
      <c r="I166" s="129">
        <v>132</v>
      </c>
      <c r="J166" s="129" t="b">
        <v>0</v>
      </c>
      <c r="K166" s="129" t="b">
        <v>0</v>
      </c>
      <c r="L166" s="129">
        <v>200</v>
      </c>
      <c r="M166" s="129">
        <v>0</v>
      </c>
      <c r="N166" s="129">
        <v>4.4000000000000004</v>
      </c>
      <c r="O166" s="129">
        <v>0</v>
      </c>
      <c r="P166" s="129">
        <v>0</v>
      </c>
      <c r="Q166" s="129">
        <v>132</v>
      </c>
      <c r="R166" s="127" t="s">
        <v>271</v>
      </c>
      <c r="S166" s="129">
        <v>0</v>
      </c>
      <c r="T166" s="129">
        <v>47.14</v>
      </c>
      <c r="U166" s="129">
        <v>0</v>
      </c>
      <c r="V166" s="129" t="b">
        <v>0</v>
      </c>
      <c r="W166" s="129">
        <v>94259168</v>
      </c>
      <c r="X166" s="129">
        <v>0</v>
      </c>
      <c r="Y166" s="129">
        <v>0</v>
      </c>
      <c r="Z166" s="129"/>
      <c r="AA166" s="129">
        <v>0</v>
      </c>
      <c r="AB166" s="129" t="b">
        <v>0</v>
      </c>
      <c r="AC166" s="127" t="s">
        <v>142</v>
      </c>
      <c r="AD166" s="127" t="s">
        <v>142</v>
      </c>
      <c r="AE166" s="127" t="s">
        <v>142</v>
      </c>
      <c r="AF166" s="129">
        <v>99.87</v>
      </c>
      <c r="AG166" s="144">
        <v>39394</v>
      </c>
      <c r="AH166" s="129"/>
    </row>
    <row r="167" spans="1:34" x14ac:dyDescent="0.2">
      <c r="A167" s="127" t="s">
        <v>23</v>
      </c>
      <c r="B167" s="128">
        <v>39358.404722222222</v>
      </c>
      <c r="C167" s="127" t="s">
        <v>274</v>
      </c>
      <c r="D167" s="127" t="s">
        <v>271</v>
      </c>
      <c r="E167" s="127" t="s">
        <v>21</v>
      </c>
      <c r="F167" s="129">
        <v>0.91</v>
      </c>
      <c r="G167" s="129">
        <v>0.79</v>
      </c>
      <c r="H167" s="129">
        <v>28</v>
      </c>
      <c r="I167" s="129">
        <v>158</v>
      </c>
      <c r="J167" s="129" t="b">
        <v>0</v>
      </c>
      <c r="K167" s="129" t="b">
        <v>0</v>
      </c>
      <c r="L167" s="129">
        <v>200</v>
      </c>
      <c r="M167" s="129">
        <v>0</v>
      </c>
      <c r="N167" s="129">
        <v>5.64</v>
      </c>
      <c r="O167" s="129">
        <v>0</v>
      </c>
      <c r="P167" s="129">
        <v>0</v>
      </c>
      <c r="Q167" s="129">
        <v>158</v>
      </c>
      <c r="R167" s="127" t="s">
        <v>271</v>
      </c>
      <c r="S167" s="129">
        <v>0</v>
      </c>
      <c r="T167" s="129">
        <v>48.03</v>
      </c>
      <c r="U167" s="129">
        <v>0</v>
      </c>
      <c r="V167" s="129" t="b">
        <v>0</v>
      </c>
      <c r="W167" s="129">
        <v>94173235</v>
      </c>
      <c r="X167" s="129">
        <v>0</v>
      </c>
      <c r="Y167" s="129">
        <v>0</v>
      </c>
      <c r="Z167" s="127" t="s">
        <v>266</v>
      </c>
      <c r="AA167" s="129">
        <v>0</v>
      </c>
      <c r="AB167" s="129" t="b">
        <v>0</v>
      </c>
      <c r="AC167" s="127" t="s">
        <v>142</v>
      </c>
      <c r="AD167" s="127" t="s">
        <v>142</v>
      </c>
      <c r="AE167" s="127" t="s">
        <v>142</v>
      </c>
      <c r="AF167" s="129">
        <v>99.88</v>
      </c>
      <c r="AG167" s="144">
        <v>39364</v>
      </c>
      <c r="AH167" s="129"/>
    </row>
    <row r="168" spans="1:34" x14ac:dyDescent="0.2">
      <c r="A168" s="127" t="s">
        <v>23</v>
      </c>
      <c r="B168" s="128">
        <v>39330.453460648147</v>
      </c>
      <c r="C168" s="127" t="s">
        <v>274</v>
      </c>
      <c r="D168" s="127" t="s">
        <v>271</v>
      </c>
      <c r="E168" s="127" t="s">
        <v>21</v>
      </c>
      <c r="F168" s="129">
        <v>0.83</v>
      </c>
      <c r="G168" s="129">
        <v>0.91</v>
      </c>
      <c r="H168" s="129">
        <v>33</v>
      </c>
      <c r="I168" s="129">
        <v>182</v>
      </c>
      <c r="J168" s="129" t="b">
        <v>0</v>
      </c>
      <c r="K168" s="129" t="b">
        <v>0</v>
      </c>
      <c r="L168" s="129">
        <v>200</v>
      </c>
      <c r="M168" s="129">
        <v>0</v>
      </c>
      <c r="N168" s="129">
        <v>5.52</v>
      </c>
      <c r="O168" s="129">
        <v>0</v>
      </c>
      <c r="P168" s="129">
        <v>0</v>
      </c>
      <c r="Q168" s="129">
        <v>182</v>
      </c>
      <c r="R168" s="127" t="s">
        <v>271</v>
      </c>
      <c r="S168" s="129">
        <v>0</v>
      </c>
      <c r="T168" s="129">
        <v>50.51</v>
      </c>
      <c r="U168" s="129">
        <v>0</v>
      </c>
      <c r="V168" s="129" t="b">
        <v>0</v>
      </c>
      <c r="W168" s="129">
        <v>94095851</v>
      </c>
      <c r="X168" s="129">
        <v>0</v>
      </c>
      <c r="Y168" s="129">
        <v>0</v>
      </c>
      <c r="Z168" s="127" t="s">
        <v>266</v>
      </c>
      <c r="AA168" s="129">
        <v>0</v>
      </c>
      <c r="AB168" s="129" t="b">
        <v>0</v>
      </c>
      <c r="AC168" s="127" t="s">
        <v>142</v>
      </c>
      <c r="AD168" s="127" t="s">
        <v>142</v>
      </c>
      <c r="AE168" s="127" t="s">
        <v>142</v>
      </c>
      <c r="AF168" s="129">
        <v>0.08</v>
      </c>
      <c r="AG168" s="144">
        <v>39337</v>
      </c>
      <c r="AH168" s="129"/>
    </row>
    <row r="169" spans="1:34" x14ac:dyDescent="0.2">
      <c r="A169" s="127" t="s">
        <v>23</v>
      </c>
      <c r="B169" s="128">
        <v>39297.385185185187</v>
      </c>
      <c r="C169" s="127" t="s">
        <v>274</v>
      </c>
      <c r="D169" s="127" t="s">
        <v>271</v>
      </c>
      <c r="E169" s="127" t="s">
        <v>21</v>
      </c>
      <c r="F169" s="129">
        <v>0.84</v>
      </c>
      <c r="G169" s="129">
        <v>0.83</v>
      </c>
      <c r="H169" s="129">
        <v>31</v>
      </c>
      <c r="I169" s="129">
        <v>166</v>
      </c>
      <c r="J169" s="129" t="b">
        <v>0</v>
      </c>
      <c r="K169" s="129" t="b">
        <v>0</v>
      </c>
      <c r="L169" s="129">
        <v>200</v>
      </c>
      <c r="M169" s="129">
        <v>0</v>
      </c>
      <c r="N169" s="129">
        <v>5.35</v>
      </c>
      <c r="O169" s="129">
        <v>0</v>
      </c>
      <c r="P169" s="129">
        <v>0</v>
      </c>
      <c r="Q169" s="129">
        <v>166</v>
      </c>
      <c r="R169" s="127" t="s">
        <v>271</v>
      </c>
      <c r="S169" s="129">
        <v>0</v>
      </c>
      <c r="T169" s="129">
        <v>44.37</v>
      </c>
      <c r="U169" s="129">
        <v>0</v>
      </c>
      <c r="V169" s="129" t="b">
        <v>0</v>
      </c>
      <c r="W169" s="129">
        <v>94014231</v>
      </c>
      <c r="X169" s="129">
        <v>0</v>
      </c>
      <c r="Y169" s="129">
        <v>0</v>
      </c>
      <c r="Z169" s="127" t="s">
        <v>266</v>
      </c>
      <c r="AA169" s="129">
        <v>0</v>
      </c>
      <c r="AB169" s="129" t="b">
        <v>0</v>
      </c>
      <c r="AC169" s="127" t="s">
        <v>142</v>
      </c>
      <c r="AD169" s="127" t="s">
        <v>142</v>
      </c>
      <c r="AE169" s="127" t="s">
        <v>142</v>
      </c>
      <c r="AF169" s="129">
        <v>99.99</v>
      </c>
      <c r="AG169" s="144">
        <v>39303</v>
      </c>
      <c r="AH169" s="129"/>
    </row>
    <row r="170" spans="1:34" x14ac:dyDescent="0.2">
      <c r="A170" s="127" t="s">
        <v>23</v>
      </c>
      <c r="B170" s="128">
        <v>39266.608888888892</v>
      </c>
      <c r="C170" s="127" t="s">
        <v>274</v>
      </c>
      <c r="D170" s="127" t="s">
        <v>271</v>
      </c>
      <c r="E170" s="127" t="s">
        <v>21</v>
      </c>
      <c r="F170" s="129">
        <v>0.78</v>
      </c>
      <c r="G170" s="129">
        <v>0.84</v>
      </c>
      <c r="H170" s="129">
        <v>28</v>
      </c>
      <c r="I170" s="129">
        <v>168</v>
      </c>
      <c r="J170" s="129" t="b">
        <v>0</v>
      </c>
      <c r="K170" s="129" t="b">
        <v>0</v>
      </c>
      <c r="L170" s="129">
        <v>200</v>
      </c>
      <c r="M170" s="129">
        <v>0</v>
      </c>
      <c r="N170" s="129">
        <v>6</v>
      </c>
      <c r="O170" s="129">
        <v>0</v>
      </c>
      <c r="P170" s="129">
        <v>0</v>
      </c>
      <c r="Q170" s="129">
        <v>168</v>
      </c>
      <c r="R170" s="127" t="s">
        <v>271</v>
      </c>
      <c r="S170" s="129">
        <v>0</v>
      </c>
      <c r="T170" s="129">
        <v>43.4</v>
      </c>
      <c r="U170" s="129">
        <v>0</v>
      </c>
      <c r="V170" s="129" t="b">
        <v>0</v>
      </c>
      <c r="W170" s="129">
        <v>93932722</v>
      </c>
      <c r="X170" s="129">
        <v>0</v>
      </c>
      <c r="Y170" s="129">
        <v>0</v>
      </c>
      <c r="Z170" s="127" t="s">
        <v>267</v>
      </c>
      <c r="AA170" s="129">
        <v>0</v>
      </c>
      <c r="AB170" s="129" t="b">
        <v>0</v>
      </c>
      <c r="AC170" s="127" t="s">
        <v>142</v>
      </c>
      <c r="AD170" s="127" t="s">
        <v>142</v>
      </c>
      <c r="AE170" s="127" t="s">
        <v>142</v>
      </c>
      <c r="AF170" s="129">
        <v>0.06</v>
      </c>
      <c r="AG170" s="144">
        <v>39274</v>
      </c>
      <c r="AH170" s="129"/>
    </row>
    <row r="171" spans="1:34" x14ac:dyDescent="0.2">
      <c r="A171" s="127" t="s">
        <v>23</v>
      </c>
      <c r="B171" s="128">
        <v>39238.449872685182</v>
      </c>
      <c r="C171" s="127" t="s">
        <v>274</v>
      </c>
      <c r="D171" s="127" t="s">
        <v>271</v>
      </c>
      <c r="E171" s="127" t="s">
        <v>21</v>
      </c>
      <c r="F171" s="129">
        <v>0.77</v>
      </c>
      <c r="G171" s="129">
        <v>0.78</v>
      </c>
      <c r="H171" s="129">
        <v>29</v>
      </c>
      <c r="I171" s="129">
        <v>156</v>
      </c>
      <c r="J171" s="129" t="b">
        <v>0</v>
      </c>
      <c r="K171" s="129" t="b">
        <v>0</v>
      </c>
      <c r="L171" s="129">
        <v>200</v>
      </c>
      <c r="M171" s="129">
        <v>0</v>
      </c>
      <c r="N171" s="129">
        <v>5.38</v>
      </c>
      <c r="O171" s="129">
        <v>0</v>
      </c>
      <c r="P171" s="129">
        <v>0</v>
      </c>
      <c r="Q171" s="129">
        <v>156</v>
      </c>
      <c r="R171" s="127" t="s">
        <v>271</v>
      </c>
      <c r="S171" s="129">
        <v>0</v>
      </c>
      <c r="T171" s="129">
        <v>41.63</v>
      </c>
      <c r="U171" s="129">
        <v>0</v>
      </c>
      <c r="V171" s="129" t="b">
        <v>0</v>
      </c>
      <c r="W171" s="129">
        <v>93853543</v>
      </c>
      <c r="X171" s="129">
        <v>0</v>
      </c>
      <c r="Y171" s="129">
        <v>0</v>
      </c>
      <c r="Z171" s="129"/>
      <c r="AA171" s="129">
        <v>0</v>
      </c>
      <c r="AB171" s="129" t="b">
        <v>0</v>
      </c>
      <c r="AC171" s="127" t="s">
        <v>142</v>
      </c>
      <c r="AD171" s="127" t="s">
        <v>142</v>
      </c>
      <c r="AE171" s="127" t="s">
        <v>142</v>
      </c>
      <c r="AF171" s="129">
        <v>0.01</v>
      </c>
      <c r="AG171" s="144">
        <v>39244</v>
      </c>
      <c r="AH171" s="129"/>
    </row>
    <row r="172" spans="1:34" x14ac:dyDescent="0.2">
      <c r="A172" s="127" t="s">
        <v>23</v>
      </c>
      <c r="B172" s="128">
        <v>39209.446631944447</v>
      </c>
      <c r="C172" s="127" t="s">
        <v>274</v>
      </c>
      <c r="D172" s="127" t="s">
        <v>271</v>
      </c>
      <c r="E172" s="127" t="s">
        <v>21</v>
      </c>
      <c r="F172" s="129">
        <v>0.76</v>
      </c>
      <c r="G172" s="129">
        <v>0.77</v>
      </c>
      <c r="H172" s="129">
        <v>33</v>
      </c>
      <c r="I172" s="129">
        <v>154</v>
      </c>
      <c r="J172" s="129" t="b">
        <v>0</v>
      </c>
      <c r="K172" s="129" t="b">
        <v>0</v>
      </c>
      <c r="L172" s="129">
        <v>200</v>
      </c>
      <c r="M172" s="129">
        <v>0</v>
      </c>
      <c r="N172" s="129">
        <v>4.67</v>
      </c>
      <c r="O172" s="129">
        <v>0</v>
      </c>
      <c r="P172" s="129">
        <v>0</v>
      </c>
      <c r="Q172" s="129">
        <v>154</v>
      </c>
      <c r="R172" s="127" t="s">
        <v>271</v>
      </c>
      <c r="S172" s="129">
        <v>0</v>
      </c>
      <c r="T172" s="129">
        <v>35.26</v>
      </c>
      <c r="U172" s="129">
        <v>0</v>
      </c>
      <c r="V172" s="129" t="b">
        <v>0</v>
      </c>
      <c r="W172" s="129">
        <v>93765213</v>
      </c>
      <c r="X172" s="129">
        <v>0</v>
      </c>
      <c r="Y172" s="129">
        <v>0</v>
      </c>
      <c r="Z172" s="129"/>
      <c r="AA172" s="129">
        <v>0</v>
      </c>
      <c r="AB172" s="129" t="b">
        <v>0</v>
      </c>
      <c r="AC172" s="127" t="s">
        <v>142</v>
      </c>
      <c r="AD172" s="127" t="s">
        <v>142</v>
      </c>
      <c r="AE172" s="127" t="s">
        <v>142</v>
      </c>
      <c r="AF172" s="129">
        <v>0.01</v>
      </c>
      <c r="AG172" s="144">
        <v>39212</v>
      </c>
      <c r="AH172" s="129"/>
    </row>
    <row r="173" spans="1:34" x14ac:dyDescent="0.2">
      <c r="A173" s="127" t="s">
        <v>23</v>
      </c>
      <c r="B173" s="128">
        <v>39176.569178240738</v>
      </c>
      <c r="C173" s="127" t="s">
        <v>274</v>
      </c>
      <c r="D173" s="127" t="s">
        <v>271</v>
      </c>
      <c r="E173" s="127" t="s">
        <v>21</v>
      </c>
      <c r="F173" s="129">
        <v>0.66</v>
      </c>
      <c r="G173" s="129">
        <v>0.76</v>
      </c>
      <c r="H173" s="129">
        <v>27</v>
      </c>
      <c r="I173" s="129">
        <v>152</v>
      </c>
      <c r="J173" s="129" t="b">
        <v>0</v>
      </c>
      <c r="K173" s="129" t="b">
        <v>0</v>
      </c>
      <c r="L173" s="129">
        <v>200</v>
      </c>
      <c r="M173" s="129">
        <v>0</v>
      </c>
      <c r="N173" s="129">
        <v>5.63</v>
      </c>
      <c r="O173" s="129">
        <v>0</v>
      </c>
      <c r="P173" s="129">
        <v>0</v>
      </c>
      <c r="Q173" s="129">
        <v>152</v>
      </c>
      <c r="R173" s="127" t="s">
        <v>271</v>
      </c>
      <c r="S173" s="129">
        <v>0</v>
      </c>
      <c r="T173" s="129">
        <v>36.35</v>
      </c>
      <c r="U173" s="129">
        <v>0</v>
      </c>
      <c r="V173" s="129" t="b">
        <v>0</v>
      </c>
      <c r="W173" s="129">
        <v>93682519</v>
      </c>
      <c r="X173" s="129">
        <v>0</v>
      </c>
      <c r="Y173" s="129">
        <v>0</v>
      </c>
      <c r="Z173" s="129"/>
      <c r="AA173" s="129">
        <v>0</v>
      </c>
      <c r="AB173" s="129" t="b">
        <v>0</v>
      </c>
      <c r="AC173" s="127" t="s">
        <v>142</v>
      </c>
      <c r="AD173" s="127" t="s">
        <v>142</v>
      </c>
      <c r="AE173" s="127" t="s">
        <v>142</v>
      </c>
      <c r="AF173" s="129">
        <v>0.1</v>
      </c>
      <c r="AG173" s="144">
        <v>39183</v>
      </c>
      <c r="AH173" s="129"/>
    </row>
    <row r="174" spans="1:34" x14ac:dyDescent="0.2">
      <c r="A174" s="127" t="s">
        <v>23</v>
      </c>
      <c r="B174" s="128">
        <v>39149.441030092596</v>
      </c>
      <c r="C174" s="127" t="s">
        <v>274</v>
      </c>
      <c r="D174" s="127" t="s">
        <v>271</v>
      </c>
      <c r="E174" s="127" t="s">
        <v>21</v>
      </c>
      <c r="F174" s="129">
        <v>0.72</v>
      </c>
      <c r="G174" s="129">
        <v>0.66</v>
      </c>
      <c r="H174" s="129">
        <v>29</v>
      </c>
      <c r="I174" s="129">
        <v>132</v>
      </c>
      <c r="J174" s="129" t="b">
        <v>0</v>
      </c>
      <c r="K174" s="129" t="b">
        <v>0</v>
      </c>
      <c r="L174" s="129">
        <v>200</v>
      </c>
      <c r="M174" s="129">
        <v>0</v>
      </c>
      <c r="N174" s="129">
        <v>4.55</v>
      </c>
      <c r="O174" s="129">
        <v>0</v>
      </c>
      <c r="P174" s="129">
        <v>0</v>
      </c>
      <c r="Q174" s="129">
        <v>132</v>
      </c>
      <c r="R174" s="127" t="s">
        <v>271</v>
      </c>
      <c r="S174" s="129">
        <v>0</v>
      </c>
      <c r="T174" s="129">
        <v>43.54</v>
      </c>
      <c r="U174" s="129">
        <v>0</v>
      </c>
      <c r="V174" s="129" t="b">
        <v>0</v>
      </c>
      <c r="W174" s="129">
        <v>93597209</v>
      </c>
      <c r="X174" s="129">
        <v>0</v>
      </c>
      <c r="Y174" s="129">
        <v>0</v>
      </c>
      <c r="Z174" s="129"/>
      <c r="AA174" s="129">
        <v>0</v>
      </c>
      <c r="AB174" s="129" t="b">
        <v>0</v>
      </c>
      <c r="AC174" s="127" t="s">
        <v>142</v>
      </c>
      <c r="AD174" s="127" t="s">
        <v>142</v>
      </c>
      <c r="AE174" s="127" t="s">
        <v>142</v>
      </c>
      <c r="AF174" s="129">
        <v>99.94</v>
      </c>
      <c r="AG174" s="144">
        <v>39153</v>
      </c>
      <c r="AH174" s="129"/>
    </row>
    <row r="175" spans="1:34" x14ac:dyDescent="0.2">
      <c r="A175" s="127" t="s">
        <v>23</v>
      </c>
      <c r="B175" s="128">
        <v>39120.439351851855</v>
      </c>
      <c r="C175" s="127" t="s">
        <v>274</v>
      </c>
      <c r="D175" s="127" t="s">
        <v>271</v>
      </c>
      <c r="E175" s="127" t="s">
        <v>21</v>
      </c>
      <c r="F175" s="129">
        <v>0.76</v>
      </c>
      <c r="G175" s="129">
        <v>0.72</v>
      </c>
      <c r="H175" s="129">
        <v>29</v>
      </c>
      <c r="I175" s="129">
        <v>144</v>
      </c>
      <c r="J175" s="129" t="b">
        <v>0</v>
      </c>
      <c r="K175" s="129" t="b">
        <v>0</v>
      </c>
      <c r="L175" s="129">
        <v>200</v>
      </c>
      <c r="M175" s="129">
        <v>0</v>
      </c>
      <c r="N175" s="129">
        <v>4.97</v>
      </c>
      <c r="O175" s="129">
        <v>0</v>
      </c>
      <c r="P175" s="129">
        <v>0</v>
      </c>
      <c r="Q175" s="129">
        <v>144</v>
      </c>
      <c r="R175" s="127" t="s">
        <v>271</v>
      </c>
      <c r="S175" s="129">
        <v>0</v>
      </c>
      <c r="T175" s="129">
        <v>41.11</v>
      </c>
      <c r="U175" s="129">
        <v>0</v>
      </c>
      <c r="V175" s="129" t="b">
        <v>0</v>
      </c>
      <c r="W175" s="129">
        <v>93512333</v>
      </c>
      <c r="X175" s="129">
        <v>0</v>
      </c>
      <c r="Y175" s="129">
        <v>0</v>
      </c>
      <c r="Z175" s="129"/>
      <c r="AA175" s="129">
        <v>0</v>
      </c>
      <c r="AB175" s="129" t="b">
        <v>0</v>
      </c>
      <c r="AC175" s="127" t="s">
        <v>142</v>
      </c>
      <c r="AD175" s="127" t="s">
        <v>142</v>
      </c>
      <c r="AE175" s="127" t="s">
        <v>142</v>
      </c>
      <c r="AF175" s="129">
        <v>99.96</v>
      </c>
      <c r="AG175" s="144">
        <v>39122</v>
      </c>
      <c r="AH175" s="129"/>
    </row>
    <row r="176" spans="1:34" x14ac:dyDescent="0.2">
      <c r="A176" s="127" t="s">
        <v>23</v>
      </c>
      <c r="B176" s="128">
        <v>39091.465509259258</v>
      </c>
      <c r="C176" s="127" t="s">
        <v>274</v>
      </c>
      <c r="D176" s="127" t="s">
        <v>271</v>
      </c>
      <c r="E176" s="127" t="s">
        <v>21</v>
      </c>
      <c r="F176" s="129">
        <v>0.78</v>
      </c>
      <c r="G176" s="129">
        <v>0.76</v>
      </c>
      <c r="H176" s="129">
        <v>35</v>
      </c>
      <c r="I176" s="129">
        <v>152</v>
      </c>
      <c r="J176" s="129" t="b">
        <v>0</v>
      </c>
      <c r="K176" s="129" t="b">
        <v>0</v>
      </c>
      <c r="L176" s="129">
        <v>200</v>
      </c>
      <c r="M176" s="129">
        <v>0</v>
      </c>
      <c r="N176" s="129">
        <v>4.34</v>
      </c>
      <c r="O176" s="129">
        <v>0</v>
      </c>
      <c r="P176" s="129">
        <v>0</v>
      </c>
      <c r="Q176" s="129">
        <v>152</v>
      </c>
      <c r="R176" s="127" t="s">
        <v>271</v>
      </c>
      <c r="S176" s="129">
        <v>0</v>
      </c>
      <c r="T176" s="129">
        <v>34.15</v>
      </c>
      <c r="U176" s="129">
        <v>0</v>
      </c>
      <c r="V176" s="129" t="b">
        <v>0</v>
      </c>
      <c r="W176" s="129">
        <v>93423364</v>
      </c>
      <c r="X176" s="129">
        <v>0</v>
      </c>
      <c r="Y176" s="129">
        <v>0</v>
      </c>
      <c r="Z176" s="129"/>
      <c r="AA176" s="129">
        <v>0</v>
      </c>
      <c r="AB176" s="129" t="b">
        <v>0</v>
      </c>
      <c r="AC176" s="127" t="s">
        <v>142</v>
      </c>
      <c r="AD176" s="127" t="s">
        <v>142</v>
      </c>
      <c r="AE176" s="127" t="s">
        <v>142</v>
      </c>
      <c r="AF176" s="129">
        <v>99.98</v>
      </c>
      <c r="AG176" s="144">
        <v>39093</v>
      </c>
      <c r="AH176" s="129"/>
    </row>
    <row r="177" spans="1:34" x14ac:dyDescent="0.2">
      <c r="A177" s="127" t="s">
        <v>23</v>
      </c>
      <c r="B177" s="128">
        <v>39056.388136574074</v>
      </c>
      <c r="C177" s="127" t="s">
        <v>274</v>
      </c>
      <c r="D177" s="127" t="s">
        <v>271</v>
      </c>
      <c r="E177" s="127" t="s">
        <v>21</v>
      </c>
      <c r="F177" s="129">
        <v>0.66</v>
      </c>
      <c r="G177" s="129">
        <v>0.78</v>
      </c>
      <c r="H177" s="129">
        <v>29</v>
      </c>
      <c r="I177" s="129">
        <v>156</v>
      </c>
      <c r="J177" s="129" t="b">
        <v>0</v>
      </c>
      <c r="K177" s="129" t="b">
        <v>0</v>
      </c>
      <c r="L177" s="129">
        <v>200</v>
      </c>
      <c r="M177" s="129">
        <v>0</v>
      </c>
      <c r="N177" s="129">
        <v>5.38</v>
      </c>
      <c r="O177" s="129">
        <v>0</v>
      </c>
      <c r="P177" s="129">
        <v>0</v>
      </c>
      <c r="Q177" s="129">
        <v>156</v>
      </c>
      <c r="R177" s="127" t="s">
        <v>271</v>
      </c>
      <c r="S177" s="129">
        <v>0</v>
      </c>
      <c r="T177" s="129">
        <v>33.89</v>
      </c>
      <c r="U177" s="129">
        <v>0</v>
      </c>
      <c r="V177" s="129" t="b">
        <v>0</v>
      </c>
      <c r="W177" s="129">
        <v>93336096</v>
      </c>
      <c r="X177" s="129">
        <v>0</v>
      </c>
      <c r="Y177" s="129">
        <v>0</v>
      </c>
      <c r="Z177" s="129"/>
      <c r="AA177" s="129">
        <v>0</v>
      </c>
      <c r="AB177" s="129" t="b">
        <v>0</v>
      </c>
      <c r="AC177" s="127" t="s">
        <v>142</v>
      </c>
      <c r="AD177" s="127" t="s">
        <v>142</v>
      </c>
      <c r="AE177" s="127" t="s">
        <v>142</v>
      </c>
      <c r="AF177" s="129">
        <v>0.12</v>
      </c>
      <c r="AG177" s="144">
        <v>39062</v>
      </c>
      <c r="AH177" s="129"/>
    </row>
    <row r="178" spans="1:34" x14ac:dyDescent="0.2">
      <c r="A178" s="127" t="s">
        <v>23</v>
      </c>
      <c r="B178" s="128">
        <v>39027.359270833331</v>
      </c>
      <c r="C178" s="127" t="s">
        <v>274</v>
      </c>
      <c r="D178" s="127" t="s">
        <v>271</v>
      </c>
      <c r="E178" s="127" t="s">
        <v>21</v>
      </c>
      <c r="F178" s="129">
        <v>0.8</v>
      </c>
      <c r="G178" s="129">
        <v>0.66</v>
      </c>
      <c r="H178" s="129">
        <v>32</v>
      </c>
      <c r="I178" s="129">
        <v>132</v>
      </c>
      <c r="J178" s="129" t="b">
        <v>0</v>
      </c>
      <c r="K178" s="129" t="b">
        <v>0</v>
      </c>
      <c r="L178" s="129">
        <v>200</v>
      </c>
      <c r="M178" s="129">
        <v>0</v>
      </c>
      <c r="N178" s="129">
        <v>4.13</v>
      </c>
      <c r="O178" s="129">
        <v>0</v>
      </c>
      <c r="P178" s="129">
        <v>0</v>
      </c>
      <c r="Q178" s="129">
        <v>132</v>
      </c>
      <c r="R178" s="127" t="s">
        <v>271</v>
      </c>
      <c r="S178" s="129">
        <v>0</v>
      </c>
      <c r="T178" s="129">
        <v>47.15</v>
      </c>
      <c r="U178" s="129">
        <v>0</v>
      </c>
      <c r="V178" s="129" t="b">
        <v>0</v>
      </c>
      <c r="W178" s="129">
        <v>93259922</v>
      </c>
      <c r="X178" s="129">
        <v>0</v>
      </c>
      <c r="Y178" s="129">
        <v>0</v>
      </c>
      <c r="Z178" s="129"/>
      <c r="AA178" s="129">
        <v>0</v>
      </c>
      <c r="AB178" s="129" t="b">
        <v>0</v>
      </c>
      <c r="AC178" s="127" t="s">
        <v>142</v>
      </c>
      <c r="AD178" s="127" t="s">
        <v>142</v>
      </c>
      <c r="AE178" s="127" t="s">
        <v>142</v>
      </c>
      <c r="AF178" s="129">
        <v>99.86</v>
      </c>
      <c r="AG178" s="144">
        <v>39030</v>
      </c>
      <c r="AH178" s="129"/>
    </row>
    <row r="179" spans="1:34" x14ac:dyDescent="0.2">
      <c r="A179" s="127" t="s">
        <v>23</v>
      </c>
      <c r="B179" s="128">
        <v>38995.413182870368</v>
      </c>
      <c r="C179" s="127" t="s">
        <v>274</v>
      </c>
      <c r="D179" s="127" t="s">
        <v>271</v>
      </c>
      <c r="E179" s="127" t="s">
        <v>21</v>
      </c>
      <c r="F179" s="129">
        <v>1</v>
      </c>
      <c r="G179" s="129">
        <v>0.8</v>
      </c>
      <c r="H179" s="129">
        <v>27</v>
      </c>
      <c r="I179" s="129">
        <v>160</v>
      </c>
      <c r="J179" s="129" t="b">
        <v>0</v>
      </c>
      <c r="K179" s="129" t="b">
        <v>0</v>
      </c>
      <c r="L179" s="129">
        <v>200</v>
      </c>
      <c r="M179" s="129">
        <v>0</v>
      </c>
      <c r="N179" s="129">
        <v>5.93</v>
      </c>
      <c r="O179" s="129">
        <v>0</v>
      </c>
      <c r="P179" s="129">
        <v>0</v>
      </c>
      <c r="Q179" s="129">
        <v>160</v>
      </c>
      <c r="R179" s="127" t="s">
        <v>271</v>
      </c>
      <c r="S179" s="129">
        <v>0</v>
      </c>
      <c r="T179" s="129">
        <v>42.63</v>
      </c>
      <c r="U179" s="129">
        <v>0</v>
      </c>
      <c r="V179" s="129" t="b">
        <v>0</v>
      </c>
      <c r="W179" s="129">
        <v>93174831</v>
      </c>
      <c r="X179" s="129">
        <v>0</v>
      </c>
      <c r="Y179" s="129">
        <v>0</v>
      </c>
      <c r="Z179" s="129"/>
      <c r="AA179" s="129">
        <v>0</v>
      </c>
      <c r="AB179" s="129" t="b">
        <v>0</v>
      </c>
      <c r="AC179" s="127" t="s">
        <v>142</v>
      </c>
      <c r="AD179" s="127" t="s">
        <v>142</v>
      </c>
      <c r="AE179" s="127" t="s">
        <v>142</v>
      </c>
      <c r="AF179" s="129">
        <v>99.8</v>
      </c>
      <c r="AG179" s="144">
        <v>39000</v>
      </c>
      <c r="AH179" s="129"/>
    </row>
    <row r="180" spans="1:34" x14ac:dyDescent="0.2">
      <c r="A180" s="127" t="s">
        <v>23</v>
      </c>
      <c r="B180" s="128">
        <v>38968.373981481483</v>
      </c>
      <c r="C180" s="127" t="s">
        <v>274</v>
      </c>
      <c r="D180" s="127" t="s">
        <v>271</v>
      </c>
      <c r="E180" s="127" t="s">
        <v>21</v>
      </c>
      <c r="F180" s="129">
        <v>1.1000000000000001</v>
      </c>
      <c r="G180" s="129">
        <v>1</v>
      </c>
      <c r="H180" s="129">
        <v>30</v>
      </c>
      <c r="I180" s="129">
        <v>200</v>
      </c>
      <c r="J180" s="129" t="b">
        <v>0</v>
      </c>
      <c r="K180" s="129" t="b">
        <v>0</v>
      </c>
      <c r="L180" s="129">
        <v>200</v>
      </c>
      <c r="M180" s="129">
        <v>0</v>
      </c>
      <c r="N180" s="129">
        <v>6.67</v>
      </c>
      <c r="O180" s="129">
        <v>0</v>
      </c>
      <c r="P180" s="129">
        <v>0</v>
      </c>
      <c r="Q180" s="129">
        <v>200</v>
      </c>
      <c r="R180" s="127" t="s">
        <v>271</v>
      </c>
      <c r="S180" s="129">
        <v>0</v>
      </c>
      <c r="T180" s="129">
        <v>38.47</v>
      </c>
      <c r="U180" s="129">
        <v>0</v>
      </c>
      <c r="V180" s="129" t="b">
        <v>0</v>
      </c>
      <c r="W180" s="129">
        <v>93094772</v>
      </c>
      <c r="X180" s="129">
        <v>0</v>
      </c>
      <c r="Y180" s="129">
        <v>0</v>
      </c>
      <c r="Z180" s="129"/>
      <c r="AA180" s="129">
        <v>0</v>
      </c>
      <c r="AB180" s="129" t="b">
        <v>0</v>
      </c>
      <c r="AC180" s="127" t="s">
        <v>142</v>
      </c>
      <c r="AD180" s="127" t="s">
        <v>142</v>
      </c>
      <c r="AE180" s="127" t="s">
        <v>142</v>
      </c>
      <c r="AF180" s="129">
        <v>99.9</v>
      </c>
      <c r="AG180" s="144">
        <v>38972</v>
      </c>
      <c r="AH180" s="129"/>
    </row>
    <row r="181" spans="1:34" x14ac:dyDescent="0.2">
      <c r="A181" s="127" t="s">
        <v>23</v>
      </c>
      <c r="B181" s="128">
        <v>38938.36378472222</v>
      </c>
      <c r="C181" s="127" t="s">
        <v>274</v>
      </c>
      <c r="D181" s="127" t="s">
        <v>271</v>
      </c>
      <c r="E181" s="127" t="s">
        <v>21</v>
      </c>
      <c r="F181" s="129">
        <v>0.97</v>
      </c>
      <c r="G181" s="129">
        <v>1.1000000000000001</v>
      </c>
      <c r="H181" s="129">
        <v>29</v>
      </c>
      <c r="I181" s="129">
        <v>220</v>
      </c>
      <c r="J181" s="129" t="b">
        <v>0</v>
      </c>
      <c r="K181" s="129" t="b">
        <v>0</v>
      </c>
      <c r="L181" s="129">
        <v>200</v>
      </c>
      <c r="M181" s="129">
        <v>0</v>
      </c>
      <c r="N181" s="129">
        <v>7.59</v>
      </c>
      <c r="O181" s="129">
        <v>0</v>
      </c>
      <c r="P181" s="129">
        <v>0</v>
      </c>
      <c r="Q181" s="129">
        <v>220</v>
      </c>
      <c r="R181" s="127" t="s">
        <v>271</v>
      </c>
      <c r="S181" s="129">
        <v>0</v>
      </c>
      <c r="T181" s="129">
        <v>40.49</v>
      </c>
      <c r="U181" s="129">
        <v>0</v>
      </c>
      <c r="V181" s="129" t="b">
        <v>0</v>
      </c>
      <c r="W181" s="129">
        <v>93012980</v>
      </c>
      <c r="X181" s="129">
        <v>0</v>
      </c>
      <c r="Y181" s="129">
        <v>0</v>
      </c>
      <c r="Z181" s="129"/>
      <c r="AA181" s="129">
        <v>0</v>
      </c>
      <c r="AB181" s="129" t="b">
        <v>0</v>
      </c>
      <c r="AC181" s="127" t="s">
        <v>142</v>
      </c>
      <c r="AD181" s="127" t="s">
        <v>142</v>
      </c>
      <c r="AE181" s="127" t="s">
        <v>142</v>
      </c>
      <c r="AF181" s="129">
        <v>0.13</v>
      </c>
      <c r="AG181" s="144">
        <v>38939</v>
      </c>
      <c r="AH181" s="129"/>
    </row>
    <row r="182" spans="1:34" x14ac:dyDescent="0.2">
      <c r="A182" s="127" t="s">
        <v>23</v>
      </c>
      <c r="B182" s="128">
        <v>38909.43855324074</v>
      </c>
      <c r="C182" s="127" t="s">
        <v>274</v>
      </c>
      <c r="D182" s="127" t="s">
        <v>271</v>
      </c>
      <c r="E182" s="127" t="s">
        <v>21</v>
      </c>
      <c r="F182" s="129">
        <v>1.0900000000000001</v>
      </c>
      <c r="G182" s="129">
        <v>0.97</v>
      </c>
      <c r="H182" s="129">
        <v>32</v>
      </c>
      <c r="I182" s="129">
        <v>194</v>
      </c>
      <c r="J182" s="129" t="b">
        <v>0</v>
      </c>
      <c r="K182" s="129" t="b">
        <v>0</v>
      </c>
      <c r="L182" s="129">
        <v>200</v>
      </c>
      <c r="M182" s="129">
        <v>0</v>
      </c>
      <c r="N182" s="129">
        <v>6.06</v>
      </c>
      <c r="O182" s="129">
        <v>0</v>
      </c>
      <c r="P182" s="129">
        <v>0</v>
      </c>
      <c r="Q182" s="129">
        <v>194</v>
      </c>
      <c r="R182" s="127" t="s">
        <v>271</v>
      </c>
      <c r="S182" s="129">
        <v>0</v>
      </c>
      <c r="T182" s="129">
        <v>41.08</v>
      </c>
      <c r="U182" s="129">
        <v>0</v>
      </c>
      <c r="V182" s="129" t="b">
        <v>0</v>
      </c>
      <c r="W182" s="129">
        <v>92931560</v>
      </c>
      <c r="X182" s="129">
        <v>0</v>
      </c>
      <c r="Y182" s="129">
        <v>0</v>
      </c>
      <c r="Z182" s="129"/>
      <c r="AA182" s="129">
        <v>0</v>
      </c>
      <c r="AB182" s="129" t="b">
        <v>0</v>
      </c>
      <c r="AC182" s="127" t="s">
        <v>142</v>
      </c>
      <c r="AD182" s="127" t="s">
        <v>142</v>
      </c>
      <c r="AE182" s="127" t="s">
        <v>142</v>
      </c>
      <c r="AF182" s="129">
        <v>99.88</v>
      </c>
      <c r="AG182" s="144">
        <v>38911</v>
      </c>
      <c r="AH182" s="129"/>
    </row>
    <row r="183" spans="1:34" x14ac:dyDescent="0.2">
      <c r="A183" s="127" t="s">
        <v>23</v>
      </c>
      <c r="B183" s="128">
        <v>38877.356770833336</v>
      </c>
      <c r="C183" s="127" t="s">
        <v>274</v>
      </c>
      <c r="D183" s="127" t="s">
        <v>271</v>
      </c>
      <c r="E183" s="127" t="s">
        <v>21</v>
      </c>
      <c r="F183" s="129">
        <v>1</v>
      </c>
      <c r="G183" s="129">
        <v>1.0900000000000001</v>
      </c>
      <c r="H183" s="129">
        <v>31</v>
      </c>
      <c r="I183" s="129">
        <v>218</v>
      </c>
      <c r="J183" s="129" t="b">
        <v>0</v>
      </c>
      <c r="K183" s="129" t="b">
        <v>0</v>
      </c>
      <c r="L183" s="129">
        <v>200</v>
      </c>
      <c r="M183" s="129">
        <v>0</v>
      </c>
      <c r="N183" s="129">
        <v>7.03</v>
      </c>
      <c r="O183" s="129">
        <v>0</v>
      </c>
      <c r="P183" s="129">
        <v>0</v>
      </c>
      <c r="Q183" s="129">
        <v>218</v>
      </c>
      <c r="R183" s="127" t="s">
        <v>271</v>
      </c>
      <c r="S183" s="129">
        <v>0</v>
      </c>
      <c r="T183" s="129">
        <v>35.020000000000003</v>
      </c>
      <c r="U183" s="129">
        <v>0</v>
      </c>
      <c r="V183" s="129" t="b">
        <v>0</v>
      </c>
      <c r="W183" s="129">
        <v>92846815</v>
      </c>
      <c r="X183" s="129">
        <v>0</v>
      </c>
      <c r="Y183" s="129">
        <v>0</v>
      </c>
      <c r="Z183" s="129"/>
      <c r="AA183" s="129">
        <v>0</v>
      </c>
      <c r="AB183" s="129" t="b">
        <v>0</v>
      </c>
      <c r="AC183" s="127" t="s">
        <v>142</v>
      </c>
      <c r="AD183" s="127" t="s">
        <v>142</v>
      </c>
      <c r="AE183" s="127" t="s">
        <v>142</v>
      </c>
      <c r="AF183" s="129">
        <v>0.09</v>
      </c>
      <c r="AG183" s="144">
        <v>38880</v>
      </c>
      <c r="AH183" s="129"/>
    </row>
    <row r="184" spans="1:34" x14ac:dyDescent="0.2">
      <c r="A184" s="127" t="s">
        <v>23</v>
      </c>
      <c r="B184" s="128">
        <v>38846.35056712963</v>
      </c>
      <c r="C184" s="127" t="s">
        <v>274</v>
      </c>
      <c r="D184" s="127" t="s">
        <v>271</v>
      </c>
      <c r="E184" s="127" t="s">
        <v>21</v>
      </c>
      <c r="F184" s="129">
        <v>0.94</v>
      </c>
      <c r="G184" s="129">
        <v>1</v>
      </c>
      <c r="H184" s="129">
        <v>32</v>
      </c>
      <c r="I184" s="129">
        <v>200</v>
      </c>
      <c r="J184" s="129" t="b">
        <v>0</v>
      </c>
      <c r="K184" s="129" t="b">
        <v>0</v>
      </c>
      <c r="L184" s="129">
        <v>200</v>
      </c>
      <c r="M184" s="129">
        <v>0</v>
      </c>
      <c r="N184" s="129">
        <v>6.25</v>
      </c>
      <c r="O184" s="129">
        <v>0</v>
      </c>
      <c r="P184" s="129">
        <v>0</v>
      </c>
      <c r="Q184" s="129">
        <v>200</v>
      </c>
      <c r="R184" s="127" t="s">
        <v>271</v>
      </c>
      <c r="S184" s="129">
        <v>0</v>
      </c>
      <c r="T184" s="129">
        <v>35.29</v>
      </c>
      <c r="U184" s="129">
        <v>0</v>
      </c>
      <c r="V184" s="129" t="b">
        <v>0</v>
      </c>
      <c r="W184" s="129">
        <v>92757759</v>
      </c>
      <c r="X184" s="129">
        <v>0</v>
      </c>
      <c r="Y184" s="129">
        <v>0</v>
      </c>
      <c r="Z184" s="129"/>
      <c r="AA184" s="129">
        <v>0</v>
      </c>
      <c r="AB184" s="129" t="b">
        <v>0</v>
      </c>
      <c r="AC184" s="127" t="s">
        <v>142</v>
      </c>
      <c r="AD184" s="127" t="s">
        <v>142</v>
      </c>
      <c r="AE184" s="127" t="s">
        <v>142</v>
      </c>
      <c r="AF184" s="129">
        <v>0.06</v>
      </c>
      <c r="AG184" s="144">
        <v>38847</v>
      </c>
      <c r="AH184" s="129"/>
    </row>
    <row r="185" spans="1:34" x14ac:dyDescent="0.2">
      <c r="A185" s="127" t="s">
        <v>23</v>
      </c>
      <c r="B185" s="128">
        <v>38814.354942129627</v>
      </c>
      <c r="C185" s="127" t="s">
        <v>274</v>
      </c>
      <c r="D185" s="127" t="s">
        <v>271</v>
      </c>
      <c r="E185" s="127" t="s">
        <v>21</v>
      </c>
      <c r="F185" s="129">
        <v>1</v>
      </c>
      <c r="G185" s="129">
        <v>0.94</v>
      </c>
      <c r="H185" s="129">
        <v>34</v>
      </c>
      <c r="I185" s="129">
        <v>188</v>
      </c>
      <c r="J185" s="129" t="b">
        <v>0</v>
      </c>
      <c r="K185" s="129" t="b">
        <v>0</v>
      </c>
      <c r="L185" s="129">
        <v>200</v>
      </c>
      <c r="M185" s="129">
        <v>0</v>
      </c>
      <c r="N185" s="129">
        <v>5.53</v>
      </c>
      <c r="O185" s="129">
        <v>0</v>
      </c>
      <c r="P185" s="129">
        <v>0</v>
      </c>
      <c r="Q185" s="129">
        <v>188</v>
      </c>
      <c r="R185" s="127" t="s">
        <v>271</v>
      </c>
      <c r="S185" s="129">
        <v>0</v>
      </c>
      <c r="T185" s="129">
        <v>30.9</v>
      </c>
      <c r="U185" s="129">
        <v>0</v>
      </c>
      <c r="V185" s="129" t="b">
        <v>0</v>
      </c>
      <c r="W185" s="129">
        <v>92675646</v>
      </c>
      <c r="X185" s="129">
        <v>0</v>
      </c>
      <c r="Y185" s="129">
        <v>0</v>
      </c>
      <c r="Z185" s="129"/>
      <c r="AA185" s="129">
        <v>0</v>
      </c>
      <c r="AB185" s="129" t="b">
        <v>0</v>
      </c>
      <c r="AC185" s="127" t="s">
        <v>142</v>
      </c>
      <c r="AD185" s="127" t="s">
        <v>142</v>
      </c>
      <c r="AE185" s="127" t="s">
        <v>142</v>
      </c>
      <c r="AF185" s="129">
        <v>99.94</v>
      </c>
      <c r="AG185" s="144">
        <v>38818</v>
      </c>
      <c r="AH185" s="129"/>
    </row>
    <row r="186" spans="1:34" x14ac:dyDescent="0.2">
      <c r="A186" s="127" t="s">
        <v>23</v>
      </c>
      <c r="B186" s="128">
        <v>38780</v>
      </c>
      <c r="C186" s="127" t="s">
        <v>274</v>
      </c>
      <c r="D186" s="127" t="s">
        <v>271</v>
      </c>
      <c r="E186" s="127" t="s">
        <v>75</v>
      </c>
      <c r="F186" s="129">
        <v>0.85</v>
      </c>
      <c r="G186" s="129">
        <v>1</v>
      </c>
      <c r="H186" s="129">
        <v>24</v>
      </c>
      <c r="I186" s="129">
        <v>200</v>
      </c>
      <c r="J186" s="129" t="b">
        <v>0</v>
      </c>
      <c r="K186" s="129" t="b">
        <v>0</v>
      </c>
      <c r="L186" s="129">
        <v>200</v>
      </c>
      <c r="M186" s="129">
        <v>0</v>
      </c>
      <c r="N186" s="129">
        <v>8.33</v>
      </c>
      <c r="O186" s="129">
        <v>0</v>
      </c>
      <c r="P186" s="129">
        <v>0</v>
      </c>
      <c r="Q186" s="129">
        <v>200</v>
      </c>
      <c r="R186" s="127" t="s">
        <v>271</v>
      </c>
      <c r="S186" s="129">
        <v>0</v>
      </c>
      <c r="T186" s="129">
        <v>40.28</v>
      </c>
      <c r="U186" s="129">
        <v>0</v>
      </c>
      <c r="V186" s="129" t="b">
        <v>0</v>
      </c>
      <c r="W186" s="129">
        <v>92576773</v>
      </c>
      <c r="X186" s="129">
        <v>0</v>
      </c>
      <c r="Y186" s="129">
        <v>0</v>
      </c>
      <c r="Z186" s="129"/>
      <c r="AA186" s="129">
        <v>0</v>
      </c>
      <c r="AB186" s="129" t="b">
        <v>0</v>
      </c>
      <c r="AC186" s="127" t="s">
        <v>142</v>
      </c>
      <c r="AD186" s="127" t="s">
        <v>142</v>
      </c>
      <c r="AE186" s="127" t="s">
        <v>142</v>
      </c>
      <c r="AF186" s="129">
        <v>0.15</v>
      </c>
      <c r="AG186" s="144">
        <v>38789</v>
      </c>
      <c r="AH186" s="129"/>
    </row>
    <row r="187" spans="1:34" x14ac:dyDescent="0.2">
      <c r="A187" s="127" t="s">
        <v>23</v>
      </c>
      <c r="B187" s="128">
        <v>38756.415312500001</v>
      </c>
      <c r="C187" s="127" t="s">
        <v>274</v>
      </c>
      <c r="D187" s="127" t="s">
        <v>271</v>
      </c>
      <c r="E187" s="127" t="s">
        <v>21</v>
      </c>
      <c r="F187" s="129">
        <v>0.9</v>
      </c>
      <c r="G187" s="129">
        <v>0.85</v>
      </c>
      <c r="H187" s="129">
        <v>30</v>
      </c>
      <c r="I187" s="129">
        <v>170</v>
      </c>
      <c r="J187" s="129" t="b">
        <v>0</v>
      </c>
      <c r="K187" s="129" t="b">
        <v>0</v>
      </c>
      <c r="L187" s="129">
        <v>200</v>
      </c>
      <c r="M187" s="129">
        <v>0</v>
      </c>
      <c r="N187" s="129">
        <v>5.67</v>
      </c>
      <c r="O187" s="129">
        <v>0</v>
      </c>
      <c r="P187" s="129">
        <v>0</v>
      </c>
      <c r="Q187" s="129">
        <v>170</v>
      </c>
      <c r="R187" s="127" t="s">
        <v>271</v>
      </c>
      <c r="S187" s="129">
        <v>0</v>
      </c>
      <c r="T187" s="129">
        <v>40.520000000000003</v>
      </c>
      <c r="U187" s="129">
        <v>0</v>
      </c>
      <c r="V187" s="129" t="b">
        <v>0</v>
      </c>
      <c r="W187" s="129">
        <v>92497250</v>
      </c>
      <c r="X187" s="129">
        <v>0</v>
      </c>
      <c r="Y187" s="129">
        <v>0</v>
      </c>
      <c r="Z187" s="129"/>
      <c r="AA187" s="129">
        <v>0</v>
      </c>
      <c r="AB187" s="129" t="b">
        <v>0</v>
      </c>
      <c r="AC187" s="127" t="s">
        <v>142</v>
      </c>
      <c r="AD187" s="127" t="s">
        <v>142</v>
      </c>
      <c r="AE187" s="127" t="s">
        <v>142</v>
      </c>
      <c r="AF187" s="129">
        <v>99.95</v>
      </c>
      <c r="AG187" s="144">
        <v>38757</v>
      </c>
      <c r="AH187" s="129"/>
    </row>
    <row r="188" spans="1:34" x14ac:dyDescent="0.2">
      <c r="A188" s="127" t="s">
        <v>23</v>
      </c>
      <c r="B188" s="128">
        <v>38726.372430555559</v>
      </c>
      <c r="C188" s="127" t="s">
        <v>274</v>
      </c>
      <c r="D188" s="127" t="s">
        <v>271</v>
      </c>
      <c r="E188" s="127" t="s">
        <v>21</v>
      </c>
      <c r="F188" s="129">
        <v>0.95</v>
      </c>
      <c r="G188" s="129">
        <v>0.9</v>
      </c>
      <c r="H188" s="129">
        <v>34</v>
      </c>
      <c r="I188" s="129">
        <v>180</v>
      </c>
      <c r="J188" s="129" t="b">
        <v>0</v>
      </c>
      <c r="K188" s="129" t="b">
        <v>0</v>
      </c>
      <c r="L188" s="129">
        <v>200</v>
      </c>
      <c r="M188" s="129">
        <v>0</v>
      </c>
      <c r="N188" s="129">
        <v>5.29</v>
      </c>
      <c r="O188" s="129">
        <v>0</v>
      </c>
      <c r="P188" s="129">
        <v>0</v>
      </c>
      <c r="Q188" s="129">
        <v>180</v>
      </c>
      <c r="R188" s="127" t="s">
        <v>271</v>
      </c>
      <c r="S188" s="129">
        <v>0</v>
      </c>
      <c r="T188" s="129">
        <v>34.04</v>
      </c>
      <c r="U188" s="129">
        <v>0</v>
      </c>
      <c r="V188" s="129" t="b">
        <v>0</v>
      </c>
      <c r="W188" s="129">
        <v>92410435</v>
      </c>
      <c r="X188" s="129">
        <v>0</v>
      </c>
      <c r="Y188" s="129">
        <v>0</v>
      </c>
      <c r="Z188" s="129"/>
      <c r="AA188" s="129">
        <v>0</v>
      </c>
      <c r="AB188" s="129" t="b">
        <v>0</v>
      </c>
      <c r="AC188" s="127" t="s">
        <v>142</v>
      </c>
      <c r="AD188" s="127" t="s">
        <v>142</v>
      </c>
      <c r="AE188" s="127" t="s">
        <v>142</v>
      </c>
      <c r="AF188" s="129">
        <v>99.95</v>
      </c>
      <c r="AG188" s="144">
        <v>38728</v>
      </c>
      <c r="AH188" s="129"/>
    </row>
    <row r="189" spans="1:34" x14ac:dyDescent="0.2">
      <c r="A189" s="127" t="s">
        <v>23</v>
      </c>
      <c r="B189" s="128">
        <v>38692.371423611112</v>
      </c>
      <c r="C189" s="127" t="s">
        <v>274</v>
      </c>
      <c r="D189" s="127" t="s">
        <v>271</v>
      </c>
      <c r="E189" s="127" t="s">
        <v>21</v>
      </c>
      <c r="F189" s="129">
        <v>1.1599999999999999</v>
      </c>
      <c r="G189" s="129">
        <v>0.95</v>
      </c>
      <c r="H189" s="129">
        <v>33</v>
      </c>
      <c r="I189" s="129">
        <v>190</v>
      </c>
      <c r="J189" s="129" t="b">
        <v>0</v>
      </c>
      <c r="K189" s="129" t="b">
        <v>0</v>
      </c>
      <c r="L189" s="129">
        <v>200</v>
      </c>
      <c r="M189" s="129">
        <v>0</v>
      </c>
      <c r="N189" s="129">
        <v>5.76</v>
      </c>
      <c r="O189" s="129">
        <v>0</v>
      </c>
      <c r="P189" s="129">
        <v>0</v>
      </c>
      <c r="Q189" s="129">
        <v>190</v>
      </c>
      <c r="R189" s="127" t="s">
        <v>271</v>
      </c>
      <c r="S189" s="129">
        <v>0</v>
      </c>
      <c r="T189" s="129">
        <v>33.36</v>
      </c>
      <c r="U189" s="129">
        <v>0</v>
      </c>
      <c r="V189" s="129" t="b">
        <v>0</v>
      </c>
      <c r="W189" s="129">
        <v>92328562</v>
      </c>
      <c r="X189" s="129">
        <v>0</v>
      </c>
      <c r="Y189" s="129">
        <v>0</v>
      </c>
      <c r="Z189" s="129"/>
      <c r="AA189" s="129">
        <v>0</v>
      </c>
      <c r="AB189" s="129" t="b">
        <v>0</v>
      </c>
      <c r="AC189" s="127" t="s">
        <v>142</v>
      </c>
      <c r="AD189" s="127" t="s">
        <v>142</v>
      </c>
      <c r="AE189" s="127" t="s">
        <v>142</v>
      </c>
      <c r="AF189" s="129">
        <v>99.79</v>
      </c>
      <c r="AG189" s="144">
        <v>38694</v>
      </c>
      <c r="AH189" s="129"/>
    </row>
    <row r="190" spans="1:34" x14ac:dyDescent="0.2">
      <c r="A190" s="127" t="s">
        <v>23</v>
      </c>
      <c r="B190" s="128">
        <v>38659.357777777775</v>
      </c>
      <c r="C190" s="127" t="s">
        <v>274</v>
      </c>
      <c r="D190" s="127" t="s">
        <v>271</v>
      </c>
      <c r="E190" s="127" t="s">
        <v>21</v>
      </c>
      <c r="F190" s="129">
        <v>1.1599999999999999</v>
      </c>
      <c r="G190" s="129">
        <v>1.1599999999999999</v>
      </c>
      <c r="H190" s="129">
        <v>29</v>
      </c>
      <c r="I190" s="129">
        <v>232</v>
      </c>
      <c r="J190" s="129" t="b">
        <v>0</v>
      </c>
      <c r="K190" s="129" t="b">
        <v>0</v>
      </c>
      <c r="L190" s="129">
        <v>200</v>
      </c>
      <c r="M190" s="129">
        <v>0</v>
      </c>
      <c r="N190" s="129">
        <v>8</v>
      </c>
      <c r="O190" s="129">
        <v>0</v>
      </c>
      <c r="P190" s="129">
        <v>0</v>
      </c>
      <c r="Q190" s="129">
        <v>232</v>
      </c>
      <c r="R190" s="127" t="s">
        <v>271</v>
      </c>
      <c r="S190" s="129">
        <v>0</v>
      </c>
      <c r="T190" s="129">
        <v>29.85</v>
      </c>
      <c r="U190" s="129">
        <v>0</v>
      </c>
      <c r="V190" s="129" t="b">
        <v>0</v>
      </c>
      <c r="W190" s="129">
        <v>92250401</v>
      </c>
      <c r="X190" s="129">
        <v>0</v>
      </c>
      <c r="Y190" s="129">
        <v>0</v>
      </c>
      <c r="Z190" s="129"/>
      <c r="AA190" s="129">
        <v>0</v>
      </c>
      <c r="AB190" s="129" t="b">
        <v>0</v>
      </c>
      <c r="AC190" s="127" t="s">
        <v>142</v>
      </c>
      <c r="AD190" s="127" t="s">
        <v>142</v>
      </c>
      <c r="AE190" s="127" t="s">
        <v>142</v>
      </c>
      <c r="AF190" s="129">
        <v>0</v>
      </c>
      <c r="AG190" s="144">
        <v>38665</v>
      </c>
      <c r="AH190" s="129"/>
    </row>
    <row r="191" spans="1:34" x14ac:dyDescent="0.2">
      <c r="A191" s="127" t="s">
        <v>23</v>
      </c>
      <c r="B191" s="128">
        <v>38630.35429398148</v>
      </c>
      <c r="C191" s="127" t="s">
        <v>274</v>
      </c>
      <c r="D191" s="127" t="s">
        <v>271</v>
      </c>
      <c r="E191" s="127" t="s">
        <v>21</v>
      </c>
      <c r="F191" s="129">
        <v>1.2</v>
      </c>
      <c r="G191" s="129">
        <v>1.1599999999999999</v>
      </c>
      <c r="H191" s="129">
        <v>34</v>
      </c>
      <c r="I191" s="129">
        <v>232</v>
      </c>
      <c r="J191" s="129" t="b">
        <v>0</v>
      </c>
      <c r="K191" s="129" t="b">
        <v>0</v>
      </c>
      <c r="L191" s="129">
        <v>200</v>
      </c>
      <c r="M191" s="129">
        <v>0</v>
      </c>
      <c r="N191" s="129">
        <v>6.82</v>
      </c>
      <c r="O191" s="129">
        <v>0</v>
      </c>
      <c r="P191" s="129">
        <v>0</v>
      </c>
      <c r="Q191" s="129">
        <v>232</v>
      </c>
      <c r="R191" s="127" t="s">
        <v>271</v>
      </c>
      <c r="S191" s="129">
        <v>0</v>
      </c>
      <c r="T191" s="129">
        <v>36.659999999999997</v>
      </c>
      <c r="U191" s="129">
        <v>0</v>
      </c>
      <c r="V191" s="129" t="b">
        <v>0</v>
      </c>
      <c r="W191" s="129">
        <v>92158991</v>
      </c>
      <c r="X191" s="129">
        <v>0</v>
      </c>
      <c r="Y191" s="129">
        <v>0</v>
      </c>
      <c r="Z191" s="129"/>
      <c r="AA191" s="129">
        <v>0</v>
      </c>
      <c r="AB191" s="129" t="b">
        <v>0</v>
      </c>
      <c r="AC191" s="127" t="s">
        <v>142</v>
      </c>
      <c r="AD191" s="127" t="s">
        <v>142</v>
      </c>
      <c r="AE191" s="127" t="s">
        <v>142</v>
      </c>
      <c r="AF191" s="129">
        <v>99.96</v>
      </c>
      <c r="AG191" s="144">
        <v>38637</v>
      </c>
      <c r="AH191" s="129"/>
    </row>
    <row r="192" spans="1:34" x14ac:dyDescent="0.2">
      <c r="A192" s="127" t="s">
        <v>23</v>
      </c>
      <c r="B192" s="128">
        <v>38596.360555555555</v>
      </c>
      <c r="C192" s="127" t="s">
        <v>274</v>
      </c>
      <c r="D192" s="127" t="s">
        <v>271</v>
      </c>
      <c r="E192" s="127" t="s">
        <v>21</v>
      </c>
      <c r="F192" s="129">
        <v>1.26</v>
      </c>
      <c r="G192" s="129">
        <v>1.2</v>
      </c>
      <c r="H192" s="129">
        <v>30</v>
      </c>
      <c r="I192" s="129">
        <v>240</v>
      </c>
      <c r="J192" s="129" t="b">
        <v>0</v>
      </c>
      <c r="K192" s="129" t="b">
        <v>0</v>
      </c>
      <c r="L192" s="129">
        <v>200</v>
      </c>
      <c r="M192" s="129">
        <v>0</v>
      </c>
      <c r="N192" s="129">
        <v>8</v>
      </c>
      <c r="O192" s="129">
        <v>0</v>
      </c>
      <c r="P192" s="129">
        <v>0</v>
      </c>
      <c r="Q192" s="129">
        <v>240</v>
      </c>
      <c r="R192" s="127" t="s">
        <v>271</v>
      </c>
      <c r="S192" s="129">
        <v>0</v>
      </c>
      <c r="T192" s="129">
        <v>39.81</v>
      </c>
      <c r="U192" s="129">
        <v>0</v>
      </c>
      <c r="V192" s="129" t="b">
        <v>0</v>
      </c>
      <c r="W192" s="129">
        <v>92080301</v>
      </c>
      <c r="X192" s="129">
        <v>0</v>
      </c>
      <c r="Y192" s="129">
        <v>0</v>
      </c>
      <c r="Z192" s="129"/>
      <c r="AA192" s="129">
        <v>0</v>
      </c>
      <c r="AB192" s="129" t="b">
        <v>0</v>
      </c>
      <c r="AC192" s="127" t="s">
        <v>142</v>
      </c>
      <c r="AD192" s="127" t="s">
        <v>142</v>
      </c>
      <c r="AE192" s="127" t="s">
        <v>142</v>
      </c>
      <c r="AF192" s="129">
        <v>99.94</v>
      </c>
      <c r="AG192" s="144">
        <v>38607</v>
      </c>
      <c r="AH192" s="129"/>
    </row>
    <row r="193" spans="1:34" x14ac:dyDescent="0.2">
      <c r="A193" s="127" t="s">
        <v>23</v>
      </c>
      <c r="B193" s="128">
        <v>38566.354768518519</v>
      </c>
      <c r="C193" s="127" t="s">
        <v>274</v>
      </c>
      <c r="D193" s="127" t="s">
        <v>271</v>
      </c>
      <c r="E193" s="127" t="s">
        <v>21</v>
      </c>
      <c r="F193" s="129">
        <v>1.2</v>
      </c>
      <c r="G193" s="129">
        <v>1.26</v>
      </c>
      <c r="H193" s="129">
        <v>27</v>
      </c>
      <c r="I193" s="129">
        <v>252</v>
      </c>
      <c r="J193" s="129" t="b">
        <v>0</v>
      </c>
      <c r="K193" s="129" t="b">
        <v>0</v>
      </c>
      <c r="L193" s="129">
        <v>200</v>
      </c>
      <c r="M193" s="129">
        <v>0</v>
      </c>
      <c r="N193" s="129">
        <v>9.33</v>
      </c>
      <c r="O193" s="129">
        <v>0</v>
      </c>
      <c r="P193" s="129">
        <v>0</v>
      </c>
      <c r="Q193" s="129">
        <v>252</v>
      </c>
      <c r="R193" s="127" t="s">
        <v>271</v>
      </c>
      <c r="S193" s="129">
        <v>0</v>
      </c>
      <c r="T193" s="129">
        <v>36.380000000000003</v>
      </c>
      <c r="U193" s="129">
        <v>0</v>
      </c>
      <c r="V193" s="129" t="b">
        <v>0</v>
      </c>
      <c r="W193" s="129">
        <v>91998266</v>
      </c>
      <c r="X193" s="129">
        <v>0</v>
      </c>
      <c r="Y193" s="129">
        <v>0</v>
      </c>
      <c r="Z193" s="129"/>
      <c r="AA193" s="129">
        <v>0</v>
      </c>
      <c r="AB193" s="129" t="b">
        <v>0</v>
      </c>
      <c r="AC193" s="127" t="s">
        <v>142</v>
      </c>
      <c r="AD193" s="127" t="s">
        <v>142</v>
      </c>
      <c r="AE193" s="127" t="s">
        <v>142</v>
      </c>
      <c r="AF193" s="129">
        <v>0.06</v>
      </c>
      <c r="AG193" s="144">
        <v>38573</v>
      </c>
      <c r="AH193" s="129"/>
    </row>
    <row r="194" spans="1:34" x14ac:dyDescent="0.2">
      <c r="A194" s="127" t="s">
        <v>23</v>
      </c>
      <c r="B194" s="128">
        <v>38539.348877314813</v>
      </c>
      <c r="C194" s="127" t="s">
        <v>274</v>
      </c>
      <c r="D194" s="127" t="s">
        <v>271</v>
      </c>
      <c r="E194" s="127" t="s">
        <v>21</v>
      </c>
      <c r="F194" s="129">
        <v>1.2</v>
      </c>
      <c r="G194" s="129">
        <v>1.2</v>
      </c>
      <c r="H194" s="129">
        <v>34</v>
      </c>
      <c r="I194" s="129">
        <v>240</v>
      </c>
      <c r="J194" s="129" t="b">
        <v>0</v>
      </c>
      <c r="K194" s="129" t="b">
        <v>0</v>
      </c>
      <c r="L194" s="129">
        <v>200</v>
      </c>
      <c r="M194" s="129">
        <v>0</v>
      </c>
      <c r="N194" s="129">
        <v>7.06</v>
      </c>
      <c r="O194" s="129">
        <v>0</v>
      </c>
      <c r="P194" s="129">
        <v>0</v>
      </c>
      <c r="Q194" s="129">
        <v>240</v>
      </c>
      <c r="R194" s="127" t="s">
        <v>271</v>
      </c>
      <c r="S194" s="129">
        <v>0</v>
      </c>
      <c r="T194" s="129">
        <v>37.380000000000003</v>
      </c>
      <c r="U194" s="129">
        <v>0</v>
      </c>
      <c r="V194" s="129" t="b">
        <v>0</v>
      </c>
      <c r="W194" s="129">
        <v>91916703</v>
      </c>
      <c r="X194" s="129">
        <v>0</v>
      </c>
      <c r="Y194" s="129">
        <v>0</v>
      </c>
      <c r="Z194" s="129"/>
      <c r="AA194" s="129">
        <v>0</v>
      </c>
      <c r="AB194" s="129" t="b">
        <v>0</v>
      </c>
      <c r="AC194" s="127" t="s">
        <v>142</v>
      </c>
      <c r="AD194" s="127" t="s">
        <v>142</v>
      </c>
      <c r="AE194" s="127" t="s">
        <v>142</v>
      </c>
      <c r="AF194" s="129">
        <v>0</v>
      </c>
      <c r="AG194" s="144">
        <v>38545</v>
      </c>
      <c r="AH194" s="129"/>
    </row>
    <row r="195" spans="1:34" x14ac:dyDescent="0.2">
      <c r="A195" s="127" t="s">
        <v>23</v>
      </c>
      <c r="B195" s="128">
        <v>38505.382280092592</v>
      </c>
      <c r="C195" s="127" t="s">
        <v>274</v>
      </c>
      <c r="D195" s="127" t="s">
        <v>271</v>
      </c>
      <c r="E195" s="127" t="s">
        <v>21</v>
      </c>
      <c r="F195" s="129">
        <v>1</v>
      </c>
      <c r="G195" s="129">
        <v>1.2</v>
      </c>
      <c r="H195" s="129">
        <v>30</v>
      </c>
      <c r="I195" s="129">
        <v>240</v>
      </c>
      <c r="J195" s="129" t="b">
        <v>0</v>
      </c>
      <c r="K195" s="129" t="b">
        <v>0</v>
      </c>
      <c r="L195" s="129">
        <v>200</v>
      </c>
      <c r="M195" s="129">
        <v>0</v>
      </c>
      <c r="N195" s="129">
        <v>8</v>
      </c>
      <c r="O195" s="129">
        <v>0</v>
      </c>
      <c r="P195" s="129">
        <v>0</v>
      </c>
      <c r="Q195" s="129">
        <v>240</v>
      </c>
      <c r="R195" s="127" t="s">
        <v>271</v>
      </c>
      <c r="S195" s="129">
        <v>0</v>
      </c>
      <c r="T195" s="129">
        <v>33.33</v>
      </c>
      <c r="U195" s="129">
        <v>0</v>
      </c>
      <c r="V195" s="129" t="b">
        <v>0</v>
      </c>
      <c r="W195" s="129">
        <v>91833435</v>
      </c>
      <c r="X195" s="129">
        <v>0</v>
      </c>
      <c r="Y195" s="129">
        <v>0</v>
      </c>
      <c r="Z195" s="129"/>
      <c r="AA195" s="129">
        <v>0</v>
      </c>
      <c r="AB195" s="129" t="b">
        <v>0</v>
      </c>
      <c r="AC195" s="127" t="s">
        <v>142</v>
      </c>
      <c r="AD195" s="127" t="s">
        <v>142</v>
      </c>
      <c r="AE195" s="127" t="s">
        <v>142</v>
      </c>
      <c r="AF195" s="129">
        <v>0.2</v>
      </c>
      <c r="AG195" s="144">
        <v>38512</v>
      </c>
      <c r="AH195" s="129"/>
    </row>
    <row r="196" spans="1:34" x14ac:dyDescent="0.2">
      <c r="A196" s="127" t="s">
        <v>23</v>
      </c>
      <c r="B196" s="128">
        <v>38475.519305555557</v>
      </c>
      <c r="C196" s="127" t="s">
        <v>274</v>
      </c>
      <c r="D196" s="127" t="s">
        <v>271</v>
      </c>
      <c r="E196" s="127" t="s">
        <v>21</v>
      </c>
      <c r="F196" s="129">
        <v>0.98</v>
      </c>
      <c r="G196" s="129">
        <v>1</v>
      </c>
      <c r="H196" s="129">
        <v>29</v>
      </c>
      <c r="I196" s="129">
        <v>200</v>
      </c>
      <c r="J196" s="129" t="b">
        <v>0</v>
      </c>
      <c r="K196" s="129" t="b">
        <v>0</v>
      </c>
      <c r="L196" s="129">
        <v>200</v>
      </c>
      <c r="M196" s="129">
        <v>0</v>
      </c>
      <c r="N196" s="129">
        <v>6.9</v>
      </c>
      <c r="O196" s="129">
        <v>0</v>
      </c>
      <c r="P196" s="129">
        <v>0</v>
      </c>
      <c r="Q196" s="129">
        <v>200</v>
      </c>
      <c r="R196" s="127" t="s">
        <v>271</v>
      </c>
      <c r="S196" s="129">
        <v>0</v>
      </c>
      <c r="T196" s="129">
        <v>37.36</v>
      </c>
      <c r="U196" s="129">
        <v>0</v>
      </c>
      <c r="V196" s="129" t="b">
        <v>0</v>
      </c>
      <c r="W196" s="129">
        <v>91750794</v>
      </c>
      <c r="X196" s="129">
        <v>0</v>
      </c>
      <c r="Y196" s="129">
        <v>0</v>
      </c>
      <c r="Z196" s="129"/>
      <c r="AA196" s="129">
        <v>0</v>
      </c>
      <c r="AB196" s="129" t="b">
        <v>0</v>
      </c>
      <c r="AC196" s="127" t="s">
        <v>142</v>
      </c>
      <c r="AD196" s="127" t="s">
        <v>142</v>
      </c>
      <c r="AE196" s="127" t="s">
        <v>142</v>
      </c>
      <c r="AF196" s="129">
        <v>0.02</v>
      </c>
      <c r="AG196" s="144">
        <v>38482</v>
      </c>
      <c r="AH196" s="129"/>
    </row>
    <row r="197" spans="1:34" x14ac:dyDescent="0.2">
      <c r="A197" s="127" t="s">
        <v>23</v>
      </c>
      <c r="B197" s="128">
        <v>38446.372106481482</v>
      </c>
      <c r="C197" s="127" t="s">
        <v>274</v>
      </c>
      <c r="D197" s="127" t="s">
        <v>271</v>
      </c>
      <c r="E197" s="127" t="s">
        <v>21</v>
      </c>
      <c r="F197" s="129">
        <v>1</v>
      </c>
      <c r="G197" s="129">
        <v>0.98</v>
      </c>
      <c r="H197" s="129">
        <v>27</v>
      </c>
      <c r="I197" s="129">
        <v>196</v>
      </c>
      <c r="J197" s="129" t="b">
        <v>0</v>
      </c>
      <c r="K197" s="129" t="b">
        <v>0</v>
      </c>
      <c r="L197" s="129">
        <v>200</v>
      </c>
      <c r="M197" s="129">
        <v>0</v>
      </c>
      <c r="N197" s="129">
        <v>7.26</v>
      </c>
      <c r="O197" s="129">
        <v>0</v>
      </c>
      <c r="P197" s="129">
        <v>0</v>
      </c>
      <c r="Q197" s="129">
        <v>196</v>
      </c>
      <c r="R197" s="127" t="s">
        <v>271</v>
      </c>
      <c r="S197" s="129">
        <v>0</v>
      </c>
      <c r="T197" s="129">
        <v>26.3</v>
      </c>
      <c r="U197" s="129">
        <v>0</v>
      </c>
      <c r="V197" s="129" t="b">
        <v>0</v>
      </c>
      <c r="W197" s="129">
        <v>91666488</v>
      </c>
      <c r="X197" s="129">
        <v>0</v>
      </c>
      <c r="Y197" s="129">
        <v>0</v>
      </c>
      <c r="Z197" s="129"/>
      <c r="AA197" s="129">
        <v>0</v>
      </c>
      <c r="AB197" s="129" t="b">
        <v>0</v>
      </c>
      <c r="AC197" s="127" t="s">
        <v>142</v>
      </c>
      <c r="AD197" s="127" t="s">
        <v>142</v>
      </c>
      <c r="AE197" s="127" t="s">
        <v>142</v>
      </c>
      <c r="AF197" s="129">
        <v>99.98</v>
      </c>
      <c r="AG197" s="144">
        <v>38453</v>
      </c>
      <c r="AH197" s="129"/>
    </row>
    <row r="198" spans="1:34" x14ac:dyDescent="0.2">
      <c r="A198" s="127" t="s">
        <v>23</v>
      </c>
      <c r="B198" s="128">
        <v>38419</v>
      </c>
      <c r="C198" s="127" t="s">
        <v>274</v>
      </c>
      <c r="D198" s="127" t="s">
        <v>271</v>
      </c>
      <c r="E198" s="127" t="s">
        <v>75</v>
      </c>
      <c r="F198" s="129">
        <v>0.97</v>
      </c>
      <c r="G198" s="129">
        <v>1</v>
      </c>
      <c r="H198" s="129">
        <v>29</v>
      </c>
      <c r="I198" s="129">
        <v>200</v>
      </c>
      <c r="J198" s="129" t="b">
        <v>0</v>
      </c>
      <c r="K198" s="129" t="b">
        <v>0</v>
      </c>
      <c r="L198" s="129">
        <v>200</v>
      </c>
      <c r="M198" s="129">
        <v>0</v>
      </c>
      <c r="N198" s="129">
        <v>6.9</v>
      </c>
      <c r="O198" s="129">
        <v>0</v>
      </c>
      <c r="P198" s="129">
        <v>0</v>
      </c>
      <c r="Q198" s="129">
        <v>200</v>
      </c>
      <c r="R198" s="127" t="s">
        <v>271</v>
      </c>
      <c r="S198" s="129">
        <v>0</v>
      </c>
      <c r="T198" s="129">
        <v>40.229999999999997</v>
      </c>
      <c r="U198" s="129">
        <v>0</v>
      </c>
      <c r="V198" s="129" t="b">
        <v>0</v>
      </c>
      <c r="W198" s="129">
        <v>91583080</v>
      </c>
      <c r="X198" s="129">
        <v>0</v>
      </c>
      <c r="Y198" s="129">
        <v>0</v>
      </c>
      <c r="Z198" s="129"/>
      <c r="AA198" s="129">
        <v>0</v>
      </c>
      <c r="AB198" s="129" t="b">
        <v>0</v>
      </c>
      <c r="AC198" s="127" t="s">
        <v>142</v>
      </c>
      <c r="AD198" s="127" t="s">
        <v>142</v>
      </c>
      <c r="AE198" s="127" t="s">
        <v>142</v>
      </c>
      <c r="AF198" s="129">
        <v>0.03</v>
      </c>
      <c r="AG198" s="144">
        <v>38420</v>
      </c>
      <c r="AH198" s="129"/>
    </row>
    <row r="199" spans="1:34" x14ac:dyDescent="0.2">
      <c r="A199" s="127" t="s">
        <v>23</v>
      </c>
      <c r="B199" s="128">
        <v>38390</v>
      </c>
      <c r="C199" s="127" t="s">
        <v>274</v>
      </c>
      <c r="D199" s="127" t="s">
        <v>271</v>
      </c>
      <c r="E199" s="127" t="s">
        <v>75</v>
      </c>
      <c r="F199" s="129">
        <v>0.85</v>
      </c>
      <c r="G199" s="129">
        <v>0.97</v>
      </c>
      <c r="H199" s="129">
        <v>30</v>
      </c>
      <c r="I199" s="129">
        <v>194</v>
      </c>
      <c r="J199" s="129" t="b">
        <v>0</v>
      </c>
      <c r="K199" s="129" t="b">
        <v>0</v>
      </c>
      <c r="L199" s="129">
        <v>200</v>
      </c>
      <c r="M199" s="129">
        <v>0</v>
      </c>
      <c r="N199" s="129">
        <v>6.47</v>
      </c>
      <c r="O199" s="129">
        <v>0</v>
      </c>
      <c r="P199" s="129">
        <v>0</v>
      </c>
      <c r="Q199" s="129">
        <v>194</v>
      </c>
      <c r="R199" s="127" t="s">
        <v>271</v>
      </c>
      <c r="S199" s="129">
        <v>0</v>
      </c>
      <c r="T199" s="129">
        <v>39.659999999999997</v>
      </c>
      <c r="U199" s="129">
        <v>0</v>
      </c>
      <c r="V199" s="129" t="b">
        <v>0</v>
      </c>
      <c r="W199" s="129">
        <v>91500571</v>
      </c>
      <c r="X199" s="129">
        <v>0</v>
      </c>
      <c r="Y199" s="129">
        <v>0</v>
      </c>
      <c r="Z199" s="129"/>
      <c r="AA199" s="129">
        <v>0</v>
      </c>
      <c r="AB199" s="129" t="b">
        <v>0</v>
      </c>
      <c r="AC199" s="127" t="s">
        <v>142</v>
      </c>
      <c r="AD199" s="127" t="s">
        <v>142</v>
      </c>
      <c r="AE199" s="127" t="s">
        <v>142</v>
      </c>
      <c r="AF199" s="129">
        <v>0.12</v>
      </c>
      <c r="AG199" s="144">
        <v>38392</v>
      </c>
      <c r="AH199" s="129"/>
    </row>
    <row r="200" spans="1:34" x14ac:dyDescent="0.2">
      <c r="A200" s="127" t="s">
        <v>23</v>
      </c>
      <c r="B200" s="128">
        <v>38360</v>
      </c>
      <c r="C200" s="127" t="s">
        <v>274</v>
      </c>
      <c r="D200" s="127" t="s">
        <v>271</v>
      </c>
      <c r="E200" s="127" t="s">
        <v>75</v>
      </c>
      <c r="F200" s="129">
        <v>1</v>
      </c>
      <c r="G200" s="129">
        <v>0.85</v>
      </c>
      <c r="H200" s="129">
        <v>32</v>
      </c>
      <c r="I200" s="129">
        <v>170</v>
      </c>
      <c r="J200" s="129" t="b">
        <v>0</v>
      </c>
      <c r="K200" s="129" t="b">
        <v>0</v>
      </c>
      <c r="L200" s="129">
        <v>200</v>
      </c>
      <c r="M200" s="129">
        <v>0</v>
      </c>
      <c r="N200" s="129">
        <v>5.31</v>
      </c>
      <c r="O200" s="129">
        <v>0</v>
      </c>
      <c r="P200" s="129">
        <v>0</v>
      </c>
      <c r="Q200" s="129">
        <v>170</v>
      </c>
      <c r="R200" s="127" t="s">
        <v>271</v>
      </c>
      <c r="S200" s="129">
        <v>0</v>
      </c>
      <c r="T200" s="129">
        <v>39.68</v>
      </c>
      <c r="U200" s="129">
        <v>0</v>
      </c>
      <c r="V200" s="129" t="b">
        <v>0</v>
      </c>
      <c r="W200" s="129">
        <v>91414464</v>
      </c>
      <c r="X200" s="129">
        <v>0</v>
      </c>
      <c r="Y200" s="129">
        <v>0</v>
      </c>
      <c r="Z200" s="129"/>
      <c r="AA200" s="129">
        <v>0</v>
      </c>
      <c r="AB200" s="129" t="b">
        <v>0</v>
      </c>
      <c r="AC200" s="127" t="s">
        <v>142</v>
      </c>
      <c r="AD200" s="127" t="s">
        <v>142</v>
      </c>
      <c r="AE200" s="127" t="s">
        <v>142</v>
      </c>
      <c r="AF200" s="129">
        <v>99.85</v>
      </c>
      <c r="AG200" s="144">
        <v>38363</v>
      </c>
      <c r="AH200" s="129"/>
    </row>
    <row r="201" spans="1:34" x14ac:dyDescent="0.2">
      <c r="A201" s="127" t="s">
        <v>23</v>
      </c>
      <c r="B201" s="128">
        <v>38328.399201388886</v>
      </c>
      <c r="C201" s="127" t="s">
        <v>274</v>
      </c>
      <c r="D201" s="127" t="s">
        <v>271</v>
      </c>
      <c r="E201" s="127" t="s">
        <v>21</v>
      </c>
      <c r="F201" s="129">
        <v>1.08</v>
      </c>
      <c r="G201" s="129">
        <v>1</v>
      </c>
      <c r="H201" s="129">
        <v>20</v>
      </c>
      <c r="I201" s="129">
        <v>200</v>
      </c>
      <c r="J201" s="129" t="b">
        <v>0</v>
      </c>
      <c r="K201" s="129" t="b">
        <v>0</v>
      </c>
      <c r="L201" s="129">
        <v>200</v>
      </c>
      <c r="M201" s="129">
        <v>0</v>
      </c>
      <c r="N201" s="129">
        <v>10</v>
      </c>
      <c r="O201" s="129">
        <v>0</v>
      </c>
      <c r="P201" s="129">
        <v>0</v>
      </c>
      <c r="Q201" s="129">
        <v>200</v>
      </c>
      <c r="R201" s="127" t="s">
        <v>271</v>
      </c>
      <c r="S201" s="129">
        <v>0</v>
      </c>
      <c r="T201" s="129">
        <v>31.46</v>
      </c>
      <c r="U201" s="129">
        <v>0</v>
      </c>
      <c r="V201" s="129" t="b">
        <v>0</v>
      </c>
      <c r="W201" s="129">
        <v>91326913</v>
      </c>
      <c r="X201" s="129">
        <v>0</v>
      </c>
      <c r="Y201" s="129">
        <v>0</v>
      </c>
      <c r="Z201" s="129"/>
      <c r="AA201" s="129">
        <v>0</v>
      </c>
      <c r="AB201" s="129" t="b">
        <v>0</v>
      </c>
      <c r="AC201" s="127" t="s">
        <v>142</v>
      </c>
      <c r="AD201" s="127" t="s">
        <v>142</v>
      </c>
      <c r="AE201" s="127" t="s">
        <v>142</v>
      </c>
      <c r="AF201" s="129">
        <v>99.92</v>
      </c>
      <c r="AG201" s="144">
        <v>38330</v>
      </c>
      <c r="AH201" s="129"/>
    </row>
    <row r="202" spans="1:34" x14ac:dyDescent="0.2">
      <c r="A202" s="127" t="s">
        <v>23</v>
      </c>
      <c r="B202" s="128">
        <v>38308.590937499997</v>
      </c>
      <c r="C202" s="127" t="s">
        <v>274</v>
      </c>
      <c r="D202" s="127" t="s">
        <v>271</v>
      </c>
      <c r="E202" s="127" t="s">
        <v>21</v>
      </c>
      <c r="F202" s="129">
        <v>1.05</v>
      </c>
      <c r="G202" s="129">
        <v>1.08</v>
      </c>
      <c r="H202" s="129">
        <v>22</v>
      </c>
      <c r="I202" s="129">
        <v>216</v>
      </c>
      <c r="J202" s="129" t="b">
        <v>0</v>
      </c>
      <c r="K202" s="129" t="b">
        <v>0</v>
      </c>
      <c r="L202" s="129">
        <v>200</v>
      </c>
      <c r="M202" s="129">
        <v>0</v>
      </c>
      <c r="N202" s="129">
        <v>9.82</v>
      </c>
      <c r="O202" s="129">
        <v>0</v>
      </c>
      <c r="P202" s="129">
        <v>0</v>
      </c>
      <c r="Q202" s="129">
        <v>216</v>
      </c>
      <c r="R202" s="127" t="s">
        <v>271</v>
      </c>
      <c r="S202" s="129">
        <v>0</v>
      </c>
      <c r="T202" s="129">
        <v>31.21</v>
      </c>
      <c r="U202" s="129">
        <v>0</v>
      </c>
      <c r="V202" s="129" t="b">
        <v>0</v>
      </c>
      <c r="W202" s="129">
        <v>91291367</v>
      </c>
      <c r="X202" s="129">
        <v>0</v>
      </c>
      <c r="Y202" s="129">
        <v>0</v>
      </c>
      <c r="Z202" s="129"/>
      <c r="AA202" s="129">
        <v>0</v>
      </c>
      <c r="AB202" s="129" t="b">
        <v>0</v>
      </c>
      <c r="AC202" s="127" t="s">
        <v>142</v>
      </c>
      <c r="AD202" s="127" t="s">
        <v>142</v>
      </c>
      <c r="AE202" s="127" t="s">
        <v>142</v>
      </c>
      <c r="AF202" s="129">
        <v>0.03</v>
      </c>
      <c r="AG202" s="144">
        <v>38313</v>
      </c>
      <c r="AH202" s="129"/>
    </row>
    <row r="203" spans="1:34" x14ac:dyDescent="0.2">
      <c r="A203" s="127" t="s">
        <v>23</v>
      </c>
      <c r="B203" s="128">
        <v>38286</v>
      </c>
      <c r="C203" s="127" t="s">
        <v>274</v>
      </c>
      <c r="D203" s="127" t="s">
        <v>271</v>
      </c>
      <c r="E203" s="127" t="s">
        <v>75</v>
      </c>
      <c r="F203" s="129">
        <v>1.2</v>
      </c>
      <c r="G203" s="129">
        <v>1.05</v>
      </c>
      <c r="H203" s="129">
        <v>28</v>
      </c>
      <c r="I203" s="129">
        <v>210</v>
      </c>
      <c r="J203" s="129" t="b">
        <v>0</v>
      </c>
      <c r="K203" s="129" t="b">
        <v>0</v>
      </c>
      <c r="L203" s="129">
        <v>200</v>
      </c>
      <c r="M203" s="129">
        <v>0</v>
      </c>
      <c r="N203" s="129">
        <v>7.5</v>
      </c>
      <c r="O203" s="129">
        <v>0</v>
      </c>
      <c r="P203" s="129">
        <v>0</v>
      </c>
      <c r="Q203" s="129">
        <v>210</v>
      </c>
      <c r="R203" s="127" t="s">
        <v>271</v>
      </c>
      <c r="S203" s="129">
        <v>0</v>
      </c>
      <c r="T203" s="129">
        <v>36.28</v>
      </c>
      <c r="U203" s="129">
        <v>0</v>
      </c>
      <c r="V203" s="129" t="b">
        <v>0</v>
      </c>
      <c r="W203" s="129">
        <v>91184158</v>
      </c>
      <c r="X203" s="129">
        <v>0</v>
      </c>
      <c r="Y203" s="129">
        <v>0</v>
      </c>
      <c r="Z203" s="129"/>
      <c r="AA203" s="129">
        <v>0</v>
      </c>
      <c r="AB203" s="129" t="b">
        <v>0</v>
      </c>
      <c r="AC203" s="127" t="s">
        <v>142</v>
      </c>
      <c r="AD203" s="127" t="s">
        <v>142</v>
      </c>
      <c r="AE203" s="127" t="s">
        <v>142</v>
      </c>
      <c r="AF203" s="129">
        <v>99.85</v>
      </c>
      <c r="AG203" s="144">
        <v>38287</v>
      </c>
      <c r="AH203" s="129"/>
    </row>
    <row r="204" spans="1:34" x14ac:dyDescent="0.2">
      <c r="A204" s="127" t="s">
        <v>23</v>
      </c>
      <c r="B204" s="128">
        <v>38258.515706018516</v>
      </c>
      <c r="C204" s="127" t="s">
        <v>274</v>
      </c>
      <c r="D204" s="127" t="s">
        <v>271</v>
      </c>
      <c r="E204" s="127" t="s">
        <v>21</v>
      </c>
      <c r="F204" s="129">
        <v>1</v>
      </c>
      <c r="G204" s="129">
        <v>1.2</v>
      </c>
      <c r="H204" s="129">
        <v>32</v>
      </c>
      <c r="I204" s="129">
        <v>240</v>
      </c>
      <c r="J204" s="129" t="b">
        <v>0</v>
      </c>
      <c r="K204" s="129" t="b">
        <v>0</v>
      </c>
      <c r="L204" s="129">
        <v>200</v>
      </c>
      <c r="M204" s="129">
        <v>0</v>
      </c>
      <c r="N204" s="129">
        <v>7.5</v>
      </c>
      <c r="O204" s="129">
        <v>0</v>
      </c>
      <c r="P204" s="129">
        <v>0</v>
      </c>
      <c r="Q204" s="129">
        <v>240</v>
      </c>
      <c r="R204" s="127" t="s">
        <v>271</v>
      </c>
      <c r="S204" s="129">
        <v>0</v>
      </c>
      <c r="T204" s="129">
        <v>35.590000000000003</v>
      </c>
      <c r="U204" s="129">
        <v>0</v>
      </c>
      <c r="V204" s="129" t="b">
        <v>0</v>
      </c>
      <c r="W204" s="129">
        <v>91110882</v>
      </c>
      <c r="X204" s="129">
        <v>0</v>
      </c>
      <c r="Y204" s="129">
        <v>0</v>
      </c>
      <c r="Z204" s="129"/>
      <c r="AA204" s="129">
        <v>0</v>
      </c>
      <c r="AB204" s="129" t="b">
        <v>0</v>
      </c>
      <c r="AC204" s="127" t="s">
        <v>142</v>
      </c>
      <c r="AD204" s="127" t="s">
        <v>142</v>
      </c>
      <c r="AE204" s="127" t="s">
        <v>142</v>
      </c>
      <c r="AF204" s="129">
        <v>0.2</v>
      </c>
      <c r="AG204" s="144">
        <v>38259</v>
      </c>
      <c r="AH204" s="129"/>
    </row>
    <row r="205" spans="1:34" x14ac:dyDescent="0.2">
      <c r="A205" s="127" t="s">
        <v>23</v>
      </c>
      <c r="B205" s="128">
        <v>38226</v>
      </c>
      <c r="C205" s="127" t="s">
        <v>274</v>
      </c>
      <c r="D205" s="127" t="s">
        <v>271</v>
      </c>
      <c r="E205" s="127" t="s">
        <v>75</v>
      </c>
      <c r="F205" s="129">
        <v>1</v>
      </c>
      <c r="G205" s="129">
        <v>1</v>
      </c>
      <c r="H205" s="129">
        <v>30</v>
      </c>
      <c r="I205" s="129">
        <v>200</v>
      </c>
      <c r="J205" s="129" t="b">
        <v>0</v>
      </c>
      <c r="K205" s="129" t="b">
        <v>0</v>
      </c>
      <c r="L205" s="129">
        <v>200</v>
      </c>
      <c r="M205" s="129">
        <v>0</v>
      </c>
      <c r="N205" s="129">
        <v>6.67</v>
      </c>
      <c r="O205" s="129">
        <v>0</v>
      </c>
      <c r="P205" s="129">
        <v>0</v>
      </c>
      <c r="Q205" s="129">
        <v>200</v>
      </c>
      <c r="R205" s="127" t="s">
        <v>271</v>
      </c>
      <c r="S205" s="129">
        <v>0</v>
      </c>
      <c r="T205" s="129">
        <v>52.36</v>
      </c>
      <c r="U205" s="129">
        <v>0</v>
      </c>
      <c r="V205" s="129" t="b">
        <v>0</v>
      </c>
      <c r="W205" s="129">
        <v>91018893</v>
      </c>
      <c r="X205" s="129">
        <v>0</v>
      </c>
      <c r="Y205" s="129">
        <v>0</v>
      </c>
      <c r="Z205" s="129"/>
      <c r="AA205" s="129">
        <v>0</v>
      </c>
      <c r="AB205" s="129" t="b">
        <v>0</v>
      </c>
      <c r="AC205" s="127" t="s">
        <v>142</v>
      </c>
      <c r="AD205" s="127" t="s">
        <v>142</v>
      </c>
      <c r="AE205" s="127" t="s">
        <v>142</v>
      </c>
      <c r="AF205" s="129">
        <v>0</v>
      </c>
      <c r="AG205" s="144">
        <v>38229</v>
      </c>
      <c r="AH205" s="129"/>
    </row>
    <row r="206" spans="1:34" x14ac:dyDescent="0.2">
      <c r="A206" s="127" t="s">
        <v>23</v>
      </c>
      <c r="B206" s="128">
        <v>38196</v>
      </c>
      <c r="C206" s="127" t="s">
        <v>274</v>
      </c>
      <c r="D206" s="127" t="s">
        <v>271</v>
      </c>
      <c r="E206" s="127" t="s">
        <v>75</v>
      </c>
      <c r="F206" s="129">
        <v>1.2</v>
      </c>
      <c r="G206" s="129">
        <v>1</v>
      </c>
      <c r="H206" s="129">
        <v>30</v>
      </c>
      <c r="I206" s="129">
        <v>200</v>
      </c>
      <c r="J206" s="129" t="b">
        <v>0</v>
      </c>
      <c r="K206" s="129" t="b">
        <v>0</v>
      </c>
      <c r="L206" s="129">
        <v>200</v>
      </c>
      <c r="M206" s="129">
        <v>0</v>
      </c>
      <c r="N206" s="129">
        <v>6.67</v>
      </c>
      <c r="O206" s="129">
        <v>0</v>
      </c>
      <c r="P206" s="129">
        <v>0</v>
      </c>
      <c r="Q206" s="129">
        <v>200</v>
      </c>
      <c r="R206" s="127" t="s">
        <v>271</v>
      </c>
      <c r="S206" s="129">
        <v>0</v>
      </c>
      <c r="T206" s="129">
        <v>52.36</v>
      </c>
      <c r="U206" s="129">
        <v>0</v>
      </c>
      <c r="V206" s="129" t="b">
        <v>0</v>
      </c>
      <c r="W206" s="129">
        <v>90934012</v>
      </c>
      <c r="X206" s="129">
        <v>0</v>
      </c>
      <c r="Y206" s="129">
        <v>0</v>
      </c>
      <c r="Z206" s="129"/>
      <c r="AA206" s="129">
        <v>0</v>
      </c>
      <c r="AB206" s="129" t="b">
        <v>0</v>
      </c>
      <c r="AC206" s="127" t="s">
        <v>142</v>
      </c>
      <c r="AD206" s="127" t="s">
        <v>142</v>
      </c>
      <c r="AE206" s="127" t="s">
        <v>142</v>
      </c>
      <c r="AF206" s="129">
        <v>99.8</v>
      </c>
      <c r="AG206" s="144">
        <v>38197</v>
      </c>
      <c r="AH206" s="129"/>
    </row>
    <row r="207" spans="1:34" x14ac:dyDescent="0.2">
      <c r="A207" s="127" t="s">
        <v>23</v>
      </c>
      <c r="B207" s="128">
        <v>38166.422581018516</v>
      </c>
      <c r="C207" s="127" t="s">
        <v>274</v>
      </c>
      <c r="D207" s="127" t="s">
        <v>271</v>
      </c>
      <c r="E207" s="127" t="s">
        <v>21</v>
      </c>
      <c r="F207" s="129">
        <v>1.18</v>
      </c>
      <c r="G207" s="129">
        <v>1.2</v>
      </c>
      <c r="H207" s="129">
        <v>33</v>
      </c>
      <c r="I207" s="129">
        <v>240</v>
      </c>
      <c r="J207" s="129" t="b">
        <v>0</v>
      </c>
      <c r="K207" s="129" t="b">
        <v>0</v>
      </c>
      <c r="L207" s="129">
        <v>200</v>
      </c>
      <c r="M207" s="129">
        <v>0</v>
      </c>
      <c r="N207" s="129">
        <v>7.27</v>
      </c>
      <c r="O207" s="129">
        <v>0</v>
      </c>
      <c r="P207" s="129">
        <v>0</v>
      </c>
      <c r="Q207" s="129">
        <v>240</v>
      </c>
      <c r="R207" s="127" t="s">
        <v>271</v>
      </c>
      <c r="S207" s="129">
        <v>0</v>
      </c>
      <c r="T207" s="129">
        <v>36.299999999999997</v>
      </c>
      <c r="U207" s="129">
        <v>0</v>
      </c>
      <c r="V207" s="129" t="b">
        <v>0</v>
      </c>
      <c r="W207" s="129">
        <v>90850881</v>
      </c>
      <c r="X207" s="129">
        <v>0</v>
      </c>
      <c r="Y207" s="129">
        <v>0</v>
      </c>
      <c r="Z207" s="129"/>
      <c r="AA207" s="129">
        <v>0</v>
      </c>
      <c r="AB207" s="129" t="b">
        <v>0</v>
      </c>
      <c r="AC207" s="127" t="s">
        <v>142</v>
      </c>
      <c r="AD207" s="127" t="s">
        <v>142</v>
      </c>
      <c r="AE207" s="127" t="s">
        <v>142</v>
      </c>
      <c r="AF207" s="129">
        <v>0.02</v>
      </c>
      <c r="AG207" s="144">
        <v>38167</v>
      </c>
      <c r="AH207" s="129"/>
    </row>
    <row r="208" spans="1:34" x14ac:dyDescent="0.2">
      <c r="A208" s="127" t="s">
        <v>23</v>
      </c>
      <c r="B208" s="128">
        <v>38133.473368055558</v>
      </c>
      <c r="C208" s="127" t="s">
        <v>274</v>
      </c>
      <c r="D208" s="127" t="s">
        <v>271</v>
      </c>
      <c r="E208" s="127" t="s">
        <v>21</v>
      </c>
      <c r="F208" s="129">
        <v>1.05</v>
      </c>
      <c r="G208" s="129">
        <v>1.18</v>
      </c>
      <c r="H208" s="129">
        <v>28</v>
      </c>
      <c r="I208" s="129">
        <v>236</v>
      </c>
      <c r="J208" s="129" t="b">
        <v>0</v>
      </c>
      <c r="K208" s="129" t="b">
        <v>0</v>
      </c>
      <c r="L208" s="129">
        <v>200</v>
      </c>
      <c r="M208" s="129">
        <v>0</v>
      </c>
      <c r="N208" s="129">
        <v>8.43</v>
      </c>
      <c r="O208" s="129">
        <v>0</v>
      </c>
      <c r="P208" s="129">
        <v>0</v>
      </c>
      <c r="Q208" s="129">
        <v>236</v>
      </c>
      <c r="R208" s="127" t="s">
        <v>271</v>
      </c>
      <c r="S208" s="129">
        <v>0</v>
      </c>
      <c r="T208" s="129">
        <v>36.950000000000003</v>
      </c>
      <c r="U208" s="129">
        <v>0</v>
      </c>
      <c r="V208" s="129" t="b">
        <v>0</v>
      </c>
      <c r="W208" s="129">
        <v>90753611</v>
      </c>
      <c r="X208" s="129">
        <v>0</v>
      </c>
      <c r="Y208" s="129">
        <v>0</v>
      </c>
      <c r="Z208" s="129"/>
      <c r="AA208" s="129">
        <v>0</v>
      </c>
      <c r="AB208" s="129" t="b">
        <v>0</v>
      </c>
      <c r="AC208" s="127" t="s">
        <v>142</v>
      </c>
      <c r="AD208" s="127" t="s">
        <v>142</v>
      </c>
      <c r="AE208" s="127" t="s">
        <v>142</v>
      </c>
      <c r="AF208" s="129">
        <v>0.13</v>
      </c>
      <c r="AG208" s="144">
        <v>38134</v>
      </c>
      <c r="AH208" s="129"/>
    </row>
    <row r="209" spans="1:34" x14ac:dyDescent="0.2">
      <c r="A209" s="127" t="s">
        <v>23</v>
      </c>
      <c r="B209" s="128">
        <v>38105.406990740739</v>
      </c>
      <c r="C209" s="127" t="s">
        <v>274</v>
      </c>
      <c r="D209" s="127" t="s">
        <v>271</v>
      </c>
      <c r="E209" s="127" t="s">
        <v>21</v>
      </c>
      <c r="F209" s="129">
        <v>0.9</v>
      </c>
      <c r="G209" s="129">
        <v>1.05</v>
      </c>
      <c r="H209" s="129">
        <v>35</v>
      </c>
      <c r="I209" s="129">
        <v>210</v>
      </c>
      <c r="J209" s="129" t="b">
        <v>0</v>
      </c>
      <c r="K209" s="129" t="b">
        <v>0</v>
      </c>
      <c r="L209" s="129">
        <v>200</v>
      </c>
      <c r="M209" s="129">
        <v>0</v>
      </c>
      <c r="N209" s="129">
        <v>6</v>
      </c>
      <c r="O209" s="129">
        <v>0</v>
      </c>
      <c r="P209" s="129">
        <v>0</v>
      </c>
      <c r="Q209" s="129">
        <v>210</v>
      </c>
      <c r="R209" s="127" t="s">
        <v>271</v>
      </c>
      <c r="S209" s="129">
        <v>0</v>
      </c>
      <c r="T209" s="129">
        <v>35.6</v>
      </c>
      <c r="U209" s="129">
        <v>0</v>
      </c>
      <c r="V209" s="129" t="b">
        <v>0</v>
      </c>
      <c r="W209" s="129">
        <v>90672782</v>
      </c>
      <c r="X209" s="129">
        <v>0</v>
      </c>
      <c r="Y209" s="129">
        <v>0</v>
      </c>
      <c r="Z209" s="129"/>
      <c r="AA209" s="129">
        <v>0</v>
      </c>
      <c r="AB209" s="129" t="b">
        <v>0</v>
      </c>
      <c r="AC209" s="127" t="s">
        <v>142</v>
      </c>
      <c r="AD209" s="127" t="s">
        <v>142</v>
      </c>
      <c r="AE209" s="127" t="s">
        <v>142</v>
      </c>
      <c r="AF209" s="129">
        <v>0.15</v>
      </c>
      <c r="AG209" s="144">
        <v>38106</v>
      </c>
      <c r="AH209" s="129"/>
    </row>
    <row r="210" spans="1:34" x14ac:dyDescent="0.2">
      <c r="A210" s="127" t="s">
        <v>23</v>
      </c>
      <c r="B210" s="128">
        <v>38070.417858796296</v>
      </c>
      <c r="C210" s="127" t="s">
        <v>274</v>
      </c>
      <c r="D210" s="127" t="s">
        <v>271</v>
      </c>
      <c r="E210" s="127" t="s">
        <v>21</v>
      </c>
      <c r="F210" s="129">
        <v>1</v>
      </c>
      <c r="G210" s="129">
        <v>0.9</v>
      </c>
      <c r="H210" s="129">
        <v>28</v>
      </c>
      <c r="I210" s="129">
        <v>180</v>
      </c>
      <c r="J210" s="129" t="b">
        <v>0</v>
      </c>
      <c r="K210" s="129" t="b">
        <v>0</v>
      </c>
      <c r="L210" s="129">
        <v>200</v>
      </c>
      <c r="M210" s="129">
        <v>0</v>
      </c>
      <c r="N210" s="129">
        <v>6.43</v>
      </c>
      <c r="O210" s="129">
        <v>0</v>
      </c>
      <c r="P210" s="129">
        <v>0</v>
      </c>
      <c r="Q210" s="129">
        <v>180</v>
      </c>
      <c r="R210" s="127" t="s">
        <v>271</v>
      </c>
      <c r="S210" s="129">
        <v>0</v>
      </c>
      <c r="T210" s="129">
        <v>41.34</v>
      </c>
      <c r="U210" s="129">
        <v>0</v>
      </c>
      <c r="V210" s="129" t="b">
        <v>0</v>
      </c>
      <c r="W210" s="129">
        <v>90591208</v>
      </c>
      <c r="X210" s="129">
        <v>0</v>
      </c>
      <c r="Y210" s="129">
        <v>0</v>
      </c>
      <c r="Z210" s="129"/>
      <c r="AA210" s="129">
        <v>0</v>
      </c>
      <c r="AB210" s="129" t="b">
        <v>0</v>
      </c>
      <c r="AC210" s="127" t="s">
        <v>142</v>
      </c>
      <c r="AD210" s="127" t="s">
        <v>142</v>
      </c>
      <c r="AE210" s="127" t="s">
        <v>142</v>
      </c>
      <c r="AF210" s="129">
        <v>99.9</v>
      </c>
      <c r="AG210" s="144">
        <v>38075</v>
      </c>
      <c r="AH210" s="129"/>
    </row>
    <row r="211" spans="1:34" x14ac:dyDescent="0.2">
      <c r="A211" s="127" t="s">
        <v>23</v>
      </c>
      <c r="B211" s="128">
        <v>38042.418958333335</v>
      </c>
      <c r="C211" s="127" t="s">
        <v>274</v>
      </c>
      <c r="D211" s="127" t="s">
        <v>271</v>
      </c>
      <c r="E211" s="127" t="s">
        <v>21</v>
      </c>
      <c r="F211" s="129">
        <v>0.97</v>
      </c>
      <c r="G211" s="129">
        <v>1</v>
      </c>
      <c r="H211" s="129">
        <v>29</v>
      </c>
      <c r="I211" s="129">
        <v>200</v>
      </c>
      <c r="J211" s="129" t="b">
        <v>0</v>
      </c>
      <c r="K211" s="129" t="b">
        <v>0</v>
      </c>
      <c r="L211" s="129">
        <v>200</v>
      </c>
      <c r="M211" s="129">
        <v>0</v>
      </c>
      <c r="N211" s="129">
        <v>6.9</v>
      </c>
      <c r="O211" s="129">
        <v>0</v>
      </c>
      <c r="P211" s="129">
        <v>0</v>
      </c>
      <c r="Q211" s="129">
        <v>200</v>
      </c>
      <c r="R211" s="127" t="s">
        <v>271</v>
      </c>
      <c r="S211" s="129">
        <v>0</v>
      </c>
      <c r="T211" s="129">
        <v>40.229999999999997</v>
      </c>
      <c r="U211" s="129">
        <v>0</v>
      </c>
      <c r="V211" s="129" t="b">
        <v>0</v>
      </c>
      <c r="W211" s="129">
        <v>90498793</v>
      </c>
      <c r="X211" s="129">
        <v>0</v>
      </c>
      <c r="Y211" s="129">
        <v>0</v>
      </c>
      <c r="Z211" s="129"/>
      <c r="AA211" s="129">
        <v>0</v>
      </c>
      <c r="AB211" s="129" t="b">
        <v>0</v>
      </c>
      <c r="AC211" s="127" t="s">
        <v>142</v>
      </c>
      <c r="AD211" s="127" t="s">
        <v>142</v>
      </c>
      <c r="AE211" s="127" t="s">
        <v>142</v>
      </c>
      <c r="AF211" s="129">
        <v>0.03</v>
      </c>
      <c r="AG211" s="144">
        <v>38044</v>
      </c>
      <c r="AH211" s="129"/>
    </row>
    <row r="212" spans="1:34" x14ac:dyDescent="0.2">
      <c r="A212" s="127" t="s">
        <v>23</v>
      </c>
      <c r="B212" s="128">
        <v>38013.497164351851</v>
      </c>
      <c r="C212" s="127" t="s">
        <v>274</v>
      </c>
      <c r="D212" s="127" t="s">
        <v>271</v>
      </c>
      <c r="E212" s="127" t="s">
        <v>21</v>
      </c>
      <c r="F212" s="129">
        <v>0.85</v>
      </c>
      <c r="G212" s="129">
        <v>0.97</v>
      </c>
      <c r="H212" s="129">
        <v>29</v>
      </c>
      <c r="I212" s="129">
        <v>194</v>
      </c>
      <c r="J212" s="129" t="b">
        <v>0</v>
      </c>
      <c r="K212" s="129" t="b">
        <v>0</v>
      </c>
      <c r="L212" s="129">
        <v>200</v>
      </c>
      <c r="M212" s="129">
        <v>0</v>
      </c>
      <c r="N212" s="129">
        <v>6.69</v>
      </c>
      <c r="O212" s="129">
        <v>0</v>
      </c>
      <c r="P212" s="129">
        <v>0</v>
      </c>
      <c r="Q212" s="129">
        <v>194</v>
      </c>
      <c r="R212" s="127" t="s">
        <v>271</v>
      </c>
      <c r="S212" s="129">
        <v>0</v>
      </c>
      <c r="T212" s="129">
        <v>39.700000000000003</v>
      </c>
      <c r="U212" s="129">
        <v>0</v>
      </c>
      <c r="V212" s="129" t="b">
        <v>0</v>
      </c>
      <c r="W212" s="129">
        <v>90412616</v>
      </c>
      <c r="X212" s="129">
        <v>0</v>
      </c>
      <c r="Y212" s="129">
        <v>0</v>
      </c>
      <c r="Z212" s="129"/>
      <c r="AA212" s="129">
        <v>0</v>
      </c>
      <c r="AB212" s="129" t="b">
        <v>0</v>
      </c>
      <c r="AC212" s="127" t="s">
        <v>142</v>
      </c>
      <c r="AD212" s="127" t="s">
        <v>142</v>
      </c>
      <c r="AE212" s="127" t="s">
        <v>142</v>
      </c>
      <c r="AF212" s="129">
        <v>0.12</v>
      </c>
      <c r="AG212" s="144">
        <v>38015</v>
      </c>
      <c r="AH212" s="129"/>
    </row>
    <row r="213" spans="1:34" x14ac:dyDescent="0.2">
      <c r="A213" s="127" t="s">
        <v>23</v>
      </c>
      <c r="B213" s="128">
        <v>37984.434756944444</v>
      </c>
      <c r="C213" s="127" t="s">
        <v>274</v>
      </c>
      <c r="D213" s="127" t="s">
        <v>271</v>
      </c>
      <c r="E213" s="127" t="s">
        <v>21</v>
      </c>
      <c r="F213" s="129">
        <v>1.0900000000000001</v>
      </c>
      <c r="G213" s="129">
        <v>0.85</v>
      </c>
      <c r="H213" s="129">
        <v>35</v>
      </c>
      <c r="I213" s="129">
        <v>170</v>
      </c>
      <c r="J213" s="129" t="b">
        <v>0</v>
      </c>
      <c r="K213" s="129" t="b">
        <v>0</v>
      </c>
      <c r="L213" s="129">
        <v>200</v>
      </c>
      <c r="M213" s="129">
        <v>0</v>
      </c>
      <c r="N213" s="129">
        <v>4.8600000000000003</v>
      </c>
      <c r="O213" s="129">
        <v>0</v>
      </c>
      <c r="P213" s="129">
        <v>0</v>
      </c>
      <c r="Q213" s="129">
        <v>170</v>
      </c>
      <c r="R213" s="127" t="s">
        <v>271</v>
      </c>
      <c r="S213" s="129">
        <v>0</v>
      </c>
      <c r="T213" s="129">
        <v>39.64</v>
      </c>
      <c r="U213" s="129">
        <v>0</v>
      </c>
      <c r="V213" s="129" t="b">
        <v>0</v>
      </c>
      <c r="W213" s="129">
        <v>90327781</v>
      </c>
      <c r="X213" s="129">
        <v>0</v>
      </c>
      <c r="Y213" s="129">
        <v>0</v>
      </c>
      <c r="Z213" s="129"/>
      <c r="AA213" s="129">
        <v>0</v>
      </c>
      <c r="AB213" s="129" t="b">
        <v>0</v>
      </c>
      <c r="AC213" s="127" t="s">
        <v>142</v>
      </c>
      <c r="AD213" s="127" t="s">
        <v>142</v>
      </c>
      <c r="AE213" s="127" t="s">
        <v>142</v>
      </c>
      <c r="AF213" s="129">
        <v>99.76</v>
      </c>
      <c r="AG213" s="144">
        <v>37985</v>
      </c>
      <c r="AH213" s="129"/>
    </row>
    <row r="214" spans="1:34" x14ac:dyDescent="0.2">
      <c r="A214" s="127" t="s">
        <v>23</v>
      </c>
      <c r="B214" s="128">
        <v>37949.458587962959</v>
      </c>
      <c r="C214" s="127" t="s">
        <v>274</v>
      </c>
      <c r="D214" s="127" t="s">
        <v>271</v>
      </c>
      <c r="E214" s="127" t="s">
        <v>21</v>
      </c>
      <c r="F214" s="129">
        <v>1.1599999999999999</v>
      </c>
      <c r="G214" s="129">
        <v>1.0900000000000001</v>
      </c>
      <c r="H214" s="129">
        <v>28</v>
      </c>
      <c r="I214" s="129">
        <v>218</v>
      </c>
      <c r="J214" s="129" t="b">
        <v>0</v>
      </c>
      <c r="K214" s="129" t="b">
        <v>0</v>
      </c>
      <c r="L214" s="129">
        <v>200</v>
      </c>
      <c r="M214" s="129">
        <v>0</v>
      </c>
      <c r="N214" s="129">
        <v>7.79</v>
      </c>
      <c r="O214" s="129">
        <v>0</v>
      </c>
      <c r="P214" s="129">
        <v>0</v>
      </c>
      <c r="Q214" s="129">
        <v>218</v>
      </c>
      <c r="R214" s="127" t="s">
        <v>271</v>
      </c>
      <c r="S214" s="129">
        <v>0</v>
      </c>
      <c r="T214" s="129">
        <v>36.450000000000003</v>
      </c>
      <c r="U214" s="129">
        <v>0</v>
      </c>
      <c r="V214" s="129" t="b">
        <v>0</v>
      </c>
      <c r="W214" s="129">
        <v>90239678</v>
      </c>
      <c r="X214" s="129">
        <v>0</v>
      </c>
      <c r="Y214" s="129">
        <v>0</v>
      </c>
      <c r="Z214" s="129"/>
      <c r="AA214" s="129">
        <v>0</v>
      </c>
      <c r="AB214" s="129" t="b">
        <v>0</v>
      </c>
      <c r="AC214" s="127" t="s">
        <v>142</v>
      </c>
      <c r="AD214" s="127" t="s">
        <v>142</v>
      </c>
      <c r="AE214" s="127" t="s">
        <v>142</v>
      </c>
      <c r="AF214" s="129">
        <v>99.93</v>
      </c>
      <c r="AG214" s="144">
        <v>37950</v>
      </c>
      <c r="AH214" s="129"/>
    </row>
    <row r="215" spans="1:34" x14ac:dyDescent="0.2">
      <c r="A215" s="127" t="s">
        <v>23</v>
      </c>
      <c r="B215" s="128">
        <v>37921.448344907411</v>
      </c>
      <c r="C215" s="127" t="s">
        <v>274</v>
      </c>
      <c r="D215" s="127" t="s">
        <v>271</v>
      </c>
      <c r="E215" s="127" t="s">
        <v>21</v>
      </c>
      <c r="F215" s="129">
        <v>1.1200000000000001</v>
      </c>
      <c r="G215" s="129">
        <v>1.1599999999999999</v>
      </c>
      <c r="H215" s="129">
        <v>31</v>
      </c>
      <c r="I215" s="129">
        <v>232</v>
      </c>
      <c r="J215" s="129" t="b">
        <v>0</v>
      </c>
      <c r="K215" s="129" t="b">
        <v>0</v>
      </c>
      <c r="L215" s="129">
        <v>200</v>
      </c>
      <c r="M215" s="129">
        <v>0</v>
      </c>
      <c r="N215" s="129">
        <v>7.48</v>
      </c>
      <c r="O215" s="129">
        <v>0</v>
      </c>
      <c r="P215" s="129">
        <v>0</v>
      </c>
      <c r="Q215" s="129">
        <v>232</v>
      </c>
      <c r="R215" s="127" t="s">
        <v>271</v>
      </c>
      <c r="S215" s="129">
        <v>0</v>
      </c>
      <c r="T215" s="129">
        <v>32.79</v>
      </c>
      <c r="U215" s="129">
        <v>0</v>
      </c>
      <c r="V215" s="129" t="b">
        <v>0</v>
      </c>
      <c r="W215" s="129">
        <v>90155810</v>
      </c>
      <c r="X215" s="129">
        <v>0</v>
      </c>
      <c r="Y215" s="129">
        <v>0</v>
      </c>
      <c r="Z215" s="129"/>
      <c r="AA215" s="129">
        <v>0</v>
      </c>
      <c r="AB215" s="129" t="b">
        <v>0</v>
      </c>
      <c r="AC215" s="127" t="s">
        <v>142</v>
      </c>
      <c r="AD215" s="127" t="s">
        <v>142</v>
      </c>
      <c r="AE215" s="127" t="s">
        <v>142</v>
      </c>
      <c r="AF215" s="129">
        <v>0.04</v>
      </c>
      <c r="AG215" s="144">
        <v>37923</v>
      </c>
      <c r="AH215" s="129"/>
    </row>
    <row r="216" spans="1:34" x14ac:dyDescent="0.2">
      <c r="A216" s="127" t="s">
        <v>23</v>
      </c>
      <c r="B216" s="128">
        <v>37890.42496527778</v>
      </c>
      <c r="C216" s="127" t="s">
        <v>274</v>
      </c>
      <c r="D216" s="127" t="s">
        <v>271</v>
      </c>
      <c r="E216" s="127" t="s">
        <v>21</v>
      </c>
      <c r="F216" s="129">
        <v>1.18</v>
      </c>
      <c r="G216" s="129">
        <v>1.1200000000000001</v>
      </c>
      <c r="H216" s="129">
        <v>31</v>
      </c>
      <c r="I216" s="129">
        <v>224</v>
      </c>
      <c r="J216" s="129" t="b">
        <v>0</v>
      </c>
      <c r="K216" s="129" t="b">
        <v>0</v>
      </c>
      <c r="L216" s="129">
        <v>200</v>
      </c>
      <c r="M216" s="129">
        <v>0</v>
      </c>
      <c r="N216" s="129">
        <v>7.23</v>
      </c>
      <c r="O216" s="129">
        <v>0</v>
      </c>
      <c r="P216" s="129">
        <v>0</v>
      </c>
      <c r="Q216" s="129">
        <v>224</v>
      </c>
      <c r="R216" s="127" t="s">
        <v>271</v>
      </c>
      <c r="S216" s="129">
        <v>0</v>
      </c>
      <c r="T216" s="129">
        <v>41.76</v>
      </c>
      <c r="U216" s="129">
        <v>0</v>
      </c>
      <c r="V216" s="129" t="b">
        <v>0</v>
      </c>
      <c r="W216" s="129">
        <v>90073699</v>
      </c>
      <c r="X216" s="129">
        <v>0</v>
      </c>
      <c r="Y216" s="129">
        <v>0</v>
      </c>
      <c r="Z216" s="129"/>
      <c r="AA216" s="129">
        <v>0</v>
      </c>
      <c r="AB216" s="129" t="b">
        <v>0</v>
      </c>
      <c r="AC216" s="127" t="s">
        <v>142</v>
      </c>
      <c r="AD216" s="127" t="s">
        <v>142</v>
      </c>
      <c r="AE216" s="127" t="s">
        <v>142</v>
      </c>
      <c r="AF216" s="129">
        <v>99.94</v>
      </c>
      <c r="AG216" s="144">
        <v>37893</v>
      </c>
      <c r="AH216" s="129"/>
    </row>
    <row r="217" spans="1:34" x14ac:dyDescent="0.2">
      <c r="A217" s="127" t="s">
        <v>23</v>
      </c>
      <c r="B217" s="128">
        <v>37859.417500000003</v>
      </c>
      <c r="C217" s="127" t="s">
        <v>274</v>
      </c>
      <c r="D217" s="127" t="s">
        <v>271</v>
      </c>
      <c r="E217" s="127" t="s">
        <v>21</v>
      </c>
      <c r="F217" s="129">
        <v>1.1399999999999999</v>
      </c>
      <c r="G217" s="129">
        <v>1.18</v>
      </c>
      <c r="H217" s="129">
        <v>29</v>
      </c>
      <c r="I217" s="129">
        <v>236</v>
      </c>
      <c r="J217" s="129" t="b">
        <v>0</v>
      </c>
      <c r="K217" s="129" t="b">
        <v>0</v>
      </c>
      <c r="L217" s="129">
        <v>200</v>
      </c>
      <c r="M217" s="129">
        <v>0</v>
      </c>
      <c r="N217" s="129">
        <v>8.14</v>
      </c>
      <c r="O217" s="129">
        <v>0</v>
      </c>
      <c r="P217" s="129">
        <v>0</v>
      </c>
      <c r="Q217" s="129">
        <v>236</v>
      </c>
      <c r="R217" s="127" t="s">
        <v>271</v>
      </c>
      <c r="S217" s="129">
        <v>0</v>
      </c>
      <c r="T217" s="129">
        <v>44.44</v>
      </c>
      <c r="U217" s="129">
        <v>0</v>
      </c>
      <c r="V217" s="129" t="b">
        <v>0</v>
      </c>
      <c r="W217" s="129">
        <v>81808360</v>
      </c>
      <c r="X217" s="129">
        <v>0</v>
      </c>
      <c r="Y217" s="129">
        <v>0</v>
      </c>
      <c r="Z217" s="129"/>
      <c r="AA217" s="129">
        <v>0</v>
      </c>
      <c r="AB217" s="129" t="b">
        <v>0</v>
      </c>
      <c r="AC217" s="127" t="s">
        <v>142</v>
      </c>
      <c r="AD217" s="127" t="s">
        <v>142</v>
      </c>
      <c r="AE217" s="127" t="s">
        <v>142</v>
      </c>
      <c r="AF217" s="129">
        <v>0.04</v>
      </c>
      <c r="AG217" s="144">
        <v>37861</v>
      </c>
      <c r="AH217" s="129"/>
    </row>
    <row r="218" spans="1:34" x14ac:dyDescent="0.2">
      <c r="A218" s="127" t="s">
        <v>23</v>
      </c>
      <c r="B218" s="128">
        <v>37830.531805555554</v>
      </c>
      <c r="C218" s="127" t="s">
        <v>274</v>
      </c>
      <c r="D218" s="127" t="s">
        <v>271</v>
      </c>
      <c r="E218" s="127" t="s">
        <v>21</v>
      </c>
      <c r="F218" s="129">
        <v>1.05</v>
      </c>
      <c r="G218" s="129">
        <v>1.1399999999999999</v>
      </c>
      <c r="H218" s="129">
        <v>33</v>
      </c>
      <c r="I218" s="129">
        <v>228</v>
      </c>
      <c r="J218" s="129" t="b">
        <v>0</v>
      </c>
      <c r="K218" s="129" t="b">
        <v>0</v>
      </c>
      <c r="L218" s="129">
        <v>200</v>
      </c>
      <c r="M218" s="129">
        <v>0</v>
      </c>
      <c r="N218" s="129">
        <v>6.91</v>
      </c>
      <c r="O218" s="129">
        <v>0</v>
      </c>
      <c r="P218" s="129">
        <v>0</v>
      </c>
      <c r="Q218" s="129">
        <v>228</v>
      </c>
      <c r="R218" s="127" t="s">
        <v>271</v>
      </c>
      <c r="S218" s="129">
        <v>0</v>
      </c>
      <c r="T218" s="129">
        <v>37.33</v>
      </c>
      <c r="U218" s="129">
        <v>0</v>
      </c>
      <c r="V218" s="129" t="b">
        <v>0</v>
      </c>
      <c r="W218" s="129">
        <v>81729389</v>
      </c>
      <c r="X218" s="129">
        <v>0</v>
      </c>
      <c r="Y218" s="129">
        <v>0</v>
      </c>
      <c r="Z218" s="129"/>
      <c r="AA218" s="129">
        <v>0</v>
      </c>
      <c r="AB218" s="129" t="b">
        <v>0</v>
      </c>
      <c r="AC218" s="127" t="s">
        <v>142</v>
      </c>
      <c r="AD218" s="127" t="s">
        <v>142</v>
      </c>
      <c r="AE218" s="127" t="s">
        <v>142</v>
      </c>
      <c r="AF218" s="129">
        <v>0.09</v>
      </c>
      <c r="AG218" s="144">
        <v>37832</v>
      </c>
      <c r="AH218" s="129"/>
    </row>
    <row r="219" spans="1:34" x14ac:dyDescent="0.2">
      <c r="A219" s="127" t="s">
        <v>23</v>
      </c>
      <c r="B219" s="128">
        <v>37797.42628472222</v>
      </c>
      <c r="C219" s="127" t="s">
        <v>274</v>
      </c>
      <c r="D219" s="127" t="s">
        <v>271</v>
      </c>
      <c r="E219" s="127" t="s">
        <v>21</v>
      </c>
      <c r="F219" s="129">
        <v>1</v>
      </c>
      <c r="G219" s="129">
        <v>1.05</v>
      </c>
      <c r="H219" s="129">
        <v>33</v>
      </c>
      <c r="I219" s="129">
        <v>210</v>
      </c>
      <c r="J219" s="129" t="b">
        <v>0</v>
      </c>
      <c r="K219" s="129" t="b">
        <v>0</v>
      </c>
      <c r="L219" s="129">
        <v>200</v>
      </c>
      <c r="M219" s="129">
        <v>0</v>
      </c>
      <c r="N219" s="129">
        <v>6.36</v>
      </c>
      <c r="O219" s="129">
        <v>0</v>
      </c>
      <c r="P219" s="129">
        <v>0</v>
      </c>
      <c r="Q219" s="129">
        <v>210</v>
      </c>
      <c r="R219" s="127" t="s">
        <v>271</v>
      </c>
      <c r="S219" s="129">
        <v>0</v>
      </c>
      <c r="T219" s="129">
        <v>37.159999999999997</v>
      </c>
      <c r="U219" s="129">
        <v>0</v>
      </c>
      <c r="V219" s="129" t="b">
        <v>0</v>
      </c>
      <c r="W219" s="129">
        <v>81645916</v>
      </c>
      <c r="X219" s="129">
        <v>0</v>
      </c>
      <c r="Y219" s="129">
        <v>0</v>
      </c>
      <c r="Z219" s="129"/>
      <c r="AA219" s="129">
        <v>0</v>
      </c>
      <c r="AB219" s="129" t="b">
        <v>0</v>
      </c>
      <c r="AC219" s="127" t="s">
        <v>142</v>
      </c>
      <c r="AD219" s="127" t="s">
        <v>142</v>
      </c>
      <c r="AE219" s="127" t="s">
        <v>142</v>
      </c>
      <c r="AF219" s="129">
        <v>0.05</v>
      </c>
      <c r="AG219" s="144">
        <v>37799</v>
      </c>
      <c r="AH219" s="129"/>
    </row>
    <row r="220" spans="1:34" x14ac:dyDescent="0.2">
      <c r="A220" s="127" t="s">
        <v>23</v>
      </c>
      <c r="B220" s="128">
        <v>37764.412060185183</v>
      </c>
      <c r="C220" s="127" t="s">
        <v>274</v>
      </c>
      <c r="D220" s="127" t="s">
        <v>271</v>
      </c>
      <c r="E220" s="127" t="s">
        <v>21</v>
      </c>
      <c r="F220" s="129">
        <v>1.25</v>
      </c>
      <c r="G220" s="129">
        <v>1</v>
      </c>
      <c r="H220" s="129">
        <v>31</v>
      </c>
      <c r="I220" s="129">
        <v>200</v>
      </c>
      <c r="J220" s="129" t="b">
        <v>0</v>
      </c>
      <c r="K220" s="129" t="b">
        <v>0</v>
      </c>
      <c r="L220" s="129">
        <v>200</v>
      </c>
      <c r="M220" s="129">
        <v>0</v>
      </c>
      <c r="N220" s="129">
        <v>6.45</v>
      </c>
      <c r="O220" s="129">
        <v>0</v>
      </c>
      <c r="P220" s="129">
        <v>0</v>
      </c>
      <c r="Q220" s="129">
        <v>200</v>
      </c>
      <c r="R220" s="127" t="s">
        <v>271</v>
      </c>
      <c r="S220" s="129">
        <v>0</v>
      </c>
      <c r="T220" s="129">
        <v>40.729999999999997</v>
      </c>
      <c r="U220" s="129">
        <v>0</v>
      </c>
      <c r="V220" s="129" t="b">
        <v>0</v>
      </c>
      <c r="W220" s="129">
        <v>81559535</v>
      </c>
      <c r="X220" s="129">
        <v>0</v>
      </c>
      <c r="Y220" s="129">
        <v>0</v>
      </c>
      <c r="Z220" s="129"/>
      <c r="AA220" s="129">
        <v>0</v>
      </c>
      <c r="AB220" s="129" t="b">
        <v>0</v>
      </c>
      <c r="AC220" s="127" t="s">
        <v>142</v>
      </c>
      <c r="AD220" s="127" t="s">
        <v>142</v>
      </c>
      <c r="AE220" s="127" t="s">
        <v>142</v>
      </c>
      <c r="AF220" s="129">
        <v>99.75</v>
      </c>
      <c r="AG220" s="144">
        <v>37771</v>
      </c>
      <c r="AH220" s="129"/>
    </row>
    <row r="221" spans="1:34" x14ac:dyDescent="0.2">
      <c r="A221" s="127" t="s">
        <v>23</v>
      </c>
      <c r="B221" s="128">
        <v>37733</v>
      </c>
      <c r="C221" s="127" t="s">
        <v>274</v>
      </c>
      <c r="D221" s="127" t="s">
        <v>271</v>
      </c>
      <c r="E221" s="127" t="s">
        <v>21</v>
      </c>
      <c r="F221" s="129">
        <v>0</v>
      </c>
      <c r="G221" s="129">
        <v>1.25</v>
      </c>
      <c r="H221" s="129">
        <v>32</v>
      </c>
      <c r="I221" s="129">
        <v>250</v>
      </c>
      <c r="J221" s="129" t="b">
        <v>0</v>
      </c>
      <c r="K221" s="129" t="b">
        <v>0</v>
      </c>
      <c r="L221" s="129">
        <v>200</v>
      </c>
      <c r="M221" s="129">
        <v>0</v>
      </c>
      <c r="N221" s="129">
        <v>7.81</v>
      </c>
      <c r="O221" s="129">
        <v>0</v>
      </c>
      <c r="P221" s="129">
        <v>0</v>
      </c>
      <c r="Q221" s="129">
        <v>250</v>
      </c>
      <c r="R221" s="127" t="s">
        <v>271</v>
      </c>
      <c r="S221" s="129">
        <v>0</v>
      </c>
      <c r="T221" s="129">
        <v>34.9</v>
      </c>
      <c r="U221" s="129">
        <v>0</v>
      </c>
      <c r="V221" s="129" t="b">
        <v>0</v>
      </c>
      <c r="W221" s="129">
        <v>0</v>
      </c>
      <c r="X221" s="129">
        <v>0</v>
      </c>
      <c r="Y221" s="129">
        <v>0</v>
      </c>
      <c r="Z221" s="129"/>
      <c r="AA221" s="129">
        <v>0</v>
      </c>
      <c r="AB221" s="129" t="b">
        <v>0</v>
      </c>
      <c r="AC221" s="127" t="s">
        <v>142</v>
      </c>
      <c r="AD221" s="127" t="s">
        <v>142</v>
      </c>
      <c r="AE221" s="127" t="s">
        <v>142</v>
      </c>
      <c r="AF221" s="129">
        <v>1.25</v>
      </c>
      <c r="AG221" s="129" t="s">
        <v>257</v>
      </c>
      <c r="AH221" s="129"/>
    </row>
    <row r="222" spans="1:34" x14ac:dyDescent="0.2">
      <c r="A222" s="127" t="s">
        <v>23</v>
      </c>
      <c r="B222" s="128">
        <v>37701</v>
      </c>
      <c r="C222" s="127" t="s">
        <v>274</v>
      </c>
      <c r="D222" s="127" t="s">
        <v>271</v>
      </c>
      <c r="E222" s="127" t="s">
        <v>21</v>
      </c>
      <c r="F222" s="129">
        <v>0</v>
      </c>
      <c r="G222" s="129">
        <v>1.23</v>
      </c>
      <c r="H222" s="129">
        <v>28</v>
      </c>
      <c r="I222" s="129">
        <v>246</v>
      </c>
      <c r="J222" s="129" t="b">
        <v>0</v>
      </c>
      <c r="K222" s="129" t="b">
        <v>0</v>
      </c>
      <c r="L222" s="129">
        <v>200</v>
      </c>
      <c r="M222" s="129">
        <v>0</v>
      </c>
      <c r="N222" s="129">
        <v>8.7899999999999991</v>
      </c>
      <c r="O222" s="129">
        <v>0</v>
      </c>
      <c r="P222" s="129">
        <v>0</v>
      </c>
      <c r="Q222" s="129">
        <v>246</v>
      </c>
      <c r="R222" s="127" t="s">
        <v>271</v>
      </c>
      <c r="S222" s="129">
        <v>0</v>
      </c>
      <c r="T222" s="129">
        <v>36.17</v>
      </c>
      <c r="U222" s="129">
        <v>0</v>
      </c>
      <c r="V222" s="129" t="b">
        <v>0</v>
      </c>
      <c r="W222" s="129">
        <v>0</v>
      </c>
      <c r="X222" s="129">
        <v>0</v>
      </c>
      <c r="Y222" s="129">
        <v>0</v>
      </c>
      <c r="Z222" s="129"/>
      <c r="AA222" s="129">
        <v>0</v>
      </c>
      <c r="AB222" s="129" t="b">
        <v>0</v>
      </c>
      <c r="AC222" s="127" t="s">
        <v>142</v>
      </c>
      <c r="AD222" s="127" t="s">
        <v>142</v>
      </c>
      <c r="AE222" s="127" t="s">
        <v>142</v>
      </c>
      <c r="AF222" s="129">
        <v>1.23</v>
      </c>
      <c r="AG222" s="129" t="s">
        <v>257</v>
      </c>
      <c r="AH222" s="129"/>
    </row>
    <row r="223" spans="1:34" x14ac:dyDescent="0.2">
      <c r="A223" s="127" t="s">
        <v>23</v>
      </c>
      <c r="B223" s="128">
        <v>37673</v>
      </c>
      <c r="C223" s="127" t="s">
        <v>274</v>
      </c>
      <c r="D223" s="127" t="s">
        <v>271</v>
      </c>
      <c r="E223" s="127" t="s">
        <v>21</v>
      </c>
      <c r="F223" s="129">
        <v>0</v>
      </c>
      <c r="G223" s="129">
        <v>1.0900000000000001</v>
      </c>
      <c r="H223" s="129">
        <v>31</v>
      </c>
      <c r="I223" s="129">
        <v>218</v>
      </c>
      <c r="J223" s="129" t="b">
        <v>0</v>
      </c>
      <c r="K223" s="129" t="b">
        <v>0</v>
      </c>
      <c r="L223" s="129">
        <v>200</v>
      </c>
      <c r="M223" s="129">
        <v>0</v>
      </c>
      <c r="N223" s="129">
        <v>7.03</v>
      </c>
      <c r="O223" s="129">
        <v>0</v>
      </c>
      <c r="P223" s="129">
        <v>0</v>
      </c>
      <c r="Q223" s="129">
        <v>218</v>
      </c>
      <c r="R223" s="127" t="s">
        <v>271</v>
      </c>
      <c r="S223" s="129">
        <v>0</v>
      </c>
      <c r="T223" s="129">
        <v>43.53</v>
      </c>
      <c r="U223" s="129">
        <v>0</v>
      </c>
      <c r="V223" s="129" t="b">
        <v>0</v>
      </c>
      <c r="W223" s="129">
        <v>0</v>
      </c>
      <c r="X223" s="129">
        <v>0</v>
      </c>
      <c r="Y223" s="129">
        <v>0</v>
      </c>
      <c r="Z223" s="129"/>
      <c r="AA223" s="129">
        <v>0</v>
      </c>
      <c r="AB223" s="129" t="b">
        <v>0</v>
      </c>
      <c r="AC223" s="127" t="s">
        <v>142</v>
      </c>
      <c r="AD223" s="127" t="s">
        <v>142</v>
      </c>
      <c r="AE223" s="127" t="s">
        <v>142</v>
      </c>
      <c r="AF223" s="129">
        <v>1.0900000000000001</v>
      </c>
      <c r="AG223" s="129" t="s">
        <v>257</v>
      </c>
      <c r="AH223" s="129"/>
    </row>
    <row r="224" spans="1:34" x14ac:dyDescent="0.2">
      <c r="A224" s="127" t="s">
        <v>23</v>
      </c>
      <c r="B224" s="128">
        <v>37642</v>
      </c>
      <c r="C224" s="127" t="s">
        <v>274</v>
      </c>
      <c r="D224" s="127" t="s">
        <v>271</v>
      </c>
      <c r="E224" s="127" t="s">
        <v>21</v>
      </c>
      <c r="F224" s="129">
        <v>0</v>
      </c>
      <c r="G224" s="129">
        <v>1.08</v>
      </c>
      <c r="H224" s="129">
        <v>33</v>
      </c>
      <c r="I224" s="129">
        <v>216</v>
      </c>
      <c r="J224" s="129" t="b">
        <v>0</v>
      </c>
      <c r="K224" s="129" t="b">
        <v>0</v>
      </c>
      <c r="L224" s="129">
        <v>200</v>
      </c>
      <c r="M224" s="129">
        <v>0</v>
      </c>
      <c r="N224" s="129">
        <v>6.55</v>
      </c>
      <c r="O224" s="129">
        <v>0</v>
      </c>
      <c r="P224" s="129">
        <v>0</v>
      </c>
      <c r="Q224" s="129">
        <v>216</v>
      </c>
      <c r="R224" s="127" t="s">
        <v>271</v>
      </c>
      <c r="S224" s="129">
        <v>0</v>
      </c>
      <c r="T224" s="129">
        <v>38.11</v>
      </c>
      <c r="U224" s="129">
        <v>0</v>
      </c>
      <c r="V224" s="129" t="b">
        <v>0</v>
      </c>
      <c r="W224" s="129">
        <v>0</v>
      </c>
      <c r="X224" s="129">
        <v>0</v>
      </c>
      <c r="Y224" s="129">
        <v>0</v>
      </c>
      <c r="Z224" s="129"/>
      <c r="AA224" s="129">
        <v>0</v>
      </c>
      <c r="AB224" s="129" t="b">
        <v>0</v>
      </c>
      <c r="AC224" s="127" t="s">
        <v>142</v>
      </c>
      <c r="AD224" s="127" t="s">
        <v>142</v>
      </c>
      <c r="AE224" s="127" t="s">
        <v>142</v>
      </c>
      <c r="AF224" s="129">
        <v>1.08</v>
      </c>
      <c r="AG224" s="129" t="s">
        <v>257</v>
      </c>
      <c r="AH224" s="129"/>
    </row>
    <row r="225" spans="1:34" x14ac:dyDescent="0.2">
      <c r="A225" s="127" t="s">
        <v>23</v>
      </c>
      <c r="B225" s="128">
        <v>37609</v>
      </c>
      <c r="C225" s="127" t="s">
        <v>274</v>
      </c>
      <c r="D225" s="127" t="s">
        <v>271</v>
      </c>
      <c r="E225" s="127" t="s">
        <v>21</v>
      </c>
      <c r="F225" s="129">
        <v>0</v>
      </c>
      <c r="G225" s="129">
        <v>1.1000000000000001</v>
      </c>
      <c r="H225" s="129">
        <v>31</v>
      </c>
      <c r="I225" s="129">
        <v>220</v>
      </c>
      <c r="J225" s="129" t="b">
        <v>0</v>
      </c>
      <c r="K225" s="129" t="b">
        <v>0</v>
      </c>
      <c r="L225" s="129">
        <v>200</v>
      </c>
      <c r="M225" s="129">
        <v>0</v>
      </c>
      <c r="N225" s="129">
        <v>7.1</v>
      </c>
      <c r="O225" s="129">
        <v>0</v>
      </c>
      <c r="P225" s="129">
        <v>0</v>
      </c>
      <c r="Q225" s="129">
        <v>220</v>
      </c>
      <c r="R225" s="127" t="s">
        <v>271</v>
      </c>
      <c r="S225" s="129">
        <v>0</v>
      </c>
      <c r="T225" s="129">
        <v>42.03</v>
      </c>
      <c r="U225" s="129">
        <v>0</v>
      </c>
      <c r="V225" s="129" t="b">
        <v>0</v>
      </c>
      <c r="W225" s="129">
        <v>0</v>
      </c>
      <c r="X225" s="129">
        <v>0</v>
      </c>
      <c r="Y225" s="129">
        <v>0</v>
      </c>
      <c r="Z225" s="129"/>
      <c r="AA225" s="129">
        <v>0</v>
      </c>
      <c r="AB225" s="129" t="b">
        <v>0</v>
      </c>
      <c r="AC225" s="127" t="s">
        <v>142</v>
      </c>
      <c r="AD225" s="127" t="s">
        <v>142</v>
      </c>
      <c r="AE225" s="127" t="s">
        <v>142</v>
      </c>
      <c r="AF225" s="129">
        <v>1.1000000000000001</v>
      </c>
      <c r="AG225" s="129" t="s">
        <v>257</v>
      </c>
      <c r="AH225" s="129"/>
    </row>
    <row r="226" spans="1:34" x14ac:dyDescent="0.2">
      <c r="A226" s="127" t="s">
        <v>23</v>
      </c>
      <c r="B226" s="128">
        <v>37578</v>
      </c>
      <c r="C226" s="127" t="s">
        <v>274</v>
      </c>
      <c r="D226" s="127" t="s">
        <v>271</v>
      </c>
      <c r="E226" s="127" t="s">
        <v>21</v>
      </c>
      <c r="F226" s="129">
        <v>0</v>
      </c>
      <c r="G226" s="129">
        <v>1.0900000000000001</v>
      </c>
      <c r="H226" s="129">
        <v>32</v>
      </c>
      <c r="I226" s="129">
        <v>218</v>
      </c>
      <c r="J226" s="129" t="b">
        <v>0</v>
      </c>
      <c r="K226" s="129" t="b">
        <v>0</v>
      </c>
      <c r="L226" s="129">
        <v>200</v>
      </c>
      <c r="M226" s="129">
        <v>0</v>
      </c>
      <c r="N226" s="129">
        <v>6.81</v>
      </c>
      <c r="O226" s="129">
        <v>0</v>
      </c>
      <c r="P226" s="129">
        <v>0</v>
      </c>
      <c r="Q226" s="129">
        <v>218</v>
      </c>
      <c r="R226" s="127" t="s">
        <v>271</v>
      </c>
      <c r="S226" s="129">
        <v>0</v>
      </c>
      <c r="T226" s="129">
        <v>41.21</v>
      </c>
      <c r="U226" s="129">
        <v>0</v>
      </c>
      <c r="V226" s="129" t="b">
        <v>0</v>
      </c>
      <c r="W226" s="129">
        <v>0</v>
      </c>
      <c r="X226" s="129">
        <v>0</v>
      </c>
      <c r="Y226" s="129">
        <v>0</v>
      </c>
      <c r="Z226" s="129"/>
      <c r="AA226" s="129">
        <v>0</v>
      </c>
      <c r="AB226" s="129" t="b">
        <v>0</v>
      </c>
      <c r="AC226" s="127" t="s">
        <v>142</v>
      </c>
      <c r="AD226" s="127" t="s">
        <v>142</v>
      </c>
      <c r="AE226" s="127" t="s">
        <v>142</v>
      </c>
      <c r="AF226" s="129">
        <v>1.0900000000000001</v>
      </c>
      <c r="AG226" s="129" t="s">
        <v>257</v>
      </c>
      <c r="AH226" s="129"/>
    </row>
    <row r="227" spans="1:34" x14ac:dyDescent="0.2">
      <c r="A227" s="127" t="s">
        <v>23</v>
      </c>
      <c r="B227" s="128">
        <v>37546</v>
      </c>
      <c r="C227" s="127" t="s">
        <v>274</v>
      </c>
      <c r="D227" s="127" t="s">
        <v>271</v>
      </c>
      <c r="E227" s="127" t="s">
        <v>21</v>
      </c>
      <c r="F227" s="129">
        <v>0</v>
      </c>
      <c r="G227" s="129">
        <v>1.29</v>
      </c>
      <c r="H227" s="129">
        <v>27</v>
      </c>
      <c r="I227" s="129">
        <v>258</v>
      </c>
      <c r="J227" s="129" t="b">
        <v>0</v>
      </c>
      <c r="K227" s="129" t="b">
        <v>0</v>
      </c>
      <c r="L227" s="129">
        <v>200</v>
      </c>
      <c r="M227" s="129">
        <v>0</v>
      </c>
      <c r="N227" s="129">
        <v>9.56</v>
      </c>
      <c r="O227" s="129">
        <v>0</v>
      </c>
      <c r="P227" s="129">
        <v>0</v>
      </c>
      <c r="Q227" s="129">
        <v>258</v>
      </c>
      <c r="R227" s="127" t="s">
        <v>271</v>
      </c>
      <c r="S227" s="129">
        <v>0</v>
      </c>
      <c r="T227" s="129">
        <v>53.71</v>
      </c>
      <c r="U227" s="129">
        <v>0</v>
      </c>
      <c r="V227" s="129" t="b">
        <v>0</v>
      </c>
      <c r="W227" s="129">
        <v>0</v>
      </c>
      <c r="X227" s="129">
        <v>0</v>
      </c>
      <c r="Y227" s="129">
        <v>0</v>
      </c>
      <c r="Z227" s="129"/>
      <c r="AA227" s="129">
        <v>0</v>
      </c>
      <c r="AB227" s="129" t="b">
        <v>0</v>
      </c>
      <c r="AC227" s="127" t="s">
        <v>142</v>
      </c>
      <c r="AD227" s="127" t="s">
        <v>142</v>
      </c>
      <c r="AE227" s="127" t="s">
        <v>142</v>
      </c>
      <c r="AF227" s="129">
        <v>1.29</v>
      </c>
      <c r="AG227" s="129" t="s">
        <v>257</v>
      </c>
      <c r="AH227" s="129"/>
    </row>
    <row r="228" spans="1:34" x14ac:dyDescent="0.2">
      <c r="A228" s="127" t="s">
        <v>23</v>
      </c>
      <c r="B228" s="128">
        <v>37519</v>
      </c>
      <c r="C228" s="127" t="s">
        <v>274</v>
      </c>
      <c r="D228" s="127" t="s">
        <v>271</v>
      </c>
      <c r="E228" s="127" t="s">
        <v>21</v>
      </c>
      <c r="F228" s="129">
        <v>0</v>
      </c>
      <c r="G228" s="129">
        <v>1.35</v>
      </c>
      <c r="H228" s="129">
        <v>28</v>
      </c>
      <c r="I228" s="129">
        <v>270</v>
      </c>
      <c r="J228" s="129" t="b">
        <v>0</v>
      </c>
      <c r="K228" s="129" t="b">
        <v>0</v>
      </c>
      <c r="L228" s="129">
        <v>200</v>
      </c>
      <c r="M228" s="129">
        <v>0</v>
      </c>
      <c r="N228" s="129">
        <v>9.64</v>
      </c>
      <c r="O228" s="129">
        <v>0</v>
      </c>
      <c r="P228" s="129">
        <v>0</v>
      </c>
      <c r="Q228" s="129">
        <v>270</v>
      </c>
      <c r="R228" s="127" t="s">
        <v>271</v>
      </c>
      <c r="S228" s="129">
        <v>0</v>
      </c>
      <c r="T228" s="129">
        <v>62.28</v>
      </c>
      <c r="U228" s="129">
        <v>0</v>
      </c>
      <c r="V228" s="129" t="b">
        <v>0</v>
      </c>
      <c r="W228" s="129">
        <v>0</v>
      </c>
      <c r="X228" s="129">
        <v>0</v>
      </c>
      <c r="Y228" s="129">
        <v>0</v>
      </c>
      <c r="Z228" s="129"/>
      <c r="AA228" s="129">
        <v>0</v>
      </c>
      <c r="AB228" s="129" t="b">
        <v>0</v>
      </c>
      <c r="AC228" s="127" t="s">
        <v>142</v>
      </c>
      <c r="AD228" s="127" t="s">
        <v>142</v>
      </c>
      <c r="AE228" s="127" t="s">
        <v>142</v>
      </c>
      <c r="AF228" s="129">
        <v>1.35</v>
      </c>
      <c r="AG228" s="129" t="s">
        <v>257</v>
      </c>
      <c r="AH228" s="129"/>
    </row>
    <row r="229" spans="1:34" x14ac:dyDescent="0.2">
      <c r="A229" s="127" t="s">
        <v>23</v>
      </c>
      <c r="B229" s="128">
        <v>37491</v>
      </c>
      <c r="C229" s="127" t="s">
        <v>274</v>
      </c>
      <c r="D229" s="127" t="s">
        <v>271</v>
      </c>
      <c r="E229" s="127" t="s">
        <v>21</v>
      </c>
      <c r="F229" s="129">
        <v>0</v>
      </c>
      <c r="G229" s="129">
        <v>1.32</v>
      </c>
      <c r="H229" s="129">
        <v>28</v>
      </c>
      <c r="I229" s="129">
        <v>264</v>
      </c>
      <c r="J229" s="129" t="b">
        <v>0</v>
      </c>
      <c r="K229" s="129" t="b">
        <v>0</v>
      </c>
      <c r="L229" s="129">
        <v>200</v>
      </c>
      <c r="M229" s="129">
        <v>0</v>
      </c>
      <c r="N229" s="129">
        <v>9.43</v>
      </c>
      <c r="O229" s="129">
        <v>0</v>
      </c>
      <c r="P229" s="129">
        <v>0</v>
      </c>
      <c r="Q229" s="129">
        <v>264</v>
      </c>
      <c r="R229" s="127" t="s">
        <v>271</v>
      </c>
      <c r="S229" s="129">
        <v>0</v>
      </c>
      <c r="T229" s="129">
        <v>67.64</v>
      </c>
      <c r="U229" s="129">
        <v>0</v>
      </c>
      <c r="V229" s="129" t="b">
        <v>0</v>
      </c>
      <c r="W229" s="129">
        <v>0</v>
      </c>
      <c r="X229" s="129">
        <v>0</v>
      </c>
      <c r="Y229" s="129">
        <v>0</v>
      </c>
      <c r="Z229" s="129"/>
      <c r="AA229" s="129">
        <v>0</v>
      </c>
      <c r="AB229" s="129" t="b">
        <v>0</v>
      </c>
      <c r="AC229" s="127" t="s">
        <v>142</v>
      </c>
      <c r="AD229" s="127" t="s">
        <v>142</v>
      </c>
      <c r="AE229" s="127" t="s">
        <v>142</v>
      </c>
      <c r="AF229" s="129">
        <v>1.32</v>
      </c>
      <c r="AG229" s="129" t="s">
        <v>257</v>
      </c>
      <c r="AH229" s="129"/>
    </row>
    <row r="230" spans="1:34" x14ac:dyDescent="0.2">
      <c r="A230" s="127" t="s">
        <v>23</v>
      </c>
      <c r="B230" s="128">
        <v>37463</v>
      </c>
      <c r="C230" s="127" t="s">
        <v>274</v>
      </c>
      <c r="D230" s="127" t="s">
        <v>271</v>
      </c>
      <c r="E230" s="127" t="s">
        <v>21</v>
      </c>
      <c r="F230" s="129">
        <v>0</v>
      </c>
      <c r="G230" s="129">
        <v>1.35</v>
      </c>
      <c r="H230" s="129">
        <v>30</v>
      </c>
      <c r="I230" s="129">
        <v>270</v>
      </c>
      <c r="J230" s="129" t="b">
        <v>0</v>
      </c>
      <c r="K230" s="129" t="b">
        <v>0</v>
      </c>
      <c r="L230" s="129">
        <v>200</v>
      </c>
      <c r="M230" s="129">
        <v>0</v>
      </c>
      <c r="N230" s="129">
        <v>9</v>
      </c>
      <c r="O230" s="129">
        <v>0</v>
      </c>
      <c r="P230" s="129">
        <v>0</v>
      </c>
      <c r="Q230" s="129">
        <v>270</v>
      </c>
      <c r="R230" s="127" t="s">
        <v>271</v>
      </c>
      <c r="S230" s="129">
        <v>0</v>
      </c>
      <c r="T230" s="129">
        <v>62.86</v>
      </c>
      <c r="U230" s="129">
        <v>0</v>
      </c>
      <c r="V230" s="129" t="b">
        <v>0</v>
      </c>
      <c r="W230" s="129">
        <v>0</v>
      </c>
      <c r="X230" s="129">
        <v>0</v>
      </c>
      <c r="Y230" s="129">
        <v>0</v>
      </c>
      <c r="Z230" s="129"/>
      <c r="AA230" s="129">
        <v>0</v>
      </c>
      <c r="AB230" s="129" t="b">
        <v>0</v>
      </c>
      <c r="AC230" s="127" t="s">
        <v>142</v>
      </c>
      <c r="AD230" s="127" t="s">
        <v>142</v>
      </c>
      <c r="AE230" s="127" t="s">
        <v>142</v>
      </c>
      <c r="AF230" s="129">
        <v>1.35</v>
      </c>
      <c r="AG230" s="129" t="s">
        <v>257</v>
      </c>
      <c r="AH230" s="129"/>
    </row>
    <row r="231" spans="1:34" x14ac:dyDescent="0.2">
      <c r="A231" s="127" t="s">
        <v>23</v>
      </c>
      <c r="B231" s="128">
        <v>37433</v>
      </c>
      <c r="C231" s="127" t="s">
        <v>274</v>
      </c>
      <c r="D231" s="127" t="s">
        <v>271</v>
      </c>
      <c r="E231" s="127" t="s">
        <v>21</v>
      </c>
      <c r="F231" s="129">
        <v>0</v>
      </c>
      <c r="G231" s="129">
        <v>1.38</v>
      </c>
      <c r="H231" s="129">
        <v>33</v>
      </c>
      <c r="I231" s="129">
        <v>276</v>
      </c>
      <c r="J231" s="129" t="b">
        <v>0</v>
      </c>
      <c r="K231" s="129" t="b">
        <v>0</v>
      </c>
      <c r="L231" s="129">
        <v>200</v>
      </c>
      <c r="M231" s="129">
        <v>0</v>
      </c>
      <c r="N231" s="129">
        <v>8.36</v>
      </c>
      <c r="O231" s="129">
        <v>0</v>
      </c>
      <c r="P231" s="129">
        <v>0</v>
      </c>
      <c r="Q231" s="129">
        <v>276</v>
      </c>
      <c r="R231" s="127" t="s">
        <v>271</v>
      </c>
      <c r="S231" s="129">
        <v>0</v>
      </c>
      <c r="T231" s="129">
        <v>41.45</v>
      </c>
      <c r="U231" s="129">
        <v>0</v>
      </c>
      <c r="V231" s="129" t="b">
        <v>0</v>
      </c>
      <c r="W231" s="129">
        <v>0</v>
      </c>
      <c r="X231" s="129">
        <v>0</v>
      </c>
      <c r="Y231" s="129">
        <v>0</v>
      </c>
      <c r="Z231" s="129"/>
      <c r="AA231" s="129">
        <v>0</v>
      </c>
      <c r="AB231" s="129" t="b">
        <v>0</v>
      </c>
      <c r="AC231" s="127" t="s">
        <v>142</v>
      </c>
      <c r="AD231" s="127" t="s">
        <v>142</v>
      </c>
      <c r="AE231" s="127" t="s">
        <v>142</v>
      </c>
      <c r="AF231" s="129">
        <v>1.38</v>
      </c>
      <c r="AG231" s="129" t="s">
        <v>257</v>
      </c>
      <c r="AH231" s="129"/>
    </row>
    <row r="232" spans="1:34" x14ac:dyDescent="0.2">
      <c r="A232" s="127" t="s">
        <v>23</v>
      </c>
      <c r="B232" s="128">
        <v>37400</v>
      </c>
      <c r="C232" s="127" t="s">
        <v>274</v>
      </c>
      <c r="D232" s="127" t="s">
        <v>271</v>
      </c>
      <c r="E232" s="127" t="s">
        <v>21</v>
      </c>
      <c r="F232" s="129">
        <v>0</v>
      </c>
      <c r="G232" s="129">
        <v>1.3</v>
      </c>
      <c r="H232" s="129">
        <v>30</v>
      </c>
      <c r="I232" s="129">
        <v>260</v>
      </c>
      <c r="J232" s="129" t="b">
        <v>0</v>
      </c>
      <c r="K232" s="129" t="b">
        <v>0</v>
      </c>
      <c r="L232" s="129">
        <v>200</v>
      </c>
      <c r="M232" s="129">
        <v>0</v>
      </c>
      <c r="N232" s="129">
        <v>8.67</v>
      </c>
      <c r="O232" s="129">
        <v>0</v>
      </c>
      <c r="P232" s="129">
        <v>0</v>
      </c>
      <c r="Q232" s="129">
        <v>260</v>
      </c>
      <c r="R232" s="127" t="s">
        <v>271</v>
      </c>
      <c r="S232" s="129">
        <v>0</v>
      </c>
      <c r="T232" s="129">
        <v>44.34</v>
      </c>
      <c r="U232" s="129">
        <v>0</v>
      </c>
      <c r="V232" s="129" t="b">
        <v>0</v>
      </c>
      <c r="W232" s="129">
        <v>0</v>
      </c>
      <c r="X232" s="129">
        <v>0</v>
      </c>
      <c r="Y232" s="129">
        <v>0</v>
      </c>
      <c r="Z232" s="129"/>
      <c r="AA232" s="129">
        <v>0</v>
      </c>
      <c r="AB232" s="129" t="b">
        <v>0</v>
      </c>
      <c r="AC232" s="127" t="s">
        <v>142</v>
      </c>
      <c r="AD232" s="127" t="s">
        <v>142</v>
      </c>
      <c r="AE232" s="127" t="s">
        <v>142</v>
      </c>
      <c r="AF232" s="129">
        <v>1.3</v>
      </c>
      <c r="AG232" s="129" t="s">
        <v>257</v>
      </c>
      <c r="AH232" s="129"/>
    </row>
    <row r="233" spans="1:34" x14ac:dyDescent="0.2">
      <c r="A233" s="127" t="s">
        <v>23</v>
      </c>
      <c r="B233" s="128">
        <v>37370</v>
      </c>
      <c r="C233" s="127" t="s">
        <v>274</v>
      </c>
      <c r="D233" s="127" t="s">
        <v>271</v>
      </c>
      <c r="E233" s="127" t="s">
        <v>21</v>
      </c>
      <c r="F233" s="129">
        <v>0</v>
      </c>
      <c r="G233" s="129">
        <v>1.35</v>
      </c>
      <c r="H233" s="129">
        <v>30</v>
      </c>
      <c r="I233" s="129">
        <v>270</v>
      </c>
      <c r="J233" s="129" t="b">
        <v>0</v>
      </c>
      <c r="K233" s="129" t="b">
        <v>0</v>
      </c>
      <c r="L233" s="129">
        <v>200</v>
      </c>
      <c r="M233" s="129">
        <v>0</v>
      </c>
      <c r="N233" s="129">
        <v>9</v>
      </c>
      <c r="O233" s="129">
        <v>0</v>
      </c>
      <c r="P233" s="129">
        <v>0</v>
      </c>
      <c r="Q233" s="129">
        <v>270</v>
      </c>
      <c r="R233" s="127" t="s">
        <v>271</v>
      </c>
      <c r="S233" s="129">
        <v>0</v>
      </c>
      <c r="T233" s="129">
        <v>41.67</v>
      </c>
      <c r="U233" s="129">
        <v>0</v>
      </c>
      <c r="V233" s="129" t="b">
        <v>0</v>
      </c>
      <c r="W233" s="129">
        <v>0</v>
      </c>
      <c r="X233" s="129">
        <v>0</v>
      </c>
      <c r="Y233" s="129">
        <v>0</v>
      </c>
      <c r="Z233" s="129"/>
      <c r="AA233" s="129">
        <v>0</v>
      </c>
      <c r="AB233" s="129" t="b">
        <v>0</v>
      </c>
      <c r="AC233" s="127" t="s">
        <v>142</v>
      </c>
      <c r="AD233" s="127" t="s">
        <v>142</v>
      </c>
      <c r="AE233" s="127" t="s">
        <v>142</v>
      </c>
      <c r="AF233" s="129">
        <v>1.35</v>
      </c>
      <c r="AG233" s="129" t="s">
        <v>257</v>
      </c>
      <c r="AH233" s="129"/>
    </row>
    <row r="234" spans="1:34" x14ac:dyDescent="0.2">
      <c r="A234" s="127" t="s">
        <v>23</v>
      </c>
      <c r="B234" s="128">
        <v>37340</v>
      </c>
      <c r="C234" s="127" t="s">
        <v>274</v>
      </c>
      <c r="D234" s="127" t="s">
        <v>271</v>
      </c>
      <c r="E234" s="127" t="s">
        <v>21</v>
      </c>
      <c r="F234" s="129">
        <v>0</v>
      </c>
      <c r="G234" s="129">
        <v>1.23</v>
      </c>
      <c r="H234" s="129">
        <v>28</v>
      </c>
      <c r="I234" s="129">
        <v>246</v>
      </c>
      <c r="J234" s="129" t="b">
        <v>0</v>
      </c>
      <c r="K234" s="129" t="b">
        <v>0</v>
      </c>
      <c r="L234" s="129">
        <v>200</v>
      </c>
      <c r="M234" s="129">
        <v>0</v>
      </c>
      <c r="N234" s="129">
        <v>8.7899999999999991</v>
      </c>
      <c r="O234" s="129">
        <v>0</v>
      </c>
      <c r="P234" s="129">
        <v>0</v>
      </c>
      <c r="Q234" s="129">
        <v>246</v>
      </c>
      <c r="R234" s="127" t="s">
        <v>271</v>
      </c>
      <c r="S234" s="129">
        <v>0</v>
      </c>
      <c r="T234" s="129">
        <v>41.5</v>
      </c>
      <c r="U234" s="129">
        <v>0</v>
      </c>
      <c r="V234" s="129" t="b">
        <v>0</v>
      </c>
      <c r="W234" s="129">
        <v>0</v>
      </c>
      <c r="X234" s="129">
        <v>0</v>
      </c>
      <c r="Y234" s="129">
        <v>0</v>
      </c>
      <c r="Z234" s="129"/>
      <c r="AA234" s="129">
        <v>0</v>
      </c>
      <c r="AB234" s="129" t="b">
        <v>0</v>
      </c>
      <c r="AC234" s="127" t="s">
        <v>142</v>
      </c>
      <c r="AD234" s="127" t="s">
        <v>142</v>
      </c>
      <c r="AE234" s="127" t="s">
        <v>142</v>
      </c>
      <c r="AF234" s="129">
        <v>1.23</v>
      </c>
      <c r="AG234" s="129" t="s">
        <v>257</v>
      </c>
      <c r="AH234" s="129"/>
    </row>
    <row r="235" spans="1:34" x14ac:dyDescent="0.2">
      <c r="A235" s="127" t="s">
        <v>23</v>
      </c>
      <c r="B235" s="128">
        <v>37312</v>
      </c>
      <c r="C235" s="127" t="s">
        <v>274</v>
      </c>
      <c r="D235" s="127" t="s">
        <v>271</v>
      </c>
      <c r="E235" s="127" t="s">
        <v>21</v>
      </c>
      <c r="F235" s="129">
        <v>0</v>
      </c>
      <c r="G235" s="129">
        <v>1.3</v>
      </c>
      <c r="H235" s="129">
        <v>31</v>
      </c>
      <c r="I235" s="129">
        <v>260</v>
      </c>
      <c r="J235" s="129" t="b">
        <v>0</v>
      </c>
      <c r="K235" s="129" t="b">
        <v>0</v>
      </c>
      <c r="L235" s="129">
        <v>200</v>
      </c>
      <c r="M235" s="129">
        <v>0</v>
      </c>
      <c r="N235" s="129">
        <v>8.39</v>
      </c>
      <c r="O235" s="129">
        <v>0</v>
      </c>
      <c r="P235" s="129">
        <v>0</v>
      </c>
      <c r="Q235" s="129">
        <v>260</v>
      </c>
      <c r="R235" s="127" t="s">
        <v>271</v>
      </c>
      <c r="S235" s="129">
        <v>0</v>
      </c>
      <c r="T235" s="129">
        <v>38.979999999999997</v>
      </c>
      <c r="U235" s="129">
        <v>0</v>
      </c>
      <c r="V235" s="129" t="b">
        <v>0</v>
      </c>
      <c r="W235" s="129">
        <v>0</v>
      </c>
      <c r="X235" s="129">
        <v>0</v>
      </c>
      <c r="Y235" s="129">
        <v>0</v>
      </c>
      <c r="Z235" s="129"/>
      <c r="AA235" s="129">
        <v>0</v>
      </c>
      <c r="AB235" s="129" t="b">
        <v>0</v>
      </c>
      <c r="AC235" s="127" t="s">
        <v>142</v>
      </c>
      <c r="AD235" s="127" t="s">
        <v>142</v>
      </c>
      <c r="AE235" s="127" t="s">
        <v>142</v>
      </c>
      <c r="AF235" s="129">
        <v>1.3</v>
      </c>
      <c r="AG235" s="129" t="s">
        <v>257</v>
      </c>
      <c r="AH235" s="129"/>
    </row>
    <row r="236" spans="1:34" x14ac:dyDescent="0.2">
      <c r="A236" s="127" t="s">
        <v>135</v>
      </c>
      <c r="B236" s="128">
        <v>43985.788865740738</v>
      </c>
      <c r="C236" s="127" t="s">
        <v>270</v>
      </c>
      <c r="D236" s="127" t="s">
        <v>135</v>
      </c>
      <c r="E236" s="127" t="s">
        <v>21</v>
      </c>
      <c r="F236" s="129">
        <v>4709</v>
      </c>
      <c r="G236" s="129">
        <v>4891</v>
      </c>
      <c r="H236" s="129">
        <v>31</v>
      </c>
      <c r="I236" s="129">
        <v>36400</v>
      </c>
      <c r="J236" s="129" t="b">
        <v>0</v>
      </c>
      <c r="K236" s="129" t="b">
        <v>0</v>
      </c>
      <c r="L236" s="129">
        <v>200</v>
      </c>
      <c r="M236" s="129">
        <v>0</v>
      </c>
      <c r="N236" s="129">
        <v>1174.19</v>
      </c>
      <c r="O236" s="129">
        <v>0</v>
      </c>
      <c r="P236" s="129">
        <v>0</v>
      </c>
      <c r="Q236" s="129">
        <v>36400</v>
      </c>
      <c r="R236" s="127" t="s">
        <v>136</v>
      </c>
      <c r="S236" s="129">
        <v>0</v>
      </c>
      <c r="T236" s="129">
        <v>0</v>
      </c>
      <c r="U236" s="129">
        <v>0</v>
      </c>
      <c r="V236" s="129" t="b">
        <v>0</v>
      </c>
      <c r="W236" s="129">
        <v>106669593</v>
      </c>
      <c r="X236" s="129">
        <v>0</v>
      </c>
      <c r="Y236" s="129">
        <v>0</v>
      </c>
      <c r="Z236" s="129"/>
      <c r="AA236" s="129">
        <v>0</v>
      </c>
      <c r="AB236" s="129" t="b">
        <v>0</v>
      </c>
      <c r="AC236" s="127" t="s">
        <v>142</v>
      </c>
      <c r="AD236" s="127" t="s">
        <v>142</v>
      </c>
      <c r="AE236" s="127" t="s">
        <v>142</v>
      </c>
      <c r="AF236" s="129">
        <v>182</v>
      </c>
      <c r="AG236" s="144">
        <v>43992</v>
      </c>
      <c r="AH236" s="129"/>
    </row>
    <row r="237" spans="1:34" x14ac:dyDescent="0.2">
      <c r="A237" s="127" t="s">
        <v>135</v>
      </c>
      <c r="B237" s="128">
        <v>43954.79010416667</v>
      </c>
      <c r="C237" s="127" t="s">
        <v>270</v>
      </c>
      <c r="D237" s="127" t="s">
        <v>135</v>
      </c>
      <c r="E237" s="127" t="s">
        <v>21</v>
      </c>
      <c r="F237" s="129">
        <v>4550</v>
      </c>
      <c r="G237" s="129">
        <v>4709</v>
      </c>
      <c r="H237" s="129">
        <v>28</v>
      </c>
      <c r="I237" s="129">
        <v>31800</v>
      </c>
      <c r="J237" s="129" t="b">
        <v>0</v>
      </c>
      <c r="K237" s="129" t="b">
        <v>0</v>
      </c>
      <c r="L237" s="129">
        <v>200</v>
      </c>
      <c r="M237" s="129">
        <v>0</v>
      </c>
      <c r="N237" s="129">
        <v>1135.71</v>
      </c>
      <c r="O237" s="129">
        <v>0</v>
      </c>
      <c r="P237" s="129">
        <v>0</v>
      </c>
      <c r="Q237" s="129">
        <v>31800</v>
      </c>
      <c r="R237" s="127" t="s">
        <v>136</v>
      </c>
      <c r="S237" s="129">
        <v>0</v>
      </c>
      <c r="T237" s="129">
        <v>0</v>
      </c>
      <c r="U237" s="129">
        <v>0</v>
      </c>
      <c r="V237" s="129" t="b">
        <v>0</v>
      </c>
      <c r="W237" s="129">
        <v>106593249</v>
      </c>
      <c r="X237" s="129">
        <v>0</v>
      </c>
      <c r="Y237" s="129">
        <v>0</v>
      </c>
      <c r="Z237" s="129"/>
      <c r="AA237" s="129">
        <v>0</v>
      </c>
      <c r="AB237" s="129" t="b">
        <v>0</v>
      </c>
      <c r="AC237" s="127" t="s">
        <v>142</v>
      </c>
      <c r="AD237" s="127" t="s">
        <v>142</v>
      </c>
      <c r="AE237" s="127" t="s">
        <v>142</v>
      </c>
      <c r="AF237" s="129">
        <v>159</v>
      </c>
      <c r="AG237" s="144">
        <v>43962</v>
      </c>
      <c r="AH237" s="129"/>
    </row>
    <row r="238" spans="1:34" x14ac:dyDescent="0.2">
      <c r="A238" s="127" t="s">
        <v>135</v>
      </c>
      <c r="B238" s="128">
        <v>43926.789918981478</v>
      </c>
      <c r="C238" s="127" t="s">
        <v>270</v>
      </c>
      <c r="D238" s="127" t="s">
        <v>135</v>
      </c>
      <c r="E238" s="127" t="s">
        <v>21</v>
      </c>
      <c r="F238" s="129">
        <v>4372</v>
      </c>
      <c r="G238" s="129">
        <v>4550</v>
      </c>
      <c r="H238" s="129">
        <v>32</v>
      </c>
      <c r="I238" s="129">
        <v>35600</v>
      </c>
      <c r="J238" s="129" t="b">
        <v>0</v>
      </c>
      <c r="K238" s="129" t="b">
        <v>0</v>
      </c>
      <c r="L238" s="129">
        <v>200</v>
      </c>
      <c r="M238" s="129">
        <v>0</v>
      </c>
      <c r="N238" s="129">
        <v>1112.5</v>
      </c>
      <c r="O238" s="129">
        <v>0</v>
      </c>
      <c r="P238" s="129">
        <v>0</v>
      </c>
      <c r="Q238" s="129">
        <v>35600</v>
      </c>
      <c r="R238" s="127" t="s">
        <v>136</v>
      </c>
      <c r="S238" s="129">
        <v>0</v>
      </c>
      <c r="T238" s="129">
        <v>0</v>
      </c>
      <c r="U238" s="129">
        <v>0</v>
      </c>
      <c r="V238" s="129" t="b">
        <v>0</v>
      </c>
      <c r="W238" s="129">
        <v>106511215</v>
      </c>
      <c r="X238" s="129">
        <v>0</v>
      </c>
      <c r="Y238" s="129">
        <v>0</v>
      </c>
      <c r="Z238" s="129"/>
      <c r="AA238" s="129">
        <v>0</v>
      </c>
      <c r="AB238" s="129" t="b">
        <v>0</v>
      </c>
      <c r="AC238" s="127" t="s">
        <v>142</v>
      </c>
      <c r="AD238" s="127" t="s">
        <v>142</v>
      </c>
      <c r="AE238" s="127" t="s">
        <v>142</v>
      </c>
      <c r="AF238" s="129">
        <v>178</v>
      </c>
      <c r="AG238" s="144">
        <v>43930</v>
      </c>
      <c r="AH238" s="129"/>
    </row>
    <row r="239" spans="1:34" x14ac:dyDescent="0.2">
      <c r="A239" s="127" t="s">
        <v>135</v>
      </c>
      <c r="B239" s="128">
        <v>43894.749247685184</v>
      </c>
      <c r="C239" s="127" t="s">
        <v>270</v>
      </c>
      <c r="D239" s="127" t="s">
        <v>135</v>
      </c>
      <c r="E239" s="127" t="s">
        <v>21</v>
      </c>
      <c r="F239" s="129">
        <v>4185</v>
      </c>
      <c r="G239" s="129">
        <v>4372</v>
      </c>
      <c r="H239" s="129">
        <v>29</v>
      </c>
      <c r="I239" s="129">
        <v>37400</v>
      </c>
      <c r="J239" s="129" t="b">
        <v>0</v>
      </c>
      <c r="K239" s="129" t="b">
        <v>0</v>
      </c>
      <c r="L239" s="129">
        <v>200</v>
      </c>
      <c r="M239" s="129">
        <v>0</v>
      </c>
      <c r="N239" s="129">
        <v>1289.6600000000001</v>
      </c>
      <c r="O239" s="129">
        <v>0</v>
      </c>
      <c r="P239" s="129">
        <v>0</v>
      </c>
      <c r="Q239" s="129">
        <v>37400</v>
      </c>
      <c r="R239" s="127" t="s">
        <v>136</v>
      </c>
      <c r="S239" s="129">
        <v>0</v>
      </c>
      <c r="T239" s="129">
        <v>0</v>
      </c>
      <c r="U239" s="129">
        <v>0</v>
      </c>
      <c r="V239" s="129" t="b">
        <v>0</v>
      </c>
      <c r="W239" s="129">
        <v>106434829</v>
      </c>
      <c r="X239" s="129">
        <v>0</v>
      </c>
      <c r="Y239" s="129">
        <v>0</v>
      </c>
      <c r="Z239" s="129"/>
      <c r="AA239" s="129">
        <v>0</v>
      </c>
      <c r="AB239" s="129" t="b">
        <v>0</v>
      </c>
      <c r="AC239" s="127" t="s">
        <v>142</v>
      </c>
      <c r="AD239" s="127" t="s">
        <v>142</v>
      </c>
      <c r="AE239" s="127" t="s">
        <v>142</v>
      </c>
      <c r="AF239" s="129">
        <v>187</v>
      </c>
      <c r="AG239" s="144">
        <v>43901</v>
      </c>
      <c r="AH239" s="129"/>
    </row>
    <row r="240" spans="1:34" x14ac:dyDescent="0.2">
      <c r="A240" s="127" t="s">
        <v>135</v>
      </c>
      <c r="B240" s="128">
        <v>43865.298263888886</v>
      </c>
      <c r="C240" s="127" t="s">
        <v>270</v>
      </c>
      <c r="D240" s="127" t="s">
        <v>135</v>
      </c>
      <c r="E240" s="127" t="s">
        <v>21</v>
      </c>
      <c r="F240" s="129">
        <v>4001</v>
      </c>
      <c r="G240" s="129">
        <v>4185</v>
      </c>
      <c r="H240" s="129">
        <v>28</v>
      </c>
      <c r="I240" s="129">
        <v>36800</v>
      </c>
      <c r="J240" s="129" t="b">
        <v>0</v>
      </c>
      <c r="K240" s="129" t="b">
        <v>0</v>
      </c>
      <c r="L240" s="129">
        <v>200</v>
      </c>
      <c r="M240" s="129">
        <v>0</v>
      </c>
      <c r="N240" s="129">
        <v>1314.29</v>
      </c>
      <c r="O240" s="129">
        <v>0</v>
      </c>
      <c r="P240" s="129">
        <v>0</v>
      </c>
      <c r="Q240" s="129">
        <v>36800</v>
      </c>
      <c r="R240" s="127" t="s">
        <v>136</v>
      </c>
      <c r="S240" s="129">
        <v>0</v>
      </c>
      <c r="T240" s="129">
        <v>0</v>
      </c>
      <c r="U240" s="129">
        <v>0</v>
      </c>
      <c r="V240" s="129" t="b">
        <v>0</v>
      </c>
      <c r="W240" s="129">
        <v>106354313</v>
      </c>
      <c r="X240" s="129">
        <v>0</v>
      </c>
      <c r="Y240" s="129">
        <v>0</v>
      </c>
      <c r="Z240" s="127" t="s">
        <v>246</v>
      </c>
      <c r="AA240" s="129">
        <v>0</v>
      </c>
      <c r="AB240" s="129" t="b">
        <v>0</v>
      </c>
      <c r="AC240" s="127" t="s">
        <v>142</v>
      </c>
      <c r="AD240" s="127" t="s">
        <v>142</v>
      </c>
      <c r="AE240" s="127" t="s">
        <v>142</v>
      </c>
      <c r="AF240" s="129">
        <v>184</v>
      </c>
      <c r="AG240" s="144">
        <v>43871</v>
      </c>
      <c r="AH240" s="129"/>
    </row>
    <row r="241" spans="1:34" x14ac:dyDescent="0.2">
      <c r="A241" s="127" t="s">
        <v>135</v>
      </c>
      <c r="B241" s="128">
        <v>43837.478750000002</v>
      </c>
      <c r="C241" s="127" t="s">
        <v>270</v>
      </c>
      <c r="D241" s="127" t="s">
        <v>135</v>
      </c>
      <c r="E241" s="127" t="s">
        <v>21</v>
      </c>
      <c r="F241" s="129">
        <v>3821</v>
      </c>
      <c r="G241" s="129">
        <v>4001</v>
      </c>
      <c r="H241" s="129">
        <v>32</v>
      </c>
      <c r="I241" s="129">
        <v>36000</v>
      </c>
      <c r="J241" s="129" t="b">
        <v>0</v>
      </c>
      <c r="K241" s="129" t="b">
        <v>0</v>
      </c>
      <c r="L241" s="129">
        <v>200</v>
      </c>
      <c r="M241" s="129">
        <v>0</v>
      </c>
      <c r="N241" s="129">
        <v>1125</v>
      </c>
      <c r="O241" s="129">
        <v>0</v>
      </c>
      <c r="P241" s="129">
        <v>0</v>
      </c>
      <c r="Q241" s="129">
        <v>36000</v>
      </c>
      <c r="R241" s="127" t="s">
        <v>136</v>
      </c>
      <c r="S241" s="129">
        <v>0</v>
      </c>
      <c r="T241" s="129">
        <v>0</v>
      </c>
      <c r="U241" s="129">
        <v>0</v>
      </c>
      <c r="V241" s="129" t="b">
        <v>0</v>
      </c>
      <c r="W241" s="129">
        <v>106267526</v>
      </c>
      <c r="X241" s="129">
        <v>0</v>
      </c>
      <c r="Y241" s="129">
        <v>0</v>
      </c>
      <c r="Z241" s="127" t="s">
        <v>246</v>
      </c>
      <c r="AA241" s="129">
        <v>0</v>
      </c>
      <c r="AB241" s="129" t="b">
        <v>0</v>
      </c>
      <c r="AC241" s="127" t="s">
        <v>142</v>
      </c>
      <c r="AD241" s="127" t="s">
        <v>142</v>
      </c>
      <c r="AE241" s="127" t="s">
        <v>142</v>
      </c>
      <c r="AF241" s="129">
        <v>180</v>
      </c>
      <c r="AG241" s="144">
        <v>43840</v>
      </c>
      <c r="AH241" s="129"/>
    </row>
    <row r="242" spans="1:34" x14ac:dyDescent="0.2">
      <c r="A242" s="127" t="s">
        <v>135</v>
      </c>
      <c r="B242" s="128">
        <v>43805.304722222223</v>
      </c>
      <c r="C242" s="127" t="s">
        <v>270</v>
      </c>
      <c r="D242" s="127" t="s">
        <v>135</v>
      </c>
      <c r="E242" s="127" t="s">
        <v>21</v>
      </c>
      <c r="F242" s="129">
        <v>3649</v>
      </c>
      <c r="G242" s="129">
        <v>3821</v>
      </c>
      <c r="H242" s="129">
        <v>30</v>
      </c>
      <c r="I242" s="129">
        <v>34400</v>
      </c>
      <c r="J242" s="129" t="b">
        <v>0</v>
      </c>
      <c r="K242" s="129" t="b">
        <v>0</v>
      </c>
      <c r="L242" s="129">
        <v>200</v>
      </c>
      <c r="M242" s="129">
        <v>0</v>
      </c>
      <c r="N242" s="129">
        <v>1146.67</v>
      </c>
      <c r="O242" s="129">
        <v>0</v>
      </c>
      <c r="P242" s="129">
        <v>0</v>
      </c>
      <c r="Q242" s="129">
        <v>34400</v>
      </c>
      <c r="R242" s="127" t="s">
        <v>136</v>
      </c>
      <c r="S242" s="129">
        <v>0</v>
      </c>
      <c r="T242" s="129">
        <v>0</v>
      </c>
      <c r="U242" s="129">
        <v>0</v>
      </c>
      <c r="V242" s="129" t="b">
        <v>0</v>
      </c>
      <c r="W242" s="129">
        <v>106189931</v>
      </c>
      <c r="X242" s="129">
        <v>0</v>
      </c>
      <c r="Y242" s="129">
        <v>0</v>
      </c>
      <c r="Z242" s="127" t="s">
        <v>246</v>
      </c>
      <c r="AA242" s="129">
        <v>0</v>
      </c>
      <c r="AB242" s="129" t="b">
        <v>0</v>
      </c>
      <c r="AC242" s="127" t="s">
        <v>142</v>
      </c>
      <c r="AD242" s="127" t="s">
        <v>142</v>
      </c>
      <c r="AE242" s="127" t="s">
        <v>142</v>
      </c>
      <c r="AF242" s="129">
        <v>172</v>
      </c>
      <c r="AG242" s="144">
        <v>43810</v>
      </c>
      <c r="AH242" s="129"/>
    </row>
    <row r="243" spans="1:34" x14ac:dyDescent="0.2">
      <c r="A243" s="127" t="s">
        <v>135</v>
      </c>
      <c r="B243" s="128">
        <v>43775.299085648148</v>
      </c>
      <c r="C243" s="127" t="s">
        <v>270</v>
      </c>
      <c r="D243" s="127" t="s">
        <v>135</v>
      </c>
      <c r="E243" s="127" t="s">
        <v>21</v>
      </c>
      <c r="F243" s="129">
        <v>3463</v>
      </c>
      <c r="G243" s="129">
        <v>3649</v>
      </c>
      <c r="H243" s="129">
        <v>29</v>
      </c>
      <c r="I243" s="129">
        <v>37200</v>
      </c>
      <c r="J243" s="129" t="b">
        <v>0</v>
      </c>
      <c r="K243" s="129" t="b">
        <v>0</v>
      </c>
      <c r="L243" s="129">
        <v>200</v>
      </c>
      <c r="M243" s="129">
        <v>0</v>
      </c>
      <c r="N243" s="129">
        <v>1282.76</v>
      </c>
      <c r="O243" s="129">
        <v>0</v>
      </c>
      <c r="P243" s="129">
        <v>0</v>
      </c>
      <c r="Q243" s="129">
        <v>37200</v>
      </c>
      <c r="R243" s="127" t="s">
        <v>136</v>
      </c>
      <c r="S243" s="129">
        <v>0</v>
      </c>
      <c r="T243" s="129">
        <v>0</v>
      </c>
      <c r="U243" s="129">
        <v>0</v>
      </c>
      <c r="V243" s="129" t="b">
        <v>0</v>
      </c>
      <c r="W243" s="129">
        <v>106112680</v>
      </c>
      <c r="X243" s="129">
        <v>0</v>
      </c>
      <c r="Y243" s="129">
        <v>0</v>
      </c>
      <c r="Z243" s="127" t="s">
        <v>246</v>
      </c>
      <c r="AA243" s="129">
        <v>0</v>
      </c>
      <c r="AB243" s="129" t="b">
        <v>0</v>
      </c>
      <c r="AC243" s="127" t="s">
        <v>142</v>
      </c>
      <c r="AD243" s="127" t="s">
        <v>142</v>
      </c>
      <c r="AE243" s="127" t="s">
        <v>142</v>
      </c>
      <c r="AF243" s="129">
        <v>186</v>
      </c>
      <c r="AG243" s="144">
        <v>43781</v>
      </c>
      <c r="AH243" s="129"/>
    </row>
    <row r="244" spans="1:34" x14ac:dyDescent="0.2">
      <c r="A244" s="127" t="s">
        <v>135</v>
      </c>
      <c r="B244" s="128">
        <v>43746.30028935185</v>
      </c>
      <c r="C244" s="127" t="s">
        <v>270</v>
      </c>
      <c r="D244" s="127" t="s">
        <v>135</v>
      </c>
      <c r="E244" s="127" t="s">
        <v>21</v>
      </c>
      <c r="F244" s="129">
        <v>3233</v>
      </c>
      <c r="G244" s="129">
        <v>3463</v>
      </c>
      <c r="H244" s="129">
        <v>33</v>
      </c>
      <c r="I244" s="129">
        <v>46000</v>
      </c>
      <c r="J244" s="129" t="b">
        <v>0</v>
      </c>
      <c r="K244" s="129" t="b">
        <v>0</v>
      </c>
      <c r="L244" s="129">
        <v>200</v>
      </c>
      <c r="M244" s="129">
        <v>0</v>
      </c>
      <c r="N244" s="129">
        <v>1393.94</v>
      </c>
      <c r="O244" s="129">
        <v>0</v>
      </c>
      <c r="P244" s="129">
        <v>0</v>
      </c>
      <c r="Q244" s="129">
        <v>46000</v>
      </c>
      <c r="R244" s="127" t="s">
        <v>136</v>
      </c>
      <c r="S244" s="129">
        <v>0</v>
      </c>
      <c r="T244" s="129">
        <v>0</v>
      </c>
      <c r="U244" s="129">
        <v>0</v>
      </c>
      <c r="V244" s="129" t="b">
        <v>0</v>
      </c>
      <c r="W244" s="129">
        <v>106036296</v>
      </c>
      <c r="X244" s="129">
        <v>0</v>
      </c>
      <c r="Y244" s="129">
        <v>0</v>
      </c>
      <c r="Z244" s="127" t="s">
        <v>246</v>
      </c>
      <c r="AA244" s="129">
        <v>0</v>
      </c>
      <c r="AB244" s="129" t="b">
        <v>0</v>
      </c>
      <c r="AC244" s="127" t="s">
        <v>142</v>
      </c>
      <c r="AD244" s="127" t="s">
        <v>142</v>
      </c>
      <c r="AE244" s="127" t="s">
        <v>142</v>
      </c>
      <c r="AF244" s="129">
        <v>230</v>
      </c>
      <c r="AG244" s="144">
        <v>43749</v>
      </c>
      <c r="AH244" s="129"/>
    </row>
    <row r="245" spans="1:34" x14ac:dyDescent="0.2">
      <c r="A245" s="127" t="s">
        <v>135</v>
      </c>
      <c r="B245" s="128">
        <v>43713.602627314816</v>
      </c>
      <c r="C245" s="127" t="s">
        <v>270</v>
      </c>
      <c r="D245" s="127" t="s">
        <v>135</v>
      </c>
      <c r="E245" s="127" t="s">
        <v>21</v>
      </c>
      <c r="F245" s="129">
        <v>3004</v>
      </c>
      <c r="G245" s="129">
        <v>3233</v>
      </c>
      <c r="H245" s="129">
        <v>31</v>
      </c>
      <c r="I245" s="129">
        <v>45800</v>
      </c>
      <c r="J245" s="129" t="b">
        <v>0</v>
      </c>
      <c r="K245" s="129" t="b">
        <v>0</v>
      </c>
      <c r="L245" s="129">
        <v>200</v>
      </c>
      <c r="M245" s="129">
        <v>0</v>
      </c>
      <c r="N245" s="129">
        <v>1477.42</v>
      </c>
      <c r="O245" s="129">
        <v>0</v>
      </c>
      <c r="P245" s="129">
        <v>0</v>
      </c>
      <c r="Q245" s="129">
        <v>45800</v>
      </c>
      <c r="R245" s="127" t="s">
        <v>136</v>
      </c>
      <c r="S245" s="129">
        <v>0</v>
      </c>
      <c r="T245" s="129">
        <v>0</v>
      </c>
      <c r="U245" s="129">
        <v>0</v>
      </c>
      <c r="V245" s="129" t="b">
        <v>0</v>
      </c>
      <c r="W245" s="129">
        <v>105952891</v>
      </c>
      <c r="X245" s="129">
        <v>0</v>
      </c>
      <c r="Y245" s="129">
        <v>0</v>
      </c>
      <c r="Z245" s="127" t="s">
        <v>246</v>
      </c>
      <c r="AA245" s="129">
        <v>0</v>
      </c>
      <c r="AB245" s="129" t="b">
        <v>0</v>
      </c>
      <c r="AC245" s="127" t="s">
        <v>142</v>
      </c>
      <c r="AD245" s="127" t="s">
        <v>142</v>
      </c>
      <c r="AE245" s="127" t="s">
        <v>142</v>
      </c>
      <c r="AF245" s="129">
        <v>229</v>
      </c>
      <c r="AG245" s="144">
        <v>43719</v>
      </c>
      <c r="AH245" s="129"/>
    </row>
    <row r="246" spans="1:34" x14ac:dyDescent="0.2">
      <c r="A246" s="127" t="s">
        <v>135</v>
      </c>
      <c r="B246" s="128">
        <v>43682.30709490741</v>
      </c>
      <c r="C246" s="127" t="s">
        <v>270</v>
      </c>
      <c r="D246" s="127" t="s">
        <v>135</v>
      </c>
      <c r="E246" s="127" t="s">
        <v>21</v>
      </c>
      <c r="F246" s="129">
        <v>2747</v>
      </c>
      <c r="G246" s="129">
        <v>3004</v>
      </c>
      <c r="H246" s="129">
        <v>27</v>
      </c>
      <c r="I246" s="129">
        <v>51400</v>
      </c>
      <c r="J246" s="129" t="b">
        <v>0</v>
      </c>
      <c r="K246" s="129" t="b">
        <v>0</v>
      </c>
      <c r="L246" s="129">
        <v>200</v>
      </c>
      <c r="M246" s="129">
        <v>0</v>
      </c>
      <c r="N246" s="129">
        <v>1903.7</v>
      </c>
      <c r="O246" s="129">
        <v>0</v>
      </c>
      <c r="P246" s="129">
        <v>0</v>
      </c>
      <c r="Q246" s="129">
        <v>51400</v>
      </c>
      <c r="R246" s="127" t="s">
        <v>136</v>
      </c>
      <c r="S246" s="129">
        <v>0</v>
      </c>
      <c r="T246" s="129">
        <v>0</v>
      </c>
      <c r="U246" s="129">
        <v>0</v>
      </c>
      <c r="V246" s="129" t="b">
        <v>0</v>
      </c>
      <c r="W246" s="129">
        <v>105873787</v>
      </c>
      <c r="X246" s="129">
        <v>0</v>
      </c>
      <c r="Y246" s="129">
        <v>0</v>
      </c>
      <c r="Z246" s="127" t="s">
        <v>246</v>
      </c>
      <c r="AA246" s="129">
        <v>0</v>
      </c>
      <c r="AB246" s="129" t="b">
        <v>0</v>
      </c>
      <c r="AC246" s="127" t="s">
        <v>142</v>
      </c>
      <c r="AD246" s="127" t="s">
        <v>142</v>
      </c>
      <c r="AE246" s="127" t="s">
        <v>142</v>
      </c>
      <c r="AF246" s="129">
        <v>257</v>
      </c>
      <c r="AG246" s="144">
        <v>43689</v>
      </c>
      <c r="AH246" s="129"/>
    </row>
    <row r="247" spans="1:34" x14ac:dyDescent="0.2">
      <c r="A247" s="127" t="s">
        <v>135</v>
      </c>
      <c r="B247" s="128">
        <v>43655.301585648151</v>
      </c>
      <c r="C247" s="127" t="s">
        <v>270</v>
      </c>
      <c r="D247" s="127" t="s">
        <v>135</v>
      </c>
      <c r="E247" s="127" t="s">
        <v>21</v>
      </c>
      <c r="F247" s="129">
        <v>2517</v>
      </c>
      <c r="G247" s="129">
        <v>2747</v>
      </c>
      <c r="H247" s="129">
        <v>33</v>
      </c>
      <c r="I247" s="129">
        <v>46000</v>
      </c>
      <c r="J247" s="129" t="b">
        <v>0</v>
      </c>
      <c r="K247" s="129" t="b">
        <v>0</v>
      </c>
      <c r="L247" s="129">
        <v>200</v>
      </c>
      <c r="M247" s="129">
        <v>0</v>
      </c>
      <c r="N247" s="129">
        <v>1393.94</v>
      </c>
      <c r="O247" s="129">
        <v>0</v>
      </c>
      <c r="P247" s="129">
        <v>0</v>
      </c>
      <c r="Q247" s="129">
        <v>46000</v>
      </c>
      <c r="R247" s="127" t="s">
        <v>136</v>
      </c>
      <c r="S247" s="129">
        <v>0</v>
      </c>
      <c r="T247" s="129">
        <v>0</v>
      </c>
      <c r="U247" s="129">
        <v>0</v>
      </c>
      <c r="V247" s="129" t="b">
        <v>0</v>
      </c>
      <c r="W247" s="129">
        <v>105794193</v>
      </c>
      <c r="X247" s="129">
        <v>0</v>
      </c>
      <c r="Y247" s="129">
        <v>0</v>
      </c>
      <c r="Z247" s="127" t="s">
        <v>246</v>
      </c>
      <c r="AA247" s="129">
        <v>0</v>
      </c>
      <c r="AB247" s="129" t="b">
        <v>0</v>
      </c>
      <c r="AC247" s="127" t="s">
        <v>142</v>
      </c>
      <c r="AD247" s="127" t="s">
        <v>142</v>
      </c>
      <c r="AE247" s="127" t="s">
        <v>142</v>
      </c>
      <c r="AF247" s="129">
        <v>230</v>
      </c>
      <c r="AG247" s="144">
        <v>43658</v>
      </c>
      <c r="AH247" s="129"/>
    </row>
    <row r="248" spans="1:34" x14ac:dyDescent="0.2">
      <c r="A248" s="127" t="s">
        <v>135</v>
      </c>
      <c r="B248" s="128">
        <v>43622.313923611109</v>
      </c>
      <c r="C248" s="127" t="s">
        <v>270</v>
      </c>
      <c r="D248" s="127" t="s">
        <v>135</v>
      </c>
      <c r="E248" s="127" t="s">
        <v>21</v>
      </c>
      <c r="F248" s="129">
        <v>2318</v>
      </c>
      <c r="G248" s="129">
        <v>2517</v>
      </c>
      <c r="H248" s="129">
        <v>30</v>
      </c>
      <c r="I248" s="129">
        <v>39800</v>
      </c>
      <c r="J248" s="129" t="b">
        <v>0</v>
      </c>
      <c r="K248" s="129" t="b">
        <v>0</v>
      </c>
      <c r="L248" s="129">
        <v>200</v>
      </c>
      <c r="M248" s="129">
        <v>0</v>
      </c>
      <c r="N248" s="129">
        <v>1326.67</v>
      </c>
      <c r="O248" s="129">
        <v>0</v>
      </c>
      <c r="P248" s="129">
        <v>0</v>
      </c>
      <c r="Q248" s="129">
        <v>39800</v>
      </c>
      <c r="R248" s="127" t="s">
        <v>136</v>
      </c>
      <c r="S248" s="129">
        <v>0</v>
      </c>
      <c r="T248" s="129">
        <v>0</v>
      </c>
      <c r="U248" s="129">
        <v>0</v>
      </c>
      <c r="V248" s="129" t="b">
        <v>0</v>
      </c>
      <c r="W248" s="129">
        <v>105714199</v>
      </c>
      <c r="X248" s="129">
        <v>0</v>
      </c>
      <c r="Y248" s="129">
        <v>0</v>
      </c>
      <c r="Z248" s="127" t="s">
        <v>246</v>
      </c>
      <c r="AA248" s="129">
        <v>0</v>
      </c>
      <c r="AB248" s="129" t="b">
        <v>0</v>
      </c>
      <c r="AC248" s="127" t="s">
        <v>142</v>
      </c>
      <c r="AD248" s="127" t="s">
        <v>142</v>
      </c>
      <c r="AE248" s="127" t="s">
        <v>142</v>
      </c>
      <c r="AF248" s="129">
        <v>199</v>
      </c>
      <c r="AG248" s="144">
        <v>43627</v>
      </c>
      <c r="AH248" s="129"/>
    </row>
    <row r="249" spans="1:34" x14ac:dyDescent="0.2">
      <c r="A249" s="127" t="s">
        <v>135</v>
      </c>
      <c r="B249" s="128">
        <v>43592.301979166667</v>
      </c>
      <c r="C249" s="127" t="s">
        <v>270</v>
      </c>
      <c r="D249" s="127" t="s">
        <v>135</v>
      </c>
      <c r="E249" s="127" t="s">
        <v>21</v>
      </c>
      <c r="F249" s="129">
        <v>2131</v>
      </c>
      <c r="G249" s="129">
        <v>2318</v>
      </c>
      <c r="H249" s="129">
        <v>32</v>
      </c>
      <c r="I249" s="129">
        <v>37400</v>
      </c>
      <c r="J249" s="129" t="b">
        <v>0</v>
      </c>
      <c r="K249" s="129" t="b">
        <v>0</v>
      </c>
      <c r="L249" s="129">
        <v>200</v>
      </c>
      <c r="M249" s="129">
        <v>0</v>
      </c>
      <c r="N249" s="129">
        <v>1168.75</v>
      </c>
      <c r="O249" s="129">
        <v>0</v>
      </c>
      <c r="P249" s="129">
        <v>0</v>
      </c>
      <c r="Q249" s="129">
        <v>37400</v>
      </c>
      <c r="R249" s="127" t="s">
        <v>136</v>
      </c>
      <c r="S249" s="129">
        <v>0</v>
      </c>
      <c r="T249" s="129">
        <v>0</v>
      </c>
      <c r="U249" s="129">
        <v>0</v>
      </c>
      <c r="V249" s="129" t="b">
        <v>0</v>
      </c>
      <c r="W249" s="129">
        <v>105636728</v>
      </c>
      <c r="X249" s="129">
        <v>0</v>
      </c>
      <c r="Y249" s="129">
        <v>0</v>
      </c>
      <c r="Z249" s="127" t="s">
        <v>246</v>
      </c>
      <c r="AA249" s="129">
        <v>0</v>
      </c>
      <c r="AB249" s="129" t="b">
        <v>0</v>
      </c>
      <c r="AC249" s="127" t="s">
        <v>142</v>
      </c>
      <c r="AD249" s="127" t="s">
        <v>142</v>
      </c>
      <c r="AE249" s="127" t="s">
        <v>142</v>
      </c>
      <c r="AF249" s="129">
        <v>187</v>
      </c>
      <c r="AG249" s="144">
        <v>43598</v>
      </c>
      <c r="AH249" s="129"/>
    </row>
    <row r="250" spans="1:34" x14ac:dyDescent="0.2">
      <c r="A250" s="127" t="s">
        <v>135</v>
      </c>
      <c r="B250" s="128">
        <v>43560.313136574077</v>
      </c>
      <c r="C250" s="127" t="s">
        <v>270</v>
      </c>
      <c r="D250" s="127" t="s">
        <v>135</v>
      </c>
      <c r="E250" s="127" t="s">
        <v>21</v>
      </c>
      <c r="F250" s="129">
        <v>1942</v>
      </c>
      <c r="G250" s="129">
        <v>2131</v>
      </c>
      <c r="H250" s="129">
        <v>29</v>
      </c>
      <c r="I250" s="129">
        <v>37800</v>
      </c>
      <c r="J250" s="129" t="b">
        <v>0</v>
      </c>
      <c r="K250" s="129" t="b">
        <v>0</v>
      </c>
      <c r="L250" s="129">
        <v>200</v>
      </c>
      <c r="M250" s="129">
        <v>0</v>
      </c>
      <c r="N250" s="129">
        <v>1303.45</v>
      </c>
      <c r="O250" s="129">
        <v>0</v>
      </c>
      <c r="P250" s="129">
        <v>0</v>
      </c>
      <c r="Q250" s="129">
        <v>37800</v>
      </c>
      <c r="R250" s="127" t="s">
        <v>136</v>
      </c>
      <c r="S250" s="129">
        <v>0</v>
      </c>
      <c r="T250" s="129">
        <v>0</v>
      </c>
      <c r="U250" s="129">
        <v>0</v>
      </c>
      <c r="V250" s="129" t="b">
        <v>0</v>
      </c>
      <c r="W250" s="129">
        <v>105554275</v>
      </c>
      <c r="X250" s="129">
        <v>0</v>
      </c>
      <c r="Y250" s="129">
        <v>0</v>
      </c>
      <c r="Z250" s="127" t="s">
        <v>246</v>
      </c>
      <c r="AA250" s="129">
        <v>0</v>
      </c>
      <c r="AB250" s="129" t="b">
        <v>0</v>
      </c>
      <c r="AC250" s="127" t="s">
        <v>142</v>
      </c>
      <c r="AD250" s="127" t="s">
        <v>142</v>
      </c>
      <c r="AE250" s="127" t="s">
        <v>142</v>
      </c>
      <c r="AF250" s="129">
        <v>189</v>
      </c>
      <c r="AG250" s="144">
        <v>43567</v>
      </c>
      <c r="AH250" s="129"/>
    </row>
    <row r="251" spans="1:34" x14ac:dyDescent="0.2">
      <c r="A251" s="127" t="s">
        <v>135</v>
      </c>
      <c r="B251" s="128">
        <v>43531.299837962964</v>
      </c>
      <c r="C251" s="127" t="s">
        <v>270</v>
      </c>
      <c r="D251" s="127" t="s">
        <v>135</v>
      </c>
      <c r="E251" s="127" t="s">
        <v>21</v>
      </c>
      <c r="F251" s="129">
        <v>1770</v>
      </c>
      <c r="G251" s="129">
        <v>1942</v>
      </c>
      <c r="H251" s="129">
        <v>29</v>
      </c>
      <c r="I251" s="129">
        <v>34400</v>
      </c>
      <c r="J251" s="129" t="b">
        <v>0</v>
      </c>
      <c r="K251" s="129" t="b">
        <v>0</v>
      </c>
      <c r="L251" s="129">
        <v>200</v>
      </c>
      <c r="M251" s="129">
        <v>0</v>
      </c>
      <c r="N251" s="129">
        <v>1186.21</v>
      </c>
      <c r="O251" s="129">
        <v>0</v>
      </c>
      <c r="P251" s="129">
        <v>0</v>
      </c>
      <c r="Q251" s="129">
        <v>34400</v>
      </c>
      <c r="R251" s="127" t="s">
        <v>136</v>
      </c>
      <c r="S251" s="129">
        <v>0</v>
      </c>
      <c r="T251" s="129">
        <v>0</v>
      </c>
      <c r="U251" s="129">
        <v>0</v>
      </c>
      <c r="V251" s="129" t="b">
        <v>0</v>
      </c>
      <c r="W251" s="129">
        <v>105473212</v>
      </c>
      <c r="X251" s="129">
        <v>0</v>
      </c>
      <c r="Y251" s="129">
        <v>0</v>
      </c>
      <c r="Z251" s="127" t="s">
        <v>246</v>
      </c>
      <c r="AA251" s="129">
        <v>0</v>
      </c>
      <c r="AB251" s="129" t="b">
        <v>0</v>
      </c>
      <c r="AC251" s="127" t="s">
        <v>142</v>
      </c>
      <c r="AD251" s="127" t="s">
        <v>142</v>
      </c>
      <c r="AE251" s="127" t="s">
        <v>142</v>
      </c>
      <c r="AF251" s="129">
        <v>172</v>
      </c>
      <c r="AG251" s="144">
        <v>43538</v>
      </c>
      <c r="AH251" s="129"/>
    </row>
    <row r="252" spans="1:34" x14ac:dyDescent="0.2">
      <c r="A252" s="127" t="s">
        <v>135</v>
      </c>
      <c r="B252" s="128">
        <v>43502.322743055556</v>
      </c>
      <c r="C252" s="127" t="s">
        <v>270</v>
      </c>
      <c r="D252" s="127" t="s">
        <v>135</v>
      </c>
      <c r="E252" s="127" t="s">
        <v>21</v>
      </c>
      <c r="F252" s="129">
        <v>1575</v>
      </c>
      <c r="G252" s="129">
        <v>1770</v>
      </c>
      <c r="H252" s="129">
        <v>29</v>
      </c>
      <c r="I252" s="129">
        <v>39000</v>
      </c>
      <c r="J252" s="129" t="b">
        <v>0</v>
      </c>
      <c r="K252" s="129" t="b">
        <v>0</v>
      </c>
      <c r="L252" s="129">
        <v>200</v>
      </c>
      <c r="M252" s="129">
        <v>0</v>
      </c>
      <c r="N252" s="129">
        <v>1344.83</v>
      </c>
      <c r="O252" s="129">
        <v>0</v>
      </c>
      <c r="P252" s="129">
        <v>0</v>
      </c>
      <c r="Q252" s="129">
        <v>39000</v>
      </c>
      <c r="R252" s="127" t="s">
        <v>136</v>
      </c>
      <c r="S252" s="129">
        <v>0</v>
      </c>
      <c r="T252" s="129">
        <v>0</v>
      </c>
      <c r="U252" s="129">
        <v>0</v>
      </c>
      <c r="V252" s="129" t="b">
        <v>0</v>
      </c>
      <c r="W252" s="129">
        <v>105392080</v>
      </c>
      <c r="X252" s="129">
        <v>0</v>
      </c>
      <c r="Y252" s="129">
        <v>0</v>
      </c>
      <c r="Z252" s="127" t="s">
        <v>246</v>
      </c>
      <c r="AA252" s="129">
        <v>0</v>
      </c>
      <c r="AB252" s="129" t="b">
        <v>0</v>
      </c>
      <c r="AC252" s="127" t="s">
        <v>142</v>
      </c>
      <c r="AD252" s="127" t="s">
        <v>142</v>
      </c>
      <c r="AE252" s="127" t="s">
        <v>142</v>
      </c>
      <c r="AF252" s="129">
        <v>195</v>
      </c>
      <c r="AG252" s="144">
        <v>43509</v>
      </c>
      <c r="AH252" s="129"/>
    </row>
    <row r="253" spans="1:34" x14ac:dyDescent="0.2">
      <c r="A253" s="127" t="s">
        <v>135</v>
      </c>
      <c r="B253" s="128">
        <v>43473.296793981484</v>
      </c>
      <c r="C253" s="127" t="s">
        <v>270</v>
      </c>
      <c r="D253" s="127" t="s">
        <v>135</v>
      </c>
      <c r="E253" s="127" t="s">
        <v>21</v>
      </c>
      <c r="F253" s="129">
        <v>1397</v>
      </c>
      <c r="G253" s="129">
        <v>1575</v>
      </c>
      <c r="H253" s="129">
        <v>33</v>
      </c>
      <c r="I253" s="129">
        <v>35600</v>
      </c>
      <c r="J253" s="129" t="b">
        <v>0</v>
      </c>
      <c r="K253" s="129" t="b">
        <v>0</v>
      </c>
      <c r="L253" s="129">
        <v>200</v>
      </c>
      <c r="M253" s="129">
        <v>0</v>
      </c>
      <c r="N253" s="129">
        <v>1078.79</v>
      </c>
      <c r="O253" s="129">
        <v>0</v>
      </c>
      <c r="P253" s="129">
        <v>0</v>
      </c>
      <c r="Q253" s="129">
        <v>35600</v>
      </c>
      <c r="R253" s="127" t="s">
        <v>136</v>
      </c>
      <c r="S253" s="129">
        <v>0</v>
      </c>
      <c r="T253" s="129">
        <v>0</v>
      </c>
      <c r="U253" s="129">
        <v>0</v>
      </c>
      <c r="V253" s="129" t="b">
        <v>0</v>
      </c>
      <c r="W253" s="129">
        <v>105315466</v>
      </c>
      <c r="X253" s="129">
        <v>0</v>
      </c>
      <c r="Y253" s="129">
        <v>0</v>
      </c>
      <c r="Z253" s="127" t="s">
        <v>246</v>
      </c>
      <c r="AA253" s="129">
        <v>0</v>
      </c>
      <c r="AB253" s="129" t="b">
        <v>0</v>
      </c>
      <c r="AC253" s="127" t="s">
        <v>142</v>
      </c>
      <c r="AD253" s="127" t="s">
        <v>142</v>
      </c>
      <c r="AE253" s="127" t="s">
        <v>142</v>
      </c>
      <c r="AF253" s="129">
        <v>178</v>
      </c>
      <c r="AG253" s="144">
        <v>43479</v>
      </c>
      <c r="AH253" s="129"/>
    </row>
    <row r="254" spans="1:34" x14ac:dyDescent="0.2">
      <c r="A254" s="127" t="s">
        <v>135</v>
      </c>
      <c r="B254" s="128">
        <v>43440.532581018517</v>
      </c>
      <c r="C254" s="127" t="s">
        <v>270</v>
      </c>
      <c r="D254" s="127" t="s">
        <v>135</v>
      </c>
      <c r="E254" s="127" t="s">
        <v>21</v>
      </c>
      <c r="F254" s="129">
        <v>1224</v>
      </c>
      <c r="G254" s="129">
        <v>1397</v>
      </c>
      <c r="H254" s="129">
        <v>30</v>
      </c>
      <c r="I254" s="129">
        <v>34600</v>
      </c>
      <c r="J254" s="129" t="b">
        <v>0</v>
      </c>
      <c r="K254" s="129" t="b">
        <v>0</v>
      </c>
      <c r="L254" s="129">
        <v>200</v>
      </c>
      <c r="M254" s="129">
        <v>0</v>
      </c>
      <c r="N254" s="129">
        <v>1153.33</v>
      </c>
      <c r="O254" s="129">
        <v>0</v>
      </c>
      <c r="P254" s="129">
        <v>0</v>
      </c>
      <c r="Q254" s="129">
        <v>34600</v>
      </c>
      <c r="R254" s="127" t="s">
        <v>136</v>
      </c>
      <c r="S254" s="129">
        <v>0</v>
      </c>
      <c r="T254" s="129">
        <v>0</v>
      </c>
      <c r="U254" s="129">
        <v>0</v>
      </c>
      <c r="V254" s="129" t="b">
        <v>0</v>
      </c>
      <c r="W254" s="129">
        <v>105235726</v>
      </c>
      <c r="X254" s="129">
        <v>0</v>
      </c>
      <c r="Y254" s="129">
        <v>0</v>
      </c>
      <c r="Z254" s="127" t="s">
        <v>246</v>
      </c>
      <c r="AA254" s="129">
        <v>0</v>
      </c>
      <c r="AB254" s="129" t="b">
        <v>0</v>
      </c>
      <c r="AC254" s="127" t="s">
        <v>142</v>
      </c>
      <c r="AD254" s="127" t="s">
        <v>142</v>
      </c>
      <c r="AE254" s="127" t="s">
        <v>142</v>
      </c>
      <c r="AF254" s="129">
        <v>173</v>
      </c>
      <c r="AG254" s="144">
        <v>43448</v>
      </c>
      <c r="AH254" s="129"/>
    </row>
    <row r="255" spans="1:34" x14ac:dyDescent="0.2">
      <c r="A255" s="127" t="s">
        <v>135</v>
      </c>
      <c r="B255" s="128">
        <v>43410.304444444446</v>
      </c>
      <c r="C255" s="127" t="s">
        <v>270</v>
      </c>
      <c r="D255" s="127" t="s">
        <v>135</v>
      </c>
      <c r="E255" s="127" t="s">
        <v>21</v>
      </c>
      <c r="F255" s="129">
        <v>1029</v>
      </c>
      <c r="G255" s="129">
        <v>1224</v>
      </c>
      <c r="H255" s="129">
        <v>32</v>
      </c>
      <c r="I255" s="129">
        <v>39000</v>
      </c>
      <c r="J255" s="129" t="b">
        <v>0</v>
      </c>
      <c r="K255" s="129" t="b">
        <v>0</v>
      </c>
      <c r="L255" s="129">
        <v>200</v>
      </c>
      <c r="M255" s="129">
        <v>0</v>
      </c>
      <c r="N255" s="129">
        <v>1218.75</v>
      </c>
      <c r="O255" s="129">
        <v>0</v>
      </c>
      <c r="P255" s="129">
        <v>0</v>
      </c>
      <c r="Q255" s="129">
        <v>39000</v>
      </c>
      <c r="R255" s="127" t="s">
        <v>136</v>
      </c>
      <c r="S255" s="129">
        <v>0</v>
      </c>
      <c r="T255" s="129">
        <v>0</v>
      </c>
      <c r="U255" s="129">
        <v>0</v>
      </c>
      <c r="V255" s="129" t="b">
        <v>0</v>
      </c>
      <c r="W255" s="129">
        <v>105152774</v>
      </c>
      <c r="X255" s="129">
        <v>0</v>
      </c>
      <c r="Y255" s="129">
        <v>0</v>
      </c>
      <c r="Z255" s="127" t="s">
        <v>246</v>
      </c>
      <c r="AA255" s="129">
        <v>0</v>
      </c>
      <c r="AB255" s="129" t="b">
        <v>0</v>
      </c>
      <c r="AC255" s="127" t="s">
        <v>142</v>
      </c>
      <c r="AD255" s="127" t="s">
        <v>142</v>
      </c>
      <c r="AE255" s="127" t="s">
        <v>142</v>
      </c>
      <c r="AF255" s="129">
        <v>195</v>
      </c>
      <c r="AG255" s="144">
        <v>43418</v>
      </c>
      <c r="AH255" s="129"/>
    </row>
    <row r="256" spans="1:34" x14ac:dyDescent="0.2">
      <c r="A256" s="127" t="s">
        <v>135</v>
      </c>
      <c r="B256" s="128">
        <v>43378.301828703705</v>
      </c>
      <c r="C256" s="127" t="s">
        <v>270</v>
      </c>
      <c r="D256" s="127" t="s">
        <v>135</v>
      </c>
      <c r="E256" s="127" t="s">
        <v>21</v>
      </c>
      <c r="F256" s="129">
        <v>808</v>
      </c>
      <c r="G256" s="129">
        <v>1029</v>
      </c>
      <c r="H256" s="129">
        <v>25</v>
      </c>
      <c r="I256" s="129">
        <v>44200</v>
      </c>
      <c r="J256" s="129" t="b">
        <v>0</v>
      </c>
      <c r="K256" s="129" t="b">
        <v>0</v>
      </c>
      <c r="L256" s="129">
        <v>200</v>
      </c>
      <c r="M256" s="129">
        <v>0</v>
      </c>
      <c r="N256" s="129">
        <v>1768</v>
      </c>
      <c r="O256" s="129">
        <v>0</v>
      </c>
      <c r="P256" s="129">
        <v>0</v>
      </c>
      <c r="Q256" s="129">
        <v>44200</v>
      </c>
      <c r="R256" s="127" t="s">
        <v>136</v>
      </c>
      <c r="S256" s="129">
        <v>0</v>
      </c>
      <c r="T256" s="129">
        <v>0</v>
      </c>
      <c r="U256" s="129">
        <v>0</v>
      </c>
      <c r="V256" s="129" t="b">
        <v>0</v>
      </c>
      <c r="W256" s="129">
        <v>105073373</v>
      </c>
      <c r="X256" s="129">
        <v>0</v>
      </c>
      <c r="Y256" s="129">
        <v>0</v>
      </c>
      <c r="Z256" s="127" t="s">
        <v>246</v>
      </c>
      <c r="AA256" s="129">
        <v>0</v>
      </c>
      <c r="AB256" s="129" t="b">
        <v>0</v>
      </c>
      <c r="AC256" s="127" t="s">
        <v>142</v>
      </c>
      <c r="AD256" s="127" t="s">
        <v>142</v>
      </c>
      <c r="AE256" s="127" t="s">
        <v>142</v>
      </c>
      <c r="AF256" s="129">
        <v>221</v>
      </c>
      <c r="AG256" s="144">
        <v>43385</v>
      </c>
      <c r="AH256" s="129"/>
    </row>
    <row r="257" spans="1:34" x14ac:dyDescent="0.2">
      <c r="A257" s="127" t="s">
        <v>135</v>
      </c>
      <c r="B257" s="128">
        <v>43353.306770833333</v>
      </c>
      <c r="C257" s="127" t="s">
        <v>270</v>
      </c>
      <c r="D257" s="127" t="s">
        <v>135</v>
      </c>
      <c r="E257" s="127" t="s">
        <v>21</v>
      </c>
      <c r="F257" s="129">
        <v>573</v>
      </c>
      <c r="G257" s="129">
        <v>808</v>
      </c>
      <c r="H257" s="129">
        <v>35</v>
      </c>
      <c r="I257" s="129">
        <v>47000</v>
      </c>
      <c r="J257" s="129" t="b">
        <v>0</v>
      </c>
      <c r="K257" s="129" t="b">
        <v>0</v>
      </c>
      <c r="L257" s="129">
        <v>200</v>
      </c>
      <c r="M257" s="129">
        <v>0</v>
      </c>
      <c r="N257" s="129">
        <v>1342.86</v>
      </c>
      <c r="O257" s="129">
        <v>0</v>
      </c>
      <c r="P257" s="129">
        <v>0</v>
      </c>
      <c r="Q257" s="129">
        <v>47000</v>
      </c>
      <c r="R257" s="127" t="s">
        <v>136</v>
      </c>
      <c r="S257" s="129">
        <v>0</v>
      </c>
      <c r="T257" s="129">
        <v>0</v>
      </c>
      <c r="U257" s="129">
        <v>0</v>
      </c>
      <c r="V257" s="129" t="b">
        <v>0</v>
      </c>
      <c r="W257" s="129">
        <v>104987825</v>
      </c>
      <c r="X257" s="129">
        <v>0</v>
      </c>
      <c r="Y257" s="129">
        <v>0</v>
      </c>
      <c r="Z257" s="127" t="s">
        <v>246</v>
      </c>
      <c r="AA257" s="129">
        <v>0</v>
      </c>
      <c r="AB257" s="129" t="b">
        <v>0</v>
      </c>
      <c r="AC257" s="127" t="s">
        <v>142</v>
      </c>
      <c r="AD257" s="127" t="s">
        <v>142</v>
      </c>
      <c r="AE257" s="127" t="s">
        <v>142</v>
      </c>
      <c r="AF257" s="129">
        <v>235</v>
      </c>
      <c r="AG257" s="144">
        <v>43355</v>
      </c>
      <c r="AH257" s="129"/>
    </row>
    <row r="258" spans="1:34" x14ac:dyDescent="0.2">
      <c r="A258" s="127" t="s">
        <v>135</v>
      </c>
      <c r="B258" s="128">
        <v>43318.309942129628</v>
      </c>
      <c r="C258" s="127" t="s">
        <v>270</v>
      </c>
      <c r="D258" s="127" t="s">
        <v>135</v>
      </c>
      <c r="E258" s="127" t="s">
        <v>21</v>
      </c>
      <c r="F258" s="129">
        <v>330</v>
      </c>
      <c r="G258" s="129">
        <v>573</v>
      </c>
      <c r="H258" s="129">
        <v>28</v>
      </c>
      <c r="I258" s="129">
        <v>48600</v>
      </c>
      <c r="J258" s="129" t="b">
        <v>0</v>
      </c>
      <c r="K258" s="129" t="b">
        <v>0</v>
      </c>
      <c r="L258" s="129">
        <v>200</v>
      </c>
      <c r="M258" s="129">
        <v>0</v>
      </c>
      <c r="N258" s="129">
        <v>1735.71</v>
      </c>
      <c r="O258" s="129">
        <v>0</v>
      </c>
      <c r="P258" s="129">
        <v>0</v>
      </c>
      <c r="Q258" s="129">
        <v>48600</v>
      </c>
      <c r="R258" s="127" t="s">
        <v>136</v>
      </c>
      <c r="S258" s="129">
        <v>0</v>
      </c>
      <c r="T258" s="129">
        <v>0</v>
      </c>
      <c r="U258" s="129">
        <v>0</v>
      </c>
      <c r="V258" s="129" t="b">
        <v>0</v>
      </c>
      <c r="W258" s="129">
        <v>104903133</v>
      </c>
      <c r="X258" s="129">
        <v>0</v>
      </c>
      <c r="Y258" s="129">
        <v>0</v>
      </c>
      <c r="Z258" s="127" t="s">
        <v>258</v>
      </c>
      <c r="AA258" s="129">
        <v>0</v>
      </c>
      <c r="AB258" s="129" t="b">
        <v>0</v>
      </c>
      <c r="AC258" s="127" t="s">
        <v>142</v>
      </c>
      <c r="AD258" s="127" t="s">
        <v>142</v>
      </c>
      <c r="AE258" s="127" t="s">
        <v>142</v>
      </c>
      <c r="AF258" s="129">
        <v>243</v>
      </c>
      <c r="AG258" s="144">
        <v>43322</v>
      </c>
      <c r="AH258" s="129"/>
    </row>
    <row r="259" spans="1:34" x14ac:dyDescent="0.2">
      <c r="A259" s="127" t="s">
        <v>135</v>
      </c>
      <c r="B259" s="128">
        <v>43290.308263888888</v>
      </c>
      <c r="C259" s="127" t="s">
        <v>270</v>
      </c>
      <c r="D259" s="127" t="s">
        <v>135</v>
      </c>
      <c r="E259" s="127" t="s">
        <v>21</v>
      </c>
      <c r="F259" s="129">
        <v>95</v>
      </c>
      <c r="G259" s="129">
        <v>330</v>
      </c>
      <c r="H259" s="129">
        <v>33</v>
      </c>
      <c r="I259" s="129">
        <v>47000</v>
      </c>
      <c r="J259" s="129" t="b">
        <v>0</v>
      </c>
      <c r="K259" s="129" t="b">
        <v>0</v>
      </c>
      <c r="L259" s="129">
        <v>200</v>
      </c>
      <c r="M259" s="129">
        <v>0</v>
      </c>
      <c r="N259" s="129">
        <v>1424.24</v>
      </c>
      <c r="O259" s="129">
        <v>0</v>
      </c>
      <c r="P259" s="129">
        <v>0</v>
      </c>
      <c r="Q259" s="129">
        <v>47000</v>
      </c>
      <c r="R259" s="127" t="s">
        <v>136</v>
      </c>
      <c r="S259" s="129">
        <v>0</v>
      </c>
      <c r="T259" s="129">
        <v>0</v>
      </c>
      <c r="U259" s="129">
        <v>0</v>
      </c>
      <c r="V259" s="129" t="b">
        <v>0</v>
      </c>
      <c r="W259" s="129">
        <v>104825520</v>
      </c>
      <c r="X259" s="129">
        <v>0</v>
      </c>
      <c r="Y259" s="129">
        <v>0</v>
      </c>
      <c r="Z259" s="127" t="s">
        <v>258</v>
      </c>
      <c r="AA259" s="129">
        <v>0</v>
      </c>
      <c r="AB259" s="129" t="b">
        <v>0</v>
      </c>
      <c r="AC259" s="127" t="s">
        <v>142</v>
      </c>
      <c r="AD259" s="127" t="s">
        <v>142</v>
      </c>
      <c r="AE259" s="127" t="s">
        <v>142</v>
      </c>
      <c r="AF259" s="129">
        <v>235</v>
      </c>
      <c r="AG259" s="144">
        <v>43292</v>
      </c>
      <c r="AH259" s="129"/>
    </row>
    <row r="260" spans="1:34" x14ac:dyDescent="0.2">
      <c r="A260" s="127" t="s">
        <v>135</v>
      </c>
      <c r="B260" s="128">
        <v>43257.367349537039</v>
      </c>
      <c r="C260" s="127" t="s">
        <v>270</v>
      </c>
      <c r="D260" s="127" t="s">
        <v>135</v>
      </c>
      <c r="E260" s="127" t="s">
        <v>21</v>
      </c>
      <c r="F260" s="129">
        <v>0</v>
      </c>
      <c r="G260" s="129">
        <v>95</v>
      </c>
      <c r="H260" s="129">
        <v>27</v>
      </c>
      <c r="I260" s="129">
        <v>32000</v>
      </c>
      <c r="J260" s="129" t="b">
        <v>0</v>
      </c>
      <c r="K260" s="129" t="b">
        <v>0</v>
      </c>
      <c r="L260" s="129">
        <v>200</v>
      </c>
      <c r="M260" s="129">
        <v>0</v>
      </c>
      <c r="N260" s="129">
        <v>1187.5</v>
      </c>
      <c r="O260" s="129">
        <v>0</v>
      </c>
      <c r="P260" s="129">
        <v>0</v>
      </c>
      <c r="Q260" s="129">
        <v>19000</v>
      </c>
      <c r="R260" s="127" t="s">
        <v>136</v>
      </c>
      <c r="S260" s="129">
        <v>0</v>
      </c>
      <c r="T260" s="129">
        <v>0</v>
      </c>
      <c r="U260" s="129">
        <v>0</v>
      </c>
      <c r="V260" s="129" t="b">
        <v>0</v>
      </c>
      <c r="W260" s="129">
        <v>104747581</v>
      </c>
      <c r="X260" s="129">
        <v>0</v>
      </c>
      <c r="Y260" s="129">
        <v>0</v>
      </c>
      <c r="Z260" s="129"/>
      <c r="AA260" s="129">
        <v>0</v>
      </c>
      <c r="AB260" s="129" t="b">
        <v>0</v>
      </c>
      <c r="AC260" s="127" t="s">
        <v>142</v>
      </c>
      <c r="AD260" s="127" t="s">
        <v>142</v>
      </c>
      <c r="AE260" s="127" t="s">
        <v>142</v>
      </c>
      <c r="AF260" s="129">
        <v>95</v>
      </c>
      <c r="AG260" s="144">
        <v>43262</v>
      </c>
      <c r="AH260" s="129"/>
    </row>
    <row r="261" spans="1:34" x14ac:dyDescent="0.2">
      <c r="A261" s="127" t="s">
        <v>135</v>
      </c>
      <c r="B261" s="128">
        <v>43230</v>
      </c>
      <c r="C261" s="127" t="s">
        <v>272</v>
      </c>
      <c r="D261" s="127" t="s">
        <v>135</v>
      </c>
      <c r="E261" s="127" t="s">
        <v>21</v>
      </c>
      <c r="F261" s="129">
        <v>6639</v>
      </c>
      <c r="G261" s="129">
        <v>6864</v>
      </c>
      <c r="H261" s="129">
        <v>38</v>
      </c>
      <c r="I261" s="129">
        <v>45000</v>
      </c>
      <c r="J261" s="129" t="b">
        <v>0</v>
      </c>
      <c r="K261" s="129" t="b">
        <v>0</v>
      </c>
      <c r="L261" s="129">
        <v>200</v>
      </c>
      <c r="M261" s="129">
        <v>0</v>
      </c>
      <c r="N261" s="129">
        <v>1184.21</v>
      </c>
      <c r="O261" s="129">
        <v>0</v>
      </c>
      <c r="P261" s="129">
        <v>0</v>
      </c>
      <c r="Q261" s="129">
        <v>45000</v>
      </c>
      <c r="R261" s="127" t="s">
        <v>136</v>
      </c>
      <c r="S261" s="129">
        <v>0</v>
      </c>
      <c r="T261" s="129">
        <v>0</v>
      </c>
      <c r="U261" s="129">
        <v>0</v>
      </c>
      <c r="V261" s="129" t="b">
        <v>0</v>
      </c>
      <c r="W261" s="129">
        <v>104701547</v>
      </c>
      <c r="X261" s="129">
        <v>0</v>
      </c>
      <c r="Y261" s="129">
        <v>0</v>
      </c>
      <c r="Z261" s="129"/>
      <c r="AA261" s="129">
        <v>0</v>
      </c>
      <c r="AB261" s="129" t="b">
        <v>0</v>
      </c>
      <c r="AC261" s="127" t="s">
        <v>142</v>
      </c>
      <c r="AD261" s="127" t="s">
        <v>142</v>
      </c>
      <c r="AE261" s="127" t="s">
        <v>142</v>
      </c>
      <c r="AF261" s="129">
        <v>225</v>
      </c>
      <c r="AG261" s="144">
        <v>43242</v>
      </c>
      <c r="AH261" s="129"/>
    </row>
    <row r="262" spans="1:34" x14ac:dyDescent="0.2">
      <c r="A262" s="127" t="s">
        <v>135</v>
      </c>
      <c r="B262" s="128">
        <v>43192.225868055553</v>
      </c>
      <c r="C262" s="127" t="s">
        <v>272</v>
      </c>
      <c r="D262" s="127" t="s">
        <v>135</v>
      </c>
      <c r="E262" s="127" t="s">
        <v>21</v>
      </c>
      <c r="F262" s="129">
        <v>6449</v>
      </c>
      <c r="G262" s="129">
        <v>6639</v>
      </c>
      <c r="H262" s="129">
        <v>26</v>
      </c>
      <c r="I262" s="129">
        <v>38000</v>
      </c>
      <c r="J262" s="129" t="b">
        <v>0</v>
      </c>
      <c r="K262" s="129" t="b">
        <v>0</v>
      </c>
      <c r="L262" s="129">
        <v>200</v>
      </c>
      <c r="M262" s="129">
        <v>0</v>
      </c>
      <c r="N262" s="129">
        <v>1461.54</v>
      </c>
      <c r="O262" s="129">
        <v>0</v>
      </c>
      <c r="P262" s="129">
        <v>0</v>
      </c>
      <c r="Q262" s="129">
        <v>38000</v>
      </c>
      <c r="R262" s="127" t="s">
        <v>136</v>
      </c>
      <c r="S262" s="129">
        <v>0</v>
      </c>
      <c r="T262" s="129">
        <v>0</v>
      </c>
      <c r="U262" s="129">
        <v>0</v>
      </c>
      <c r="V262" s="129" t="b">
        <v>0</v>
      </c>
      <c r="W262" s="129">
        <v>104583129</v>
      </c>
      <c r="X262" s="129">
        <v>0</v>
      </c>
      <c r="Y262" s="129">
        <v>0</v>
      </c>
      <c r="Z262" s="129"/>
      <c r="AA262" s="129">
        <v>0</v>
      </c>
      <c r="AB262" s="129" t="b">
        <v>0</v>
      </c>
      <c r="AC262" s="127" t="s">
        <v>142</v>
      </c>
      <c r="AD262" s="127" t="s">
        <v>142</v>
      </c>
      <c r="AE262" s="127" t="s">
        <v>142</v>
      </c>
      <c r="AF262" s="129">
        <v>190</v>
      </c>
      <c r="AG262" s="144">
        <v>43201</v>
      </c>
      <c r="AH262" s="129"/>
    </row>
    <row r="263" spans="1:34" x14ac:dyDescent="0.2">
      <c r="A263" s="127" t="s">
        <v>135</v>
      </c>
      <c r="B263" s="128">
        <v>43166.137835648151</v>
      </c>
      <c r="C263" s="127" t="s">
        <v>272</v>
      </c>
      <c r="D263" s="127" t="s">
        <v>135</v>
      </c>
      <c r="E263" s="127" t="s">
        <v>21</v>
      </c>
      <c r="F263" s="129">
        <v>6264</v>
      </c>
      <c r="G263" s="129">
        <v>6449</v>
      </c>
      <c r="H263" s="129">
        <v>28</v>
      </c>
      <c r="I263" s="129">
        <v>37000</v>
      </c>
      <c r="J263" s="129" t="b">
        <v>0</v>
      </c>
      <c r="K263" s="129" t="b">
        <v>0</v>
      </c>
      <c r="L263" s="129">
        <v>200</v>
      </c>
      <c r="M263" s="129">
        <v>0</v>
      </c>
      <c r="N263" s="129">
        <v>1321.43</v>
      </c>
      <c r="O263" s="129">
        <v>0</v>
      </c>
      <c r="P263" s="129">
        <v>0</v>
      </c>
      <c r="Q263" s="129">
        <v>37000</v>
      </c>
      <c r="R263" s="127" t="s">
        <v>136</v>
      </c>
      <c r="S263" s="129">
        <v>0</v>
      </c>
      <c r="T263" s="129">
        <v>0</v>
      </c>
      <c r="U263" s="129">
        <v>0</v>
      </c>
      <c r="V263" s="129" t="b">
        <v>0</v>
      </c>
      <c r="W263" s="129">
        <v>104505956</v>
      </c>
      <c r="X263" s="129">
        <v>0</v>
      </c>
      <c r="Y263" s="129">
        <v>0</v>
      </c>
      <c r="Z263" s="127" t="s">
        <v>243</v>
      </c>
      <c r="AA263" s="129">
        <v>0</v>
      </c>
      <c r="AB263" s="129" t="b">
        <v>0</v>
      </c>
      <c r="AC263" s="127" t="s">
        <v>142</v>
      </c>
      <c r="AD263" s="127" t="s">
        <v>142</v>
      </c>
      <c r="AE263" s="127" t="s">
        <v>142</v>
      </c>
      <c r="AF263" s="129">
        <v>185</v>
      </c>
      <c r="AG263" s="144">
        <v>43171</v>
      </c>
      <c r="AH263" s="129"/>
    </row>
    <row r="264" spans="1:34" x14ac:dyDescent="0.2">
      <c r="A264" s="127" t="s">
        <v>135</v>
      </c>
      <c r="B264" s="128">
        <v>43138.077870370369</v>
      </c>
      <c r="C264" s="127" t="s">
        <v>272</v>
      </c>
      <c r="D264" s="127" t="s">
        <v>135</v>
      </c>
      <c r="E264" s="127" t="s">
        <v>21</v>
      </c>
      <c r="F264" s="129">
        <v>6056</v>
      </c>
      <c r="G264" s="129">
        <v>6264</v>
      </c>
      <c r="H264" s="129">
        <v>30</v>
      </c>
      <c r="I264" s="129">
        <v>41600</v>
      </c>
      <c r="J264" s="129" t="b">
        <v>0</v>
      </c>
      <c r="K264" s="129" t="b">
        <v>0</v>
      </c>
      <c r="L264" s="129">
        <v>200</v>
      </c>
      <c r="M264" s="129">
        <v>0</v>
      </c>
      <c r="N264" s="129">
        <v>1386.67</v>
      </c>
      <c r="O264" s="129">
        <v>0</v>
      </c>
      <c r="P264" s="129">
        <v>0</v>
      </c>
      <c r="Q264" s="129">
        <v>41600</v>
      </c>
      <c r="R264" s="127" t="s">
        <v>136</v>
      </c>
      <c r="S264" s="129">
        <v>0</v>
      </c>
      <c r="T264" s="129">
        <v>0</v>
      </c>
      <c r="U264" s="129">
        <v>0</v>
      </c>
      <c r="V264" s="129" t="b">
        <v>0</v>
      </c>
      <c r="W264" s="129">
        <v>104422181</v>
      </c>
      <c r="X264" s="129">
        <v>0</v>
      </c>
      <c r="Y264" s="129">
        <v>0</v>
      </c>
      <c r="Z264" s="127" t="s">
        <v>243</v>
      </c>
      <c r="AA264" s="129">
        <v>0</v>
      </c>
      <c r="AB264" s="129" t="b">
        <v>0</v>
      </c>
      <c r="AC264" s="127" t="s">
        <v>142</v>
      </c>
      <c r="AD264" s="127" t="s">
        <v>142</v>
      </c>
      <c r="AE264" s="127" t="s">
        <v>142</v>
      </c>
      <c r="AF264" s="129">
        <v>208</v>
      </c>
      <c r="AG264" s="144">
        <v>43140</v>
      </c>
      <c r="AH264" s="129"/>
    </row>
    <row r="265" spans="1:34" x14ac:dyDescent="0.2">
      <c r="A265" s="127" t="s">
        <v>135</v>
      </c>
      <c r="B265" s="128">
        <v>43108.340046296296</v>
      </c>
      <c r="C265" s="127" t="s">
        <v>272</v>
      </c>
      <c r="D265" s="127" t="s">
        <v>135</v>
      </c>
      <c r="E265" s="127" t="s">
        <v>21</v>
      </c>
      <c r="F265" s="129">
        <v>5868</v>
      </c>
      <c r="G265" s="129">
        <v>6056</v>
      </c>
      <c r="H265" s="129">
        <v>32</v>
      </c>
      <c r="I265" s="129">
        <v>37600</v>
      </c>
      <c r="J265" s="129" t="b">
        <v>0</v>
      </c>
      <c r="K265" s="129" t="b">
        <v>0</v>
      </c>
      <c r="L265" s="129">
        <v>200</v>
      </c>
      <c r="M265" s="129">
        <v>0</v>
      </c>
      <c r="N265" s="129">
        <v>1175</v>
      </c>
      <c r="O265" s="129">
        <v>0</v>
      </c>
      <c r="P265" s="129">
        <v>0</v>
      </c>
      <c r="Q265" s="129">
        <v>37600</v>
      </c>
      <c r="R265" s="127" t="s">
        <v>136</v>
      </c>
      <c r="S265" s="129">
        <v>0</v>
      </c>
      <c r="T265" s="129">
        <v>0</v>
      </c>
      <c r="U265" s="129">
        <v>0</v>
      </c>
      <c r="V265" s="129" t="b">
        <v>0</v>
      </c>
      <c r="W265" s="129">
        <v>104335496</v>
      </c>
      <c r="X265" s="129">
        <v>0</v>
      </c>
      <c r="Y265" s="129">
        <v>0</v>
      </c>
      <c r="Z265" s="127" t="s">
        <v>243</v>
      </c>
      <c r="AA265" s="129">
        <v>0</v>
      </c>
      <c r="AB265" s="129" t="b">
        <v>0</v>
      </c>
      <c r="AC265" s="127" t="s">
        <v>142</v>
      </c>
      <c r="AD265" s="127" t="s">
        <v>142</v>
      </c>
      <c r="AE265" s="127" t="s">
        <v>142</v>
      </c>
      <c r="AF265" s="129">
        <v>188</v>
      </c>
      <c r="AG265" s="144">
        <v>43110</v>
      </c>
      <c r="AH265" s="129"/>
    </row>
    <row r="266" spans="1:34" x14ac:dyDescent="0.2">
      <c r="A266" s="127" t="s">
        <v>135</v>
      </c>
      <c r="B266" s="128">
        <v>43076.367685185185</v>
      </c>
      <c r="C266" s="127" t="s">
        <v>272</v>
      </c>
      <c r="D266" s="127" t="s">
        <v>135</v>
      </c>
      <c r="E266" s="127" t="s">
        <v>21</v>
      </c>
      <c r="F266" s="129">
        <v>5692</v>
      </c>
      <c r="G266" s="129">
        <v>5868</v>
      </c>
      <c r="H266" s="129">
        <v>30</v>
      </c>
      <c r="I266" s="129">
        <v>35200</v>
      </c>
      <c r="J266" s="129" t="b">
        <v>0</v>
      </c>
      <c r="K266" s="129" t="b">
        <v>0</v>
      </c>
      <c r="L266" s="129">
        <v>200</v>
      </c>
      <c r="M266" s="129">
        <v>0</v>
      </c>
      <c r="N266" s="129">
        <v>1173.33</v>
      </c>
      <c r="O266" s="129">
        <v>0</v>
      </c>
      <c r="P266" s="129">
        <v>0</v>
      </c>
      <c r="Q266" s="129">
        <v>35200</v>
      </c>
      <c r="R266" s="127" t="s">
        <v>136</v>
      </c>
      <c r="S266" s="129">
        <v>0</v>
      </c>
      <c r="T266" s="129">
        <v>0</v>
      </c>
      <c r="U266" s="129">
        <v>0</v>
      </c>
      <c r="V266" s="129" t="b">
        <v>0</v>
      </c>
      <c r="W266" s="129">
        <v>104257269</v>
      </c>
      <c r="X266" s="129">
        <v>0</v>
      </c>
      <c r="Y266" s="129">
        <v>0</v>
      </c>
      <c r="Z266" s="127" t="s">
        <v>243</v>
      </c>
      <c r="AA266" s="129">
        <v>0</v>
      </c>
      <c r="AB266" s="129" t="b">
        <v>0</v>
      </c>
      <c r="AC266" s="127" t="s">
        <v>142</v>
      </c>
      <c r="AD266" s="127" t="s">
        <v>142</v>
      </c>
      <c r="AE266" s="127" t="s">
        <v>142</v>
      </c>
      <c r="AF266" s="129">
        <v>176</v>
      </c>
      <c r="AG266" s="144">
        <v>43080</v>
      </c>
      <c r="AH266" s="129"/>
    </row>
    <row r="267" spans="1:34" x14ac:dyDescent="0.2">
      <c r="A267" s="127" t="s">
        <v>135</v>
      </c>
      <c r="B267" s="128">
        <v>43046.105995370373</v>
      </c>
      <c r="C267" s="127" t="s">
        <v>272</v>
      </c>
      <c r="D267" s="127" t="s">
        <v>135</v>
      </c>
      <c r="E267" s="127" t="s">
        <v>21</v>
      </c>
      <c r="F267" s="129">
        <v>5507</v>
      </c>
      <c r="G267" s="129">
        <v>5692</v>
      </c>
      <c r="H267" s="129">
        <v>29</v>
      </c>
      <c r="I267" s="129">
        <v>37000</v>
      </c>
      <c r="J267" s="129" t="b">
        <v>0</v>
      </c>
      <c r="K267" s="129" t="b">
        <v>0</v>
      </c>
      <c r="L267" s="129">
        <v>200</v>
      </c>
      <c r="M267" s="129">
        <v>0</v>
      </c>
      <c r="N267" s="129">
        <v>1275.8599999999999</v>
      </c>
      <c r="O267" s="129">
        <v>0</v>
      </c>
      <c r="P267" s="129">
        <v>0</v>
      </c>
      <c r="Q267" s="129">
        <v>37000</v>
      </c>
      <c r="R267" s="127" t="s">
        <v>136</v>
      </c>
      <c r="S267" s="129">
        <v>0</v>
      </c>
      <c r="T267" s="129">
        <v>0</v>
      </c>
      <c r="U267" s="129">
        <v>0</v>
      </c>
      <c r="V267" s="129" t="b">
        <v>0</v>
      </c>
      <c r="W267" s="129">
        <v>104174919</v>
      </c>
      <c r="X267" s="129">
        <v>0</v>
      </c>
      <c r="Y267" s="129">
        <v>0</v>
      </c>
      <c r="Z267" s="127" t="s">
        <v>243</v>
      </c>
      <c r="AA267" s="129">
        <v>0</v>
      </c>
      <c r="AB267" s="129" t="b">
        <v>0</v>
      </c>
      <c r="AC267" s="127" t="s">
        <v>142</v>
      </c>
      <c r="AD267" s="127" t="s">
        <v>142</v>
      </c>
      <c r="AE267" s="127" t="s">
        <v>142</v>
      </c>
      <c r="AF267" s="129">
        <v>185</v>
      </c>
      <c r="AG267" s="144">
        <v>43048</v>
      </c>
      <c r="AH267" s="129"/>
    </row>
    <row r="268" spans="1:34" x14ac:dyDescent="0.2">
      <c r="A268" s="127" t="s">
        <v>135</v>
      </c>
      <c r="B268" s="128">
        <v>43017.778333333335</v>
      </c>
      <c r="C268" s="127" t="s">
        <v>272</v>
      </c>
      <c r="D268" s="127" t="s">
        <v>135</v>
      </c>
      <c r="E268" s="127" t="s">
        <v>21</v>
      </c>
      <c r="F268" s="129">
        <v>5290</v>
      </c>
      <c r="G268" s="129">
        <v>5507</v>
      </c>
      <c r="H268" s="129">
        <v>29</v>
      </c>
      <c r="I268" s="129">
        <v>43400</v>
      </c>
      <c r="J268" s="129" t="b">
        <v>0</v>
      </c>
      <c r="K268" s="129" t="b">
        <v>0</v>
      </c>
      <c r="L268" s="129">
        <v>200</v>
      </c>
      <c r="M268" s="129">
        <v>0</v>
      </c>
      <c r="N268" s="129">
        <v>1496.55</v>
      </c>
      <c r="O268" s="129">
        <v>0</v>
      </c>
      <c r="P268" s="129">
        <v>0</v>
      </c>
      <c r="Q268" s="129">
        <v>43400</v>
      </c>
      <c r="R268" s="127" t="s">
        <v>136</v>
      </c>
      <c r="S268" s="129">
        <v>0</v>
      </c>
      <c r="T268" s="129">
        <v>0</v>
      </c>
      <c r="U268" s="129">
        <v>0</v>
      </c>
      <c r="V268" s="129" t="b">
        <v>0</v>
      </c>
      <c r="W268" s="129">
        <v>104091677</v>
      </c>
      <c r="X268" s="129">
        <v>0</v>
      </c>
      <c r="Y268" s="129">
        <v>0</v>
      </c>
      <c r="Z268" s="127" t="s">
        <v>243</v>
      </c>
      <c r="AA268" s="129">
        <v>0</v>
      </c>
      <c r="AB268" s="129" t="b">
        <v>0</v>
      </c>
      <c r="AC268" s="127" t="s">
        <v>142</v>
      </c>
      <c r="AD268" s="127" t="s">
        <v>142</v>
      </c>
      <c r="AE268" s="127" t="s">
        <v>142</v>
      </c>
      <c r="AF268" s="129">
        <v>217</v>
      </c>
      <c r="AG268" s="144">
        <v>43019</v>
      </c>
      <c r="AH268" s="129"/>
    </row>
    <row r="269" spans="1:34" x14ac:dyDescent="0.2">
      <c r="A269" s="127" t="s">
        <v>135</v>
      </c>
      <c r="B269" s="128">
        <v>42988.784212962964</v>
      </c>
      <c r="C269" s="127" t="s">
        <v>272</v>
      </c>
      <c r="D269" s="127" t="s">
        <v>135</v>
      </c>
      <c r="E269" s="127" t="s">
        <v>21</v>
      </c>
      <c r="F269" s="129">
        <v>5056</v>
      </c>
      <c r="G269" s="129">
        <v>5290</v>
      </c>
      <c r="H269" s="129">
        <v>32</v>
      </c>
      <c r="I269" s="129">
        <v>46800</v>
      </c>
      <c r="J269" s="129" t="b">
        <v>0</v>
      </c>
      <c r="K269" s="129" t="b">
        <v>0</v>
      </c>
      <c r="L269" s="129">
        <v>200</v>
      </c>
      <c r="M269" s="129">
        <v>0</v>
      </c>
      <c r="N269" s="129">
        <v>1462.5</v>
      </c>
      <c r="O269" s="129">
        <v>0</v>
      </c>
      <c r="P269" s="129">
        <v>0</v>
      </c>
      <c r="Q269" s="129">
        <v>46800</v>
      </c>
      <c r="R269" s="127" t="s">
        <v>136</v>
      </c>
      <c r="S269" s="129">
        <v>0</v>
      </c>
      <c r="T269" s="129">
        <v>0</v>
      </c>
      <c r="U269" s="129">
        <v>0</v>
      </c>
      <c r="V269" s="129" t="b">
        <v>0</v>
      </c>
      <c r="W269" s="129">
        <v>104010589</v>
      </c>
      <c r="X269" s="129">
        <v>0</v>
      </c>
      <c r="Y269" s="129">
        <v>0</v>
      </c>
      <c r="Z269" s="127" t="s">
        <v>243</v>
      </c>
      <c r="AA269" s="129">
        <v>0</v>
      </c>
      <c r="AB269" s="129" t="b">
        <v>0</v>
      </c>
      <c r="AC269" s="127" t="s">
        <v>142</v>
      </c>
      <c r="AD269" s="127" t="s">
        <v>142</v>
      </c>
      <c r="AE269" s="127" t="s">
        <v>142</v>
      </c>
      <c r="AF269" s="129">
        <v>234</v>
      </c>
      <c r="AG269" s="144">
        <v>42990</v>
      </c>
      <c r="AH269" s="129"/>
    </row>
    <row r="270" spans="1:34" x14ac:dyDescent="0.2">
      <c r="A270" s="127" t="s">
        <v>135</v>
      </c>
      <c r="B270" s="128">
        <v>42956.787997685184</v>
      </c>
      <c r="C270" s="127" t="s">
        <v>272</v>
      </c>
      <c r="D270" s="127" t="s">
        <v>135</v>
      </c>
      <c r="E270" s="127" t="s">
        <v>21</v>
      </c>
      <c r="F270" s="129">
        <v>4811</v>
      </c>
      <c r="G270" s="129">
        <v>5056</v>
      </c>
      <c r="H270" s="129">
        <v>31</v>
      </c>
      <c r="I270" s="129">
        <v>49000</v>
      </c>
      <c r="J270" s="129" t="b">
        <v>0</v>
      </c>
      <c r="K270" s="129" t="b">
        <v>0</v>
      </c>
      <c r="L270" s="129">
        <v>200</v>
      </c>
      <c r="M270" s="129">
        <v>0</v>
      </c>
      <c r="N270" s="129">
        <v>1580.65</v>
      </c>
      <c r="O270" s="129">
        <v>0</v>
      </c>
      <c r="P270" s="129">
        <v>0</v>
      </c>
      <c r="Q270" s="129">
        <v>49000</v>
      </c>
      <c r="R270" s="127" t="s">
        <v>136</v>
      </c>
      <c r="S270" s="129">
        <v>0</v>
      </c>
      <c r="T270" s="129">
        <v>0</v>
      </c>
      <c r="U270" s="129">
        <v>0</v>
      </c>
      <c r="V270" s="129" t="b">
        <v>0</v>
      </c>
      <c r="W270" s="129">
        <v>103933153</v>
      </c>
      <c r="X270" s="129">
        <v>0</v>
      </c>
      <c r="Y270" s="129">
        <v>0</v>
      </c>
      <c r="Z270" s="127" t="s">
        <v>243</v>
      </c>
      <c r="AA270" s="129">
        <v>0</v>
      </c>
      <c r="AB270" s="129" t="b">
        <v>0</v>
      </c>
      <c r="AC270" s="127" t="s">
        <v>142</v>
      </c>
      <c r="AD270" s="127" t="s">
        <v>142</v>
      </c>
      <c r="AE270" s="127" t="s">
        <v>142</v>
      </c>
      <c r="AF270" s="129">
        <v>245</v>
      </c>
      <c r="AG270" s="144">
        <v>42958</v>
      </c>
      <c r="AH270" s="129"/>
    </row>
    <row r="271" spans="1:34" x14ac:dyDescent="0.2">
      <c r="A271" s="127" t="s">
        <v>135</v>
      </c>
      <c r="B271" s="128">
        <v>42925.747604166667</v>
      </c>
      <c r="C271" s="127" t="s">
        <v>272</v>
      </c>
      <c r="D271" s="127" t="s">
        <v>135</v>
      </c>
      <c r="E271" s="127" t="s">
        <v>21</v>
      </c>
      <c r="F271" s="129">
        <v>4583</v>
      </c>
      <c r="G271" s="129">
        <v>4811</v>
      </c>
      <c r="H271" s="129">
        <v>31</v>
      </c>
      <c r="I271" s="129">
        <v>45600</v>
      </c>
      <c r="J271" s="129" t="b">
        <v>0</v>
      </c>
      <c r="K271" s="129" t="b">
        <v>0</v>
      </c>
      <c r="L271" s="129">
        <v>200</v>
      </c>
      <c r="M271" s="129">
        <v>0</v>
      </c>
      <c r="N271" s="129">
        <v>1470.97</v>
      </c>
      <c r="O271" s="129">
        <v>0</v>
      </c>
      <c r="P271" s="129">
        <v>0</v>
      </c>
      <c r="Q271" s="129">
        <v>45600</v>
      </c>
      <c r="R271" s="127" t="s">
        <v>136</v>
      </c>
      <c r="S271" s="129">
        <v>0</v>
      </c>
      <c r="T271" s="129">
        <v>0</v>
      </c>
      <c r="U271" s="129">
        <v>0</v>
      </c>
      <c r="V271" s="129" t="b">
        <v>0</v>
      </c>
      <c r="W271" s="129">
        <v>103851751</v>
      </c>
      <c r="X271" s="129">
        <v>0</v>
      </c>
      <c r="Y271" s="129">
        <v>0</v>
      </c>
      <c r="Z271" s="127" t="s">
        <v>243</v>
      </c>
      <c r="AA271" s="129">
        <v>0</v>
      </c>
      <c r="AB271" s="129" t="b">
        <v>0</v>
      </c>
      <c r="AC271" s="127" t="s">
        <v>142</v>
      </c>
      <c r="AD271" s="127" t="s">
        <v>142</v>
      </c>
      <c r="AE271" s="127" t="s">
        <v>142</v>
      </c>
      <c r="AF271" s="129">
        <v>228</v>
      </c>
      <c r="AG271" s="144">
        <v>42928</v>
      </c>
      <c r="AH271" s="129"/>
    </row>
    <row r="272" spans="1:34" x14ac:dyDescent="0.2">
      <c r="A272" s="127" t="s">
        <v>135</v>
      </c>
      <c r="B272" s="128">
        <v>42894.780185185184</v>
      </c>
      <c r="C272" s="127" t="s">
        <v>272</v>
      </c>
      <c r="D272" s="127" t="s">
        <v>135</v>
      </c>
      <c r="E272" s="127" t="s">
        <v>21</v>
      </c>
      <c r="F272" s="129">
        <v>4429</v>
      </c>
      <c r="G272" s="129">
        <v>4583</v>
      </c>
      <c r="H272" s="129">
        <v>35</v>
      </c>
      <c r="I272" s="129">
        <v>30800</v>
      </c>
      <c r="J272" s="129" t="b">
        <v>0</v>
      </c>
      <c r="K272" s="129" t="b">
        <v>0</v>
      </c>
      <c r="L272" s="129">
        <v>200</v>
      </c>
      <c r="M272" s="129">
        <v>0</v>
      </c>
      <c r="N272" s="129">
        <v>880</v>
      </c>
      <c r="O272" s="129">
        <v>0</v>
      </c>
      <c r="P272" s="129">
        <v>0</v>
      </c>
      <c r="Q272" s="129">
        <v>30800</v>
      </c>
      <c r="R272" s="127" t="s">
        <v>136</v>
      </c>
      <c r="S272" s="129">
        <v>0</v>
      </c>
      <c r="T272" s="129">
        <v>0</v>
      </c>
      <c r="U272" s="129">
        <v>0</v>
      </c>
      <c r="V272" s="129" t="b">
        <v>0</v>
      </c>
      <c r="W272" s="129">
        <v>103774593</v>
      </c>
      <c r="X272" s="129">
        <v>0</v>
      </c>
      <c r="Y272" s="129">
        <v>0</v>
      </c>
      <c r="Z272" s="127" t="s">
        <v>243</v>
      </c>
      <c r="AA272" s="129">
        <v>0</v>
      </c>
      <c r="AB272" s="129" t="b">
        <v>0</v>
      </c>
      <c r="AC272" s="127" t="s">
        <v>142</v>
      </c>
      <c r="AD272" s="127" t="s">
        <v>142</v>
      </c>
      <c r="AE272" s="127" t="s">
        <v>142</v>
      </c>
      <c r="AF272" s="129">
        <v>154</v>
      </c>
      <c r="AG272" s="144">
        <v>42898</v>
      </c>
      <c r="AH272" s="129"/>
    </row>
    <row r="273" spans="1:34" x14ac:dyDescent="0.2">
      <c r="A273" s="127" t="s">
        <v>135</v>
      </c>
      <c r="B273" s="128">
        <v>42859</v>
      </c>
      <c r="C273" s="127" t="s">
        <v>272</v>
      </c>
      <c r="D273" s="127" t="s">
        <v>135</v>
      </c>
      <c r="E273" s="127" t="s">
        <v>21</v>
      </c>
      <c r="F273" s="129">
        <v>4176</v>
      </c>
      <c r="G273" s="129">
        <v>4429</v>
      </c>
      <c r="H273" s="129">
        <v>27</v>
      </c>
      <c r="I273" s="129">
        <v>50600</v>
      </c>
      <c r="J273" s="129" t="b">
        <v>0</v>
      </c>
      <c r="K273" s="129" t="b">
        <v>0</v>
      </c>
      <c r="L273" s="129">
        <v>200</v>
      </c>
      <c r="M273" s="129">
        <v>0</v>
      </c>
      <c r="N273" s="129">
        <v>1874.07</v>
      </c>
      <c r="O273" s="129">
        <v>0</v>
      </c>
      <c r="P273" s="129">
        <v>0</v>
      </c>
      <c r="Q273" s="129">
        <v>50600</v>
      </c>
      <c r="R273" s="127" t="s">
        <v>136</v>
      </c>
      <c r="S273" s="129">
        <v>0</v>
      </c>
      <c r="T273" s="129">
        <v>0</v>
      </c>
      <c r="U273" s="129">
        <v>0</v>
      </c>
      <c r="V273" s="129" t="b">
        <v>0</v>
      </c>
      <c r="W273" s="129">
        <v>103709346</v>
      </c>
      <c r="X273" s="129">
        <v>0</v>
      </c>
      <c r="Y273" s="129">
        <v>0</v>
      </c>
      <c r="Z273" s="129"/>
      <c r="AA273" s="129">
        <v>0</v>
      </c>
      <c r="AB273" s="129" t="b">
        <v>0</v>
      </c>
      <c r="AC273" s="127" t="s">
        <v>142</v>
      </c>
      <c r="AD273" s="127" t="s">
        <v>142</v>
      </c>
      <c r="AE273" s="127" t="s">
        <v>142</v>
      </c>
      <c r="AF273" s="129">
        <v>253</v>
      </c>
      <c r="AG273" s="144">
        <v>42871</v>
      </c>
      <c r="AH273" s="129"/>
    </row>
    <row r="274" spans="1:34" x14ac:dyDescent="0.2">
      <c r="A274" s="127" t="s">
        <v>135</v>
      </c>
      <c r="B274" s="128">
        <v>42832</v>
      </c>
      <c r="C274" s="127" t="s">
        <v>272</v>
      </c>
      <c r="D274" s="127" t="s">
        <v>135</v>
      </c>
      <c r="E274" s="127" t="s">
        <v>21</v>
      </c>
      <c r="F274" s="129">
        <v>3977</v>
      </c>
      <c r="G274" s="129">
        <v>4176</v>
      </c>
      <c r="H274" s="129">
        <v>29</v>
      </c>
      <c r="I274" s="129">
        <v>39800</v>
      </c>
      <c r="J274" s="129" t="b">
        <v>0</v>
      </c>
      <c r="K274" s="129" t="b">
        <v>0</v>
      </c>
      <c r="L274" s="129">
        <v>200</v>
      </c>
      <c r="M274" s="129">
        <v>0</v>
      </c>
      <c r="N274" s="129">
        <v>1372.41</v>
      </c>
      <c r="O274" s="129">
        <v>0</v>
      </c>
      <c r="P274" s="129">
        <v>0</v>
      </c>
      <c r="Q274" s="129">
        <v>39800</v>
      </c>
      <c r="R274" s="127" t="s">
        <v>136</v>
      </c>
      <c r="S274" s="129">
        <v>0</v>
      </c>
      <c r="T274" s="129">
        <v>0</v>
      </c>
      <c r="U274" s="129">
        <v>0</v>
      </c>
      <c r="V274" s="129" t="b">
        <v>0</v>
      </c>
      <c r="W274" s="129">
        <v>103624069</v>
      </c>
      <c r="X274" s="129">
        <v>0</v>
      </c>
      <c r="Y274" s="129">
        <v>0</v>
      </c>
      <c r="Z274" s="129"/>
      <c r="AA274" s="129">
        <v>0</v>
      </c>
      <c r="AB274" s="129" t="b">
        <v>0</v>
      </c>
      <c r="AC274" s="127" t="s">
        <v>142</v>
      </c>
      <c r="AD274" s="127" t="s">
        <v>142</v>
      </c>
      <c r="AE274" s="127" t="s">
        <v>142</v>
      </c>
      <c r="AF274" s="129">
        <v>199</v>
      </c>
      <c r="AG274" s="144">
        <v>42837</v>
      </c>
      <c r="AH274" s="129"/>
    </row>
    <row r="275" spans="1:34" x14ac:dyDescent="0.2">
      <c r="A275" s="127" t="s">
        <v>135</v>
      </c>
      <c r="B275" s="128">
        <v>42803.693738425929</v>
      </c>
      <c r="C275" s="127" t="s">
        <v>272</v>
      </c>
      <c r="D275" s="127" t="s">
        <v>135</v>
      </c>
      <c r="E275" s="127" t="s">
        <v>21</v>
      </c>
      <c r="F275" s="129">
        <v>3600</v>
      </c>
      <c r="G275" s="129">
        <v>3977</v>
      </c>
      <c r="H275" s="129">
        <v>31</v>
      </c>
      <c r="I275" s="129">
        <v>75400</v>
      </c>
      <c r="J275" s="129" t="b">
        <v>0</v>
      </c>
      <c r="K275" s="129" t="b">
        <v>0</v>
      </c>
      <c r="L275" s="129">
        <v>200</v>
      </c>
      <c r="M275" s="129">
        <v>0</v>
      </c>
      <c r="N275" s="129">
        <v>2432.2600000000002</v>
      </c>
      <c r="O275" s="129">
        <v>0</v>
      </c>
      <c r="P275" s="129">
        <v>0</v>
      </c>
      <c r="Q275" s="129">
        <v>75400</v>
      </c>
      <c r="R275" s="127" t="s">
        <v>136</v>
      </c>
      <c r="S275" s="129">
        <v>0</v>
      </c>
      <c r="T275" s="129">
        <v>0</v>
      </c>
      <c r="U275" s="129">
        <v>0</v>
      </c>
      <c r="V275" s="129" t="b">
        <v>0</v>
      </c>
      <c r="W275" s="129">
        <v>103535817</v>
      </c>
      <c r="X275" s="129">
        <v>0</v>
      </c>
      <c r="Y275" s="129">
        <v>0</v>
      </c>
      <c r="Z275" s="127" t="s">
        <v>243</v>
      </c>
      <c r="AA275" s="129">
        <v>0</v>
      </c>
      <c r="AB275" s="129" t="b">
        <v>0</v>
      </c>
      <c r="AC275" s="127" t="s">
        <v>142</v>
      </c>
      <c r="AD275" s="127" t="s">
        <v>142</v>
      </c>
      <c r="AE275" s="127" t="s">
        <v>142</v>
      </c>
      <c r="AF275" s="129">
        <v>377</v>
      </c>
      <c r="AG275" s="144">
        <v>42807</v>
      </c>
      <c r="AH275" s="129"/>
    </row>
    <row r="276" spans="1:34" x14ac:dyDescent="0.2">
      <c r="A276" s="127" t="s">
        <v>135</v>
      </c>
      <c r="B276" s="128">
        <v>42772.737303240741</v>
      </c>
      <c r="C276" s="127" t="s">
        <v>272</v>
      </c>
      <c r="D276" s="127" t="s">
        <v>135</v>
      </c>
      <c r="E276" s="127" t="s">
        <v>21</v>
      </c>
      <c r="F276" s="129">
        <v>3600</v>
      </c>
      <c r="G276" s="129">
        <v>3600</v>
      </c>
      <c r="H276" s="129">
        <v>28</v>
      </c>
      <c r="I276" s="129">
        <v>0</v>
      </c>
      <c r="J276" s="129" t="b">
        <v>0</v>
      </c>
      <c r="K276" s="129" t="b">
        <v>0</v>
      </c>
      <c r="L276" s="129">
        <v>200</v>
      </c>
      <c r="M276" s="129">
        <v>0</v>
      </c>
      <c r="N276" s="129">
        <v>0</v>
      </c>
      <c r="O276" s="129">
        <v>0</v>
      </c>
      <c r="P276" s="129">
        <v>0</v>
      </c>
      <c r="Q276" s="129">
        <v>0</v>
      </c>
      <c r="R276" s="127" t="s">
        <v>136</v>
      </c>
      <c r="S276" s="129">
        <v>0</v>
      </c>
      <c r="T276" s="129">
        <v>0</v>
      </c>
      <c r="U276" s="129">
        <v>0</v>
      </c>
      <c r="V276" s="129" t="b">
        <v>0</v>
      </c>
      <c r="W276" s="129">
        <v>103454111</v>
      </c>
      <c r="X276" s="129">
        <v>0</v>
      </c>
      <c r="Y276" s="129">
        <v>0</v>
      </c>
      <c r="Z276" s="127" t="s">
        <v>243</v>
      </c>
      <c r="AA276" s="129">
        <v>0</v>
      </c>
      <c r="AB276" s="129" t="b">
        <v>0</v>
      </c>
      <c r="AC276" s="127" t="s">
        <v>142</v>
      </c>
      <c r="AD276" s="127" t="s">
        <v>142</v>
      </c>
      <c r="AE276" s="127" t="s">
        <v>142</v>
      </c>
      <c r="AF276" s="129">
        <v>0</v>
      </c>
      <c r="AG276" s="144">
        <v>42774</v>
      </c>
      <c r="AH276" s="129"/>
    </row>
    <row r="277" spans="1:34" x14ac:dyDescent="0.2">
      <c r="A277" s="127" t="s">
        <v>135</v>
      </c>
      <c r="B277" s="128">
        <v>42744.715914351851</v>
      </c>
      <c r="C277" s="127" t="s">
        <v>272</v>
      </c>
      <c r="D277" s="127" t="s">
        <v>135</v>
      </c>
      <c r="E277" s="127" t="s">
        <v>21</v>
      </c>
      <c r="F277" s="129">
        <v>3402</v>
      </c>
      <c r="G277" s="129">
        <v>3600</v>
      </c>
      <c r="H277" s="129">
        <v>35</v>
      </c>
      <c r="I277" s="129">
        <v>39600</v>
      </c>
      <c r="J277" s="129" t="b">
        <v>0</v>
      </c>
      <c r="K277" s="129" t="b">
        <v>0</v>
      </c>
      <c r="L277" s="129">
        <v>200</v>
      </c>
      <c r="M277" s="129">
        <v>0</v>
      </c>
      <c r="N277" s="129">
        <v>1131.43</v>
      </c>
      <c r="O277" s="129">
        <v>0</v>
      </c>
      <c r="P277" s="129">
        <v>0</v>
      </c>
      <c r="Q277" s="129">
        <v>39600</v>
      </c>
      <c r="R277" s="127" t="s">
        <v>136</v>
      </c>
      <c r="S277" s="129">
        <v>0</v>
      </c>
      <c r="T277" s="129">
        <v>0</v>
      </c>
      <c r="U277" s="129">
        <v>0</v>
      </c>
      <c r="V277" s="129" t="b">
        <v>0</v>
      </c>
      <c r="W277" s="129">
        <v>103378116</v>
      </c>
      <c r="X277" s="129">
        <v>0</v>
      </c>
      <c r="Y277" s="129">
        <v>0</v>
      </c>
      <c r="Z277" s="127" t="s">
        <v>243</v>
      </c>
      <c r="AA277" s="129">
        <v>0</v>
      </c>
      <c r="AB277" s="129" t="b">
        <v>0</v>
      </c>
      <c r="AC277" s="127" t="s">
        <v>142</v>
      </c>
      <c r="AD277" s="127" t="s">
        <v>142</v>
      </c>
      <c r="AE277" s="127" t="s">
        <v>142</v>
      </c>
      <c r="AF277" s="129">
        <v>198</v>
      </c>
      <c r="AG277" s="144">
        <v>42746</v>
      </c>
      <c r="AH277" s="129"/>
    </row>
    <row r="278" spans="1:34" x14ac:dyDescent="0.2">
      <c r="A278" s="127" t="s">
        <v>135</v>
      </c>
      <c r="B278" s="128">
        <v>42709.709826388891</v>
      </c>
      <c r="C278" s="127" t="s">
        <v>272</v>
      </c>
      <c r="D278" s="127" t="s">
        <v>135</v>
      </c>
      <c r="E278" s="127" t="s">
        <v>21</v>
      </c>
      <c r="F278" s="129">
        <v>3210</v>
      </c>
      <c r="G278" s="129">
        <v>3402</v>
      </c>
      <c r="H278" s="129">
        <v>32</v>
      </c>
      <c r="I278" s="129">
        <v>38400</v>
      </c>
      <c r="J278" s="129" t="b">
        <v>0</v>
      </c>
      <c r="K278" s="129" t="b">
        <v>0</v>
      </c>
      <c r="L278" s="129">
        <v>200</v>
      </c>
      <c r="M278" s="129">
        <v>0</v>
      </c>
      <c r="N278" s="129">
        <v>1200</v>
      </c>
      <c r="O278" s="129">
        <v>0</v>
      </c>
      <c r="P278" s="129">
        <v>0</v>
      </c>
      <c r="Q278" s="129">
        <v>38400</v>
      </c>
      <c r="R278" s="127" t="s">
        <v>136</v>
      </c>
      <c r="S278" s="129">
        <v>0</v>
      </c>
      <c r="T278" s="129">
        <v>0</v>
      </c>
      <c r="U278" s="129">
        <v>0</v>
      </c>
      <c r="V278" s="129" t="b">
        <v>0</v>
      </c>
      <c r="W278" s="129">
        <v>103302354</v>
      </c>
      <c r="X278" s="129">
        <v>0</v>
      </c>
      <c r="Y278" s="129">
        <v>0</v>
      </c>
      <c r="Z278" s="127" t="s">
        <v>243</v>
      </c>
      <c r="AA278" s="129">
        <v>0</v>
      </c>
      <c r="AB278" s="129" t="b">
        <v>0</v>
      </c>
      <c r="AC278" s="127" t="s">
        <v>142</v>
      </c>
      <c r="AD278" s="127" t="s">
        <v>142</v>
      </c>
      <c r="AE278" s="127" t="s">
        <v>142</v>
      </c>
      <c r="AF278" s="129">
        <v>192</v>
      </c>
      <c r="AG278" s="144">
        <v>42713</v>
      </c>
      <c r="AH278" s="129"/>
    </row>
    <row r="279" spans="1:34" x14ac:dyDescent="0.2">
      <c r="A279" s="127" t="s">
        <v>135</v>
      </c>
      <c r="B279" s="128">
        <v>42677</v>
      </c>
      <c r="C279" s="127" t="s">
        <v>272</v>
      </c>
      <c r="D279" s="127" t="s">
        <v>135</v>
      </c>
      <c r="E279" s="127" t="s">
        <v>21</v>
      </c>
      <c r="F279" s="129">
        <v>3045</v>
      </c>
      <c r="G279" s="129">
        <v>3210</v>
      </c>
      <c r="H279" s="129">
        <v>29</v>
      </c>
      <c r="I279" s="129">
        <v>33000</v>
      </c>
      <c r="J279" s="129" t="b">
        <v>0</v>
      </c>
      <c r="K279" s="129" t="b">
        <v>0</v>
      </c>
      <c r="L279" s="129">
        <v>200</v>
      </c>
      <c r="M279" s="129">
        <v>0</v>
      </c>
      <c r="N279" s="129">
        <v>1137.93</v>
      </c>
      <c r="O279" s="129">
        <v>0</v>
      </c>
      <c r="P279" s="129">
        <v>0</v>
      </c>
      <c r="Q279" s="129">
        <v>33000</v>
      </c>
      <c r="R279" s="127" t="s">
        <v>136</v>
      </c>
      <c r="S279" s="129">
        <v>0</v>
      </c>
      <c r="T279" s="129">
        <v>0</v>
      </c>
      <c r="U279" s="129">
        <v>0</v>
      </c>
      <c r="V279" s="129" t="b">
        <v>0</v>
      </c>
      <c r="W279" s="129">
        <v>103227741</v>
      </c>
      <c r="X279" s="129">
        <v>0</v>
      </c>
      <c r="Y279" s="129">
        <v>0</v>
      </c>
      <c r="Z279" s="129"/>
      <c r="AA279" s="129">
        <v>0</v>
      </c>
      <c r="AB279" s="129" t="b">
        <v>0</v>
      </c>
      <c r="AC279" s="127" t="s">
        <v>142</v>
      </c>
      <c r="AD279" s="127" t="s">
        <v>142</v>
      </c>
      <c r="AE279" s="127" t="s">
        <v>142</v>
      </c>
      <c r="AF279" s="129">
        <v>165</v>
      </c>
      <c r="AG279" s="144">
        <v>42682</v>
      </c>
      <c r="AH279" s="129"/>
    </row>
    <row r="280" spans="1:34" x14ac:dyDescent="0.2">
      <c r="A280" s="127" t="s">
        <v>135</v>
      </c>
      <c r="B280" s="128">
        <v>42648</v>
      </c>
      <c r="C280" s="127" t="s">
        <v>272</v>
      </c>
      <c r="D280" s="127" t="s">
        <v>135</v>
      </c>
      <c r="E280" s="127" t="s">
        <v>21</v>
      </c>
      <c r="F280" s="129">
        <v>2779</v>
      </c>
      <c r="G280" s="129">
        <v>3045</v>
      </c>
      <c r="H280" s="129">
        <v>29</v>
      </c>
      <c r="I280" s="129">
        <v>53200</v>
      </c>
      <c r="J280" s="129" t="b">
        <v>0</v>
      </c>
      <c r="K280" s="129" t="b">
        <v>0</v>
      </c>
      <c r="L280" s="129">
        <v>200</v>
      </c>
      <c r="M280" s="129">
        <v>0</v>
      </c>
      <c r="N280" s="129">
        <v>1834.48</v>
      </c>
      <c r="O280" s="129">
        <v>0</v>
      </c>
      <c r="P280" s="129">
        <v>0</v>
      </c>
      <c r="Q280" s="129">
        <v>53200</v>
      </c>
      <c r="R280" s="127" t="s">
        <v>136</v>
      </c>
      <c r="S280" s="129">
        <v>0</v>
      </c>
      <c r="T280" s="129">
        <v>0</v>
      </c>
      <c r="U280" s="129">
        <v>0</v>
      </c>
      <c r="V280" s="129" t="b">
        <v>0</v>
      </c>
      <c r="W280" s="129">
        <v>103156771</v>
      </c>
      <c r="X280" s="129">
        <v>0</v>
      </c>
      <c r="Y280" s="129">
        <v>0</v>
      </c>
      <c r="Z280" s="129"/>
      <c r="AA280" s="129">
        <v>0</v>
      </c>
      <c r="AB280" s="129" t="b">
        <v>0</v>
      </c>
      <c r="AC280" s="127" t="s">
        <v>142</v>
      </c>
      <c r="AD280" s="127" t="s">
        <v>142</v>
      </c>
      <c r="AE280" s="127" t="s">
        <v>142</v>
      </c>
      <c r="AF280" s="129">
        <v>266</v>
      </c>
      <c r="AG280" s="144">
        <v>42657</v>
      </c>
      <c r="AH280" s="129"/>
    </row>
    <row r="281" spans="1:34" x14ac:dyDescent="0.2">
      <c r="A281" s="127" t="s">
        <v>135</v>
      </c>
      <c r="B281" s="128">
        <v>42619.780486111114</v>
      </c>
      <c r="C281" s="127" t="s">
        <v>272</v>
      </c>
      <c r="D281" s="127" t="s">
        <v>135</v>
      </c>
      <c r="E281" s="127" t="s">
        <v>21</v>
      </c>
      <c r="F281" s="129">
        <v>2528</v>
      </c>
      <c r="G281" s="129">
        <v>2779</v>
      </c>
      <c r="H281" s="129">
        <v>30</v>
      </c>
      <c r="I281" s="129">
        <v>50200</v>
      </c>
      <c r="J281" s="129" t="b">
        <v>0</v>
      </c>
      <c r="K281" s="129" t="b">
        <v>0</v>
      </c>
      <c r="L281" s="129">
        <v>200</v>
      </c>
      <c r="M281" s="129">
        <v>0</v>
      </c>
      <c r="N281" s="129">
        <v>1673.33</v>
      </c>
      <c r="O281" s="129">
        <v>0</v>
      </c>
      <c r="P281" s="129">
        <v>0</v>
      </c>
      <c r="Q281" s="129">
        <v>50200</v>
      </c>
      <c r="R281" s="127" t="s">
        <v>136</v>
      </c>
      <c r="S281" s="129">
        <v>0</v>
      </c>
      <c r="T281" s="129">
        <v>0</v>
      </c>
      <c r="U281" s="129">
        <v>0</v>
      </c>
      <c r="V281" s="129" t="b">
        <v>0</v>
      </c>
      <c r="W281" s="129">
        <v>103066724</v>
      </c>
      <c r="X281" s="129">
        <v>0</v>
      </c>
      <c r="Y281" s="129">
        <v>0</v>
      </c>
      <c r="Z281" s="129"/>
      <c r="AA281" s="129">
        <v>0</v>
      </c>
      <c r="AB281" s="129" t="b">
        <v>0</v>
      </c>
      <c r="AC281" s="127" t="s">
        <v>142</v>
      </c>
      <c r="AD281" s="127" t="s">
        <v>142</v>
      </c>
      <c r="AE281" s="127" t="s">
        <v>142</v>
      </c>
      <c r="AF281" s="129">
        <v>251</v>
      </c>
      <c r="AG281" s="144">
        <v>42625</v>
      </c>
      <c r="AH281" s="129"/>
    </row>
    <row r="282" spans="1:34" x14ac:dyDescent="0.2">
      <c r="A282" s="127" t="s">
        <v>135</v>
      </c>
      <c r="B282" s="128">
        <v>42589.789097222223</v>
      </c>
      <c r="C282" s="127" t="s">
        <v>272</v>
      </c>
      <c r="D282" s="127" t="s">
        <v>135</v>
      </c>
      <c r="E282" s="127" t="s">
        <v>21</v>
      </c>
      <c r="F282" s="129">
        <v>2016</v>
      </c>
      <c r="G282" s="129">
        <v>2528</v>
      </c>
      <c r="H282" s="129">
        <v>32</v>
      </c>
      <c r="I282" s="129">
        <v>102400</v>
      </c>
      <c r="J282" s="129" t="b">
        <v>0</v>
      </c>
      <c r="K282" s="129" t="b">
        <v>0</v>
      </c>
      <c r="L282" s="129">
        <v>200</v>
      </c>
      <c r="M282" s="129">
        <v>0</v>
      </c>
      <c r="N282" s="129">
        <v>3200</v>
      </c>
      <c r="O282" s="129">
        <v>0</v>
      </c>
      <c r="P282" s="129">
        <v>0</v>
      </c>
      <c r="Q282" s="129">
        <v>102400</v>
      </c>
      <c r="R282" s="127" t="s">
        <v>136</v>
      </c>
      <c r="S282" s="129">
        <v>0</v>
      </c>
      <c r="T282" s="129">
        <v>0</v>
      </c>
      <c r="U282" s="129">
        <v>0</v>
      </c>
      <c r="V282" s="129" t="b">
        <v>0</v>
      </c>
      <c r="W282" s="129">
        <v>102986863</v>
      </c>
      <c r="X282" s="129">
        <v>0</v>
      </c>
      <c r="Y282" s="129">
        <v>0</v>
      </c>
      <c r="Z282" s="129"/>
      <c r="AA282" s="129">
        <v>0</v>
      </c>
      <c r="AB282" s="129" t="b">
        <v>0</v>
      </c>
      <c r="AC282" s="127" t="s">
        <v>142</v>
      </c>
      <c r="AD282" s="127" t="s">
        <v>142</v>
      </c>
      <c r="AE282" s="127" t="s">
        <v>142</v>
      </c>
      <c r="AF282" s="129">
        <v>512</v>
      </c>
      <c r="AG282" s="144">
        <v>42593</v>
      </c>
      <c r="AH282" s="129"/>
    </row>
    <row r="283" spans="1:34" x14ac:dyDescent="0.2">
      <c r="A283" s="127" t="s">
        <v>135</v>
      </c>
      <c r="B283" s="128">
        <v>42557.760648148149</v>
      </c>
      <c r="C283" s="127" t="s">
        <v>272</v>
      </c>
      <c r="D283" s="127" t="s">
        <v>135</v>
      </c>
      <c r="E283" s="127" t="s">
        <v>21</v>
      </c>
      <c r="F283" s="129">
        <v>1811</v>
      </c>
      <c r="G283" s="129">
        <v>2016</v>
      </c>
      <c r="H283" s="129">
        <v>31</v>
      </c>
      <c r="I283" s="129">
        <v>41000</v>
      </c>
      <c r="J283" s="129" t="b">
        <v>0</v>
      </c>
      <c r="K283" s="129" t="b">
        <v>0</v>
      </c>
      <c r="L283" s="129">
        <v>200</v>
      </c>
      <c r="M283" s="129">
        <v>0</v>
      </c>
      <c r="N283" s="129">
        <v>1322.58</v>
      </c>
      <c r="O283" s="129">
        <v>0</v>
      </c>
      <c r="P283" s="129">
        <v>0</v>
      </c>
      <c r="Q283" s="129">
        <v>41000</v>
      </c>
      <c r="R283" s="127" t="s">
        <v>136</v>
      </c>
      <c r="S283" s="129">
        <v>0</v>
      </c>
      <c r="T283" s="129">
        <v>0</v>
      </c>
      <c r="U283" s="129">
        <v>0</v>
      </c>
      <c r="V283" s="129" t="b">
        <v>0</v>
      </c>
      <c r="W283" s="129">
        <v>102909281</v>
      </c>
      <c r="X283" s="129">
        <v>0</v>
      </c>
      <c r="Y283" s="129">
        <v>0</v>
      </c>
      <c r="Z283" s="129"/>
      <c r="AA283" s="129">
        <v>0</v>
      </c>
      <c r="AB283" s="129" t="b">
        <v>0</v>
      </c>
      <c r="AC283" s="127" t="s">
        <v>142</v>
      </c>
      <c r="AD283" s="127" t="s">
        <v>142</v>
      </c>
      <c r="AE283" s="127" t="s">
        <v>142</v>
      </c>
      <c r="AF283" s="129">
        <v>205</v>
      </c>
      <c r="AG283" s="144">
        <v>42563</v>
      </c>
      <c r="AH283" s="129"/>
    </row>
    <row r="284" spans="1:34" x14ac:dyDescent="0.2">
      <c r="A284" s="127" t="s">
        <v>135</v>
      </c>
      <c r="B284" s="128">
        <v>42526.338043981479</v>
      </c>
      <c r="C284" s="127" t="s">
        <v>272</v>
      </c>
      <c r="D284" s="127" t="s">
        <v>135</v>
      </c>
      <c r="E284" s="127" t="s">
        <v>21</v>
      </c>
      <c r="F284" s="129">
        <v>1617</v>
      </c>
      <c r="G284" s="129">
        <v>1811</v>
      </c>
      <c r="H284" s="129">
        <v>32</v>
      </c>
      <c r="I284" s="129">
        <v>38800</v>
      </c>
      <c r="J284" s="129" t="b">
        <v>0</v>
      </c>
      <c r="K284" s="129" t="b">
        <v>0</v>
      </c>
      <c r="L284" s="129">
        <v>200</v>
      </c>
      <c r="M284" s="129">
        <v>0</v>
      </c>
      <c r="N284" s="129">
        <v>1212.5</v>
      </c>
      <c r="O284" s="129">
        <v>0</v>
      </c>
      <c r="P284" s="129">
        <v>0</v>
      </c>
      <c r="Q284" s="129">
        <v>38800</v>
      </c>
      <c r="R284" s="127" t="s">
        <v>136</v>
      </c>
      <c r="S284" s="129">
        <v>0</v>
      </c>
      <c r="T284" s="129">
        <v>0</v>
      </c>
      <c r="U284" s="129">
        <v>0</v>
      </c>
      <c r="V284" s="129" t="b">
        <v>0</v>
      </c>
      <c r="W284" s="129">
        <v>102829013</v>
      </c>
      <c r="X284" s="129">
        <v>0</v>
      </c>
      <c r="Y284" s="129">
        <v>0</v>
      </c>
      <c r="Z284" s="129"/>
      <c r="AA284" s="129">
        <v>0</v>
      </c>
      <c r="AB284" s="129" t="b">
        <v>0</v>
      </c>
      <c r="AC284" s="127" t="s">
        <v>142</v>
      </c>
      <c r="AD284" s="127" t="s">
        <v>142</v>
      </c>
      <c r="AE284" s="127" t="s">
        <v>142</v>
      </c>
      <c r="AF284" s="129">
        <v>194</v>
      </c>
      <c r="AG284" s="144">
        <v>42531</v>
      </c>
      <c r="AH284" s="129"/>
    </row>
    <row r="285" spans="1:34" x14ac:dyDescent="0.2">
      <c r="A285" s="127" t="s">
        <v>135</v>
      </c>
      <c r="B285" s="128">
        <v>42494.78533564815</v>
      </c>
      <c r="C285" s="127" t="s">
        <v>272</v>
      </c>
      <c r="D285" s="127" t="s">
        <v>135</v>
      </c>
      <c r="E285" s="127" t="s">
        <v>21</v>
      </c>
      <c r="F285" s="129">
        <v>1424</v>
      </c>
      <c r="G285" s="129">
        <v>1617</v>
      </c>
      <c r="H285" s="129">
        <v>29</v>
      </c>
      <c r="I285" s="129">
        <v>38600</v>
      </c>
      <c r="J285" s="129" t="b">
        <v>0</v>
      </c>
      <c r="K285" s="129" t="b">
        <v>0</v>
      </c>
      <c r="L285" s="129">
        <v>200</v>
      </c>
      <c r="M285" s="129">
        <v>0</v>
      </c>
      <c r="N285" s="129">
        <v>1331.03</v>
      </c>
      <c r="O285" s="129">
        <v>0</v>
      </c>
      <c r="P285" s="129">
        <v>0</v>
      </c>
      <c r="Q285" s="129">
        <v>38600</v>
      </c>
      <c r="R285" s="127" t="s">
        <v>136</v>
      </c>
      <c r="S285" s="129">
        <v>0</v>
      </c>
      <c r="T285" s="129">
        <v>0</v>
      </c>
      <c r="U285" s="129">
        <v>0</v>
      </c>
      <c r="V285" s="129" t="b">
        <v>0</v>
      </c>
      <c r="W285" s="129">
        <v>102751720</v>
      </c>
      <c r="X285" s="129">
        <v>0</v>
      </c>
      <c r="Y285" s="129">
        <v>0</v>
      </c>
      <c r="Z285" s="129"/>
      <c r="AA285" s="129">
        <v>0</v>
      </c>
      <c r="AB285" s="129" t="b">
        <v>0</v>
      </c>
      <c r="AC285" s="127" t="s">
        <v>142</v>
      </c>
      <c r="AD285" s="127" t="s">
        <v>142</v>
      </c>
      <c r="AE285" s="127" t="s">
        <v>142</v>
      </c>
      <c r="AF285" s="129">
        <v>193</v>
      </c>
      <c r="AG285" s="144">
        <v>42500</v>
      </c>
      <c r="AH285" s="129"/>
    </row>
    <row r="286" spans="1:34" x14ac:dyDescent="0.2">
      <c r="A286" s="127" t="s">
        <v>135</v>
      </c>
      <c r="B286" s="128">
        <v>42465.784039351849</v>
      </c>
      <c r="C286" s="127" t="s">
        <v>272</v>
      </c>
      <c r="D286" s="127" t="s">
        <v>135</v>
      </c>
      <c r="E286" s="127" t="s">
        <v>21</v>
      </c>
      <c r="F286" s="129">
        <v>1241</v>
      </c>
      <c r="G286" s="129">
        <v>1424</v>
      </c>
      <c r="H286" s="129">
        <v>30</v>
      </c>
      <c r="I286" s="129">
        <v>36600</v>
      </c>
      <c r="J286" s="129" t="b">
        <v>0</v>
      </c>
      <c r="K286" s="129" t="b">
        <v>0</v>
      </c>
      <c r="L286" s="129">
        <v>200</v>
      </c>
      <c r="M286" s="129">
        <v>0</v>
      </c>
      <c r="N286" s="129">
        <v>1220</v>
      </c>
      <c r="O286" s="129">
        <v>0</v>
      </c>
      <c r="P286" s="129">
        <v>0</v>
      </c>
      <c r="Q286" s="129">
        <v>36600</v>
      </c>
      <c r="R286" s="127" t="s">
        <v>136</v>
      </c>
      <c r="S286" s="129">
        <v>0</v>
      </c>
      <c r="T286" s="129">
        <v>0</v>
      </c>
      <c r="U286" s="129">
        <v>0</v>
      </c>
      <c r="V286" s="129" t="b">
        <v>0</v>
      </c>
      <c r="W286" s="129">
        <v>102667842</v>
      </c>
      <c r="X286" s="129">
        <v>0</v>
      </c>
      <c r="Y286" s="129">
        <v>0</v>
      </c>
      <c r="Z286" s="129"/>
      <c r="AA286" s="129">
        <v>0</v>
      </c>
      <c r="AB286" s="129" t="b">
        <v>0</v>
      </c>
      <c r="AC286" s="127" t="s">
        <v>142</v>
      </c>
      <c r="AD286" s="127" t="s">
        <v>142</v>
      </c>
      <c r="AE286" s="127" t="s">
        <v>142</v>
      </c>
      <c r="AF286" s="129">
        <v>183</v>
      </c>
      <c r="AG286" s="144">
        <v>42471</v>
      </c>
      <c r="AH286" s="129"/>
    </row>
    <row r="287" spans="1:34" x14ac:dyDescent="0.2">
      <c r="A287" s="127" t="s">
        <v>135</v>
      </c>
      <c r="B287" s="128">
        <v>42435.729062500002</v>
      </c>
      <c r="C287" s="127" t="s">
        <v>272</v>
      </c>
      <c r="D287" s="127" t="s">
        <v>135</v>
      </c>
      <c r="E287" s="127" t="s">
        <v>21</v>
      </c>
      <c r="F287" s="129">
        <v>1039</v>
      </c>
      <c r="G287" s="129">
        <v>1241</v>
      </c>
      <c r="H287" s="129">
        <v>31</v>
      </c>
      <c r="I287" s="129">
        <v>40400</v>
      </c>
      <c r="J287" s="129" t="b">
        <v>0</v>
      </c>
      <c r="K287" s="129" t="b">
        <v>0</v>
      </c>
      <c r="L287" s="129">
        <v>200</v>
      </c>
      <c r="M287" s="129">
        <v>0</v>
      </c>
      <c r="N287" s="129">
        <v>1303.23</v>
      </c>
      <c r="O287" s="129">
        <v>0</v>
      </c>
      <c r="P287" s="129">
        <v>0</v>
      </c>
      <c r="Q287" s="129">
        <v>40400</v>
      </c>
      <c r="R287" s="127" t="s">
        <v>136</v>
      </c>
      <c r="S287" s="129">
        <v>0</v>
      </c>
      <c r="T287" s="129">
        <v>0</v>
      </c>
      <c r="U287" s="129">
        <v>0</v>
      </c>
      <c r="V287" s="129" t="b">
        <v>0</v>
      </c>
      <c r="W287" s="129">
        <v>102587445</v>
      </c>
      <c r="X287" s="129">
        <v>0</v>
      </c>
      <c r="Y287" s="129">
        <v>0</v>
      </c>
      <c r="Z287" s="129"/>
      <c r="AA287" s="129">
        <v>0</v>
      </c>
      <c r="AB287" s="129" t="b">
        <v>0</v>
      </c>
      <c r="AC287" s="127" t="s">
        <v>142</v>
      </c>
      <c r="AD287" s="127" t="s">
        <v>142</v>
      </c>
      <c r="AE287" s="127" t="s">
        <v>142</v>
      </c>
      <c r="AF287" s="129">
        <v>202</v>
      </c>
      <c r="AG287" s="144">
        <v>42439</v>
      </c>
      <c r="AH287" s="129"/>
    </row>
    <row r="288" spans="1:34" x14ac:dyDescent="0.2">
      <c r="A288" s="127" t="s">
        <v>135</v>
      </c>
      <c r="B288" s="128">
        <v>42404.713692129626</v>
      </c>
      <c r="C288" s="127" t="s">
        <v>272</v>
      </c>
      <c r="D288" s="127" t="s">
        <v>135</v>
      </c>
      <c r="E288" s="127" t="s">
        <v>21</v>
      </c>
      <c r="F288" s="129">
        <v>1039</v>
      </c>
      <c r="G288" s="129">
        <v>1039</v>
      </c>
      <c r="H288" s="129">
        <v>28</v>
      </c>
      <c r="I288" s="129">
        <v>0</v>
      </c>
      <c r="J288" s="129" t="b">
        <v>0</v>
      </c>
      <c r="K288" s="129" t="b">
        <v>0</v>
      </c>
      <c r="L288" s="129">
        <v>200</v>
      </c>
      <c r="M288" s="129">
        <v>0</v>
      </c>
      <c r="N288" s="129">
        <v>0</v>
      </c>
      <c r="O288" s="129">
        <v>0</v>
      </c>
      <c r="P288" s="129">
        <v>0</v>
      </c>
      <c r="Q288" s="129">
        <v>0</v>
      </c>
      <c r="R288" s="127" t="s">
        <v>136</v>
      </c>
      <c r="S288" s="129">
        <v>0</v>
      </c>
      <c r="T288" s="129">
        <v>0</v>
      </c>
      <c r="U288" s="129">
        <v>0</v>
      </c>
      <c r="V288" s="129" t="b">
        <v>0</v>
      </c>
      <c r="W288" s="129">
        <v>102508059</v>
      </c>
      <c r="X288" s="129">
        <v>0</v>
      </c>
      <c r="Y288" s="129">
        <v>0</v>
      </c>
      <c r="Z288" s="129"/>
      <c r="AA288" s="129">
        <v>0</v>
      </c>
      <c r="AB288" s="129" t="b">
        <v>0</v>
      </c>
      <c r="AC288" s="127" t="s">
        <v>142</v>
      </c>
      <c r="AD288" s="127" t="s">
        <v>142</v>
      </c>
      <c r="AE288" s="127" t="s">
        <v>142</v>
      </c>
      <c r="AF288" s="129">
        <v>0</v>
      </c>
      <c r="AG288" s="144">
        <v>42409</v>
      </c>
      <c r="AH288" s="129"/>
    </row>
    <row r="289" spans="1:34" x14ac:dyDescent="0.2">
      <c r="A289" s="127" t="s">
        <v>135</v>
      </c>
      <c r="B289" s="128">
        <v>42376.741388888891</v>
      </c>
      <c r="C289" s="127" t="s">
        <v>272</v>
      </c>
      <c r="D289" s="127" t="s">
        <v>135</v>
      </c>
      <c r="E289" s="127" t="s">
        <v>21</v>
      </c>
      <c r="F289" s="129">
        <v>853</v>
      </c>
      <c r="G289" s="129">
        <v>1039</v>
      </c>
      <c r="H289" s="129">
        <v>30</v>
      </c>
      <c r="I289" s="129">
        <v>37200</v>
      </c>
      <c r="J289" s="129" t="b">
        <v>0</v>
      </c>
      <c r="K289" s="129" t="b">
        <v>0</v>
      </c>
      <c r="L289" s="129">
        <v>200</v>
      </c>
      <c r="M289" s="129">
        <v>0</v>
      </c>
      <c r="N289" s="129">
        <v>1240</v>
      </c>
      <c r="O289" s="129">
        <v>0</v>
      </c>
      <c r="P289" s="129">
        <v>0</v>
      </c>
      <c r="Q289" s="129">
        <v>37200</v>
      </c>
      <c r="R289" s="127" t="s">
        <v>136</v>
      </c>
      <c r="S289" s="129">
        <v>0</v>
      </c>
      <c r="T289" s="129">
        <v>0</v>
      </c>
      <c r="U289" s="129">
        <v>0</v>
      </c>
      <c r="V289" s="129" t="b">
        <v>0</v>
      </c>
      <c r="W289" s="129">
        <v>102424419</v>
      </c>
      <c r="X289" s="129">
        <v>0</v>
      </c>
      <c r="Y289" s="129">
        <v>0</v>
      </c>
      <c r="Z289" s="129"/>
      <c r="AA289" s="129">
        <v>0</v>
      </c>
      <c r="AB289" s="129" t="b">
        <v>0</v>
      </c>
      <c r="AC289" s="127" t="s">
        <v>142</v>
      </c>
      <c r="AD289" s="127" t="s">
        <v>142</v>
      </c>
      <c r="AE289" s="127" t="s">
        <v>142</v>
      </c>
      <c r="AF289" s="129">
        <v>186</v>
      </c>
      <c r="AG289" s="144">
        <v>42381</v>
      </c>
      <c r="AH289" s="129"/>
    </row>
    <row r="290" spans="1:34" x14ac:dyDescent="0.2">
      <c r="A290" s="127" t="s">
        <v>135</v>
      </c>
      <c r="B290" s="128">
        <v>42346.728449074071</v>
      </c>
      <c r="C290" s="127" t="s">
        <v>272</v>
      </c>
      <c r="D290" s="127" t="s">
        <v>135</v>
      </c>
      <c r="E290" s="127" t="s">
        <v>21</v>
      </c>
      <c r="F290" s="129">
        <v>478</v>
      </c>
      <c r="G290" s="129">
        <v>853</v>
      </c>
      <c r="H290" s="129">
        <v>34</v>
      </c>
      <c r="I290" s="129">
        <v>75000</v>
      </c>
      <c r="J290" s="129" t="b">
        <v>0</v>
      </c>
      <c r="K290" s="129" t="b">
        <v>0</v>
      </c>
      <c r="L290" s="129">
        <v>200</v>
      </c>
      <c r="M290" s="129">
        <v>0</v>
      </c>
      <c r="N290" s="129">
        <v>2205.88</v>
      </c>
      <c r="O290" s="129">
        <v>0</v>
      </c>
      <c r="P290" s="129">
        <v>0</v>
      </c>
      <c r="Q290" s="129">
        <v>75000</v>
      </c>
      <c r="R290" s="127" t="s">
        <v>136</v>
      </c>
      <c r="S290" s="129">
        <v>0</v>
      </c>
      <c r="T290" s="129">
        <v>0</v>
      </c>
      <c r="U290" s="129">
        <v>0</v>
      </c>
      <c r="V290" s="129" t="b">
        <v>0</v>
      </c>
      <c r="W290" s="129">
        <v>102344005</v>
      </c>
      <c r="X290" s="129">
        <v>0</v>
      </c>
      <c r="Y290" s="129">
        <v>0</v>
      </c>
      <c r="Z290" s="129"/>
      <c r="AA290" s="129">
        <v>0</v>
      </c>
      <c r="AB290" s="129" t="b">
        <v>0</v>
      </c>
      <c r="AC290" s="127" t="s">
        <v>142</v>
      </c>
      <c r="AD290" s="127" t="s">
        <v>142</v>
      </c>
      <c r="AE290" s="127" t="s">
        <v>142</v>
      </c>
      <c r="AF290" s="129">
        <v>375</v>
      </c>
      <c r="AG290" s="144">
        <v>42348</v>
      </c>
      <c r="AH290" s="129"/>
    </row>
    <row r="291" spans="1:34" x14ac:dyDescent="0.2">
      <c r="A291" s="127" t="s">
        <v>135</v>
      </c>
      <c r="B291" s="128">
        <v>42312.746064814812</v>
      </c>
      <c r="C291" s="127" t="s">
        <v>272</v>
      </c>
      <c r="D291" s="127" t="s">
        <v>135</v>
      </c>
      <c r="E291" s="127" t="s">
        <v>21</v>
      </c>
      <c r="F291" s="129">
        <v>478</v>
      </c>
      <c r="G291" s="129">
        <v>478</v>
      </c>
      <c r="H291" s="129">
        <v>29</v>
      </c>
      <c r="I291" s="129">
        <v>0</v>
      </c>
      <c r="J291" s="129" t="b">
        <v>0</v>
      </c>
      <c r="K291" s="129" t="b">
        <v>0</v>
      </c>
      <c r="L291" s="129">
        <v>200</v>
      </c>
      <c r="M291" s="129">
        <v>0</v>
      </c>
      <c r="N291" s="129">
        <v>0</v>
      </c>
      <c r="O291" s="129">
        <v>0</v>
      </c>
      <c r="P291" s="129">
        <v>0</v>
      </c>
      <c r="Q291" s="129">
        <v>0</v>
      </c>
      <c r="R291" s="127" t="s">
        <v>136</v>
      </c>
      <c r="S291" s="129">
        <v>0</v>
      </c>
      <c r="T291" s="129">
        <v>0</v>
      </c>
      <c r="U291" s="129">
        <v>0</v>
      </c>
      <c r="V291" s="129" t="b">
        <v>0</v>
      </c>
      <c r="W291" s="129">
        <v>102260580</v>
      </c>
      <c r="X291" s="129">
        <v>0</v>
      </c>
      <c r="Y291" s="129">
        <v>0</v>
      </c>
      <c r="Z291" s="127" t="s">
        <v>273</v>
      </c>
      <c r="AA291" s="129">
        <v>0</v>
      </c>
      <c r="AB291" s="129" t="b">
        <v>0</v>
      </c>
      <c r="AC291" s="127" t="s">
        <v>142</v>
      </c>
      <c r="AD291" s="127" t="s">
        <v>142</v>
      </c>
      <c r="AE291" s="127" t="s">
        <v>142</v>
      </c>
      <c r="AF291" s="129">
        <v>0</v>
      </c>
      <c r="AG291" s="144">
        <v>42317</v>
      </c>
      <c r="AH291" s="129"/>
    </row>
    <row r="292" spans="1:34" x14ac:dyDescent="0.2">
      <c r="A292" s="127" t="s">
        <v>135</v>
      </c>
      <c r="B292" s="128">
        <v>42283</v>
      </c>
      <c r="C292" s="127" t="s">
        <v>272</v>
      </c>
      <c r="D292" s="127" t="s">
        <v>135</v>
      </c>
      <c r="E292" s="127" t="s">
        <v>21</v>
      </c>
      <c r="F292" s="129">
        <v>269</v>
      </c>
      <c r="G292" s="129">
        <v>478</v>
      </c>
      <c r="H292" s="129">
        <v>28</v>
      </c>
      <c r="I292" s="129">
        <v>41800</v>
      </c>
      <c r="J292" s="129" t="b">
        <v>0</v>
      </c>
      <c r="K292" s="129" t="b">
        <v>0</v>
      </c>
      <c r="L292" s="129">
        <v>200</v>
      </c>
      <c r="M292" s="129">
        <v>0</v>
      </c>
      <c r="N292" s="129">
        <v>1492.86</v>
      </c>
      <c r="O292" s="129">
        <v>0</v>
      </c>
      <c r="P292" s="129">
        <v>0</v>
      </c>
      <c r="Q292" s="129">
        <v>41800</v>
      </c>
      <c r="R292" s="127" t="s">
        <v>136</v>
      </c>
      <c r="S292" s="129">
        <v>0</v>
      </c>
      <c r="T292" s="129">
        <v>0</v>
      </c>
      <c r="U292" s="129">
        <v>0</v>
      </c>
      <c r="V292" s="129" t="b">
        <v>0</v>
      </c>
      <c r="W292" s="129">
        <v>102215266</v>
      </c>
      <c r="X292" s="129">
        <v>0</v>
      </c>
      <c r="Y292" s="129">
        <v>0</v>
      </c>
      <c r="Z292" s="129"/>
      <c r="AA292" s="129">
        <v>0</v>
      </c>
      <c r="AB292" s="129" t="b">
        <v>0</v>
      </c>
      <c r="AC292" s="127" t="s">
        <v>142</v>
      </c>
      <c r="AD292" s="127" t="s">
        <v>142</v>
      </c>
      <c r="AE292" s="127" t="s">
        <v>142</v>
      </c>
      <c r="AF292" s="129">
        <v>209</v>
      </c>
      <c r="AG292" s="144">
        <v>42298</v>
      </c>
      <c r="AH292" s="129"/>
    </row>
    <row r="293" spans="1:34" x14ac:dyDescent="0.2">
      <c r="A293" s="127" t="s">
        <v>135</v>
      </c>
      <c r="B293" s="128">
        <v>42255.706550925926</v>
      </c>
      <c r="C293" s="127" t="s">
        <v>272</v>
      </c>
      <c r="D293" s="127" t="s">
        <v>135</v>
      </c>
      <c r="E293" s="127" t="s">
        <v>21</v>
      </c>
      <c r="F293" s="129">
        <v>9987</v>
      </c>
      <c r="G293" s="129">
        <v>269</v>
      </c>
      <c r="H293" s="129">
        <v>33</v>
      </c>
      <c r="I293" s="129">
        <v>56400</v>
      </c>
      <c r="J293" s="129" t="b">
        <v>0</v>
      </c>
      <c r="K293" s="129" t="b">
        <v>0</v>
      </c>
      <c r="L293" s="129">
        <v>200</v>
      </c>
      <c r="M293" s="129">
        <v>0</v>
      </c>
      <c r="N293" s="129">
        <v>1709.09</v>
      </c>
      <c r="O293" s="129">
        <v>0</v>
      </c>
      <c r="P293" s="129">
        <v>0</v>
      </c>
      <c r="Q293" s="129">
        <v>56400</v>
      </c>
      <c r="R293" s="127" t="s">
        <v>136</v>
      </c>
      <c r="S293" s="129">
        <v>0</v>
      </c>
      <c r="T293" s="129">
        <v>0</v>
      </c>
      <c r="U293" s="129">
        <v>0</v>
      </c>
      <c r="V293" s="129" t="b">
        <v>0</v>
      </c>
      <c r="W293" s="129">
        <v>102099131</v>
      </c>
      <c r="X293" s="129">
        <v>0</v>
      </c>
      <c r="Y293" s="129">
        <v>0</v>
      </c>
      <c r="Z293" s="127" t="s">
        <v>273</v>
      </c>
      <c r="AA293" s="129">
        <v>0</v>
      </c>
      <c r="AB293" s="129" t="b">
        <v>0</v>
      </c>
      <c r="AC293" s="127" t="s">
        <v>142</v>
      </c>
      <c r="AD293" s="127" t="s">
        <v>142</v>
      </c>
      <c r="AE293" s="127" t="s">
        <v>142</v>
      </c>
      <c r="AF293" s="129">
        <v>282</v>
      </c>
      <c r="AG293" s="144">
        <v>42257</v>
      </c>
      <c r="AH293" s="129"/>
    </row>
    <row r="294" spans="1:34" x14ac:dyDescent="0.2">
      <c r="A294" s="127" t="s">
        <v>135</v>
      </c>
      <c r="B294" s="128">
        <v>42222</v>
      </c>
      <c r="C294" s="127" t="s">
        <v>272</v>
      </c>
      <c r="D294" s="127" t="s">
        <v>135</v>
      </c>
      <c r="E294" s="127" t="s">
        <v>21</v>
      </c>
      <c r="F294" s="129">
        <v>9784</v>
      </c>
      <c r="G294" s="129">
        <v>9987</v>
      </c>
      <c r="H294" s="129">
        <v>29</v>
      </c>
      <c r="I294" s="129">
        <v>40600</v>
      </c>
      <c r="J294" s="129" t="b">
        <v>0</v>
      </c>
      <c r="K294" s="129" t="b">
        <v>0</v>
      </c>
      <c r="L294" s="129">
        <v>200</v>
      </c>
      <c r="M294" s="129">
        <v>0</v>
      </c>
      <c r="N294" s="129">
        <v>1400</v>
      </c>
      <c r="O294" s="129">
        <v>0</v>
      </c>
      <c r="P294" s="129">
        <v>0</v>
      </c>
      <c r="Q294" s="129">
        <v>40600</v>
      </c>
      <c r="R294" s="127" t="s">
        <v>136</v>
      </c>
      <c r="S294" s="129">
        <v>0</v>
      </c>
      <c r="T294" s="129">
        <v>0</v>
      </c>
      <c r="U294" s="129">
        <v>0</v>
      </c>
      <c r="V294" s="129" t="b">
        <v>0</v>
      </c>
      <c r="W294" s="129">
        <v>102025076</v>
      </c>
      <c r="X294" s="129">
        <v>0</v>
      </c>
      <c r="Y294" s="129">
        <v>0</v>
      </c>
      <c r="Z294" s="129"/>
      <c r="AA294" s="129">
        <v>0</v>
      </c>
      <c r="AB294" s="129" t="b">
        <v>0</v>
      </c>
      <c r="AC294" s="127" t="s">
        <v>142</v>
      </c>
      <c r="AD294" s="127" t="s">
        <v>142</v>
      </c>
      <c r="AE294" s="127" t="s">
        <v>142</v>
      </c>
      <c r="AF294" s="129">
        <v>203</v>
      </c>
      <c r="AG294" s="144">
        <v>42229</v>
      </c>
      <c r="AH294" s="129"/>
    </row>
    <row r="295" spans="1:34" x14ac:dyDescent="0.2">
      <c r="A295" s="127" t="s">
        <v>135</v>
      </c>
      <c r="B295" s="128">
        <v>42193.636597222219</v>
      </c>
      <c r="C295" s="127" t="s">
        <v>272</v>
      </c>
      <c r="D295" s="127" t="s">
        <v>135</v>
      </c>
      <c r="E295" s="127" t="s">
        <v>21</v>
      </c>
      <c r="F295" s="129">
        <v>9354</v>
      </c>
      <c r="G295" s="129">
        <v>9784</v>
      </c>
      <c r="H295" s="129">
        <v>33</v>
      </c>
      <c r="I295" s="129">
        <v>86000</v>
      </c>
      <c r="J295" s="129" t="b">
        <v>0</v>
      </c>
      <c r="K295" s="129" t="b">
        <v>0</v>
      </c>
      <c r="L295" s="129">
        <v>200</v>
      </c>
      <c r="M295" s="129">
        <v>0</v>
      </c>
      <c r="N295" s="129">
        <v>2606.06</v>
      </c>
      <c r="O295" s="129">
        <v>0</v>
      </c>
      <c r="P295" s="129">
        <v>0</v>
      </c>
      <c r="Q295" s="129">
        <v>86000</v>
      </c>
      <c r="R295" s="127" t="s">
        <v>136</v>
      </c>
      <c r="S295" s="129">
        <v>0</v>
      </c>
      <c r="T295" s="129">
        <v>0</v>
      </c>
      <c r="U295" s="129">
        <v>0</v>
      </c>
      <c r="V295" s="129" t="b">
        <v>0</v>
      </c>
      <c r="W295" s="129">
        <v>101937607</v>
      </c>
      <c r="X295" s="129">
        <v>0</v>
      </c>
      <c r="Y295" s="129">
        <v>0</v>
      </c>
      <c r="Z295" s="127" t="s">
        <v>255</v>
      </c>
      <c r="AA295" s="129">
        <v>0</v>
      </c>
      <c r="AB295" s="129" t="b">
        <v>0</v>
      </c>
      <c r="AC295" s="127" t="s">
        <v>142</v>
      </c>
      <c r="AD295" s="127" t="s">
        <v>142</v>
      </c>
      <c r="AE295" s="127" t="s">
        <v>142</v>
      </c>
      <c r="AF295" s="129">
        <v>430</v>
      </c>
      <c r="AG295" s="144">
        <v>42195</v>
      </c>
      <c r="AH295" s="129"/>
    </row>
    <row r="296" spans="1:34" x14ac:dyDescent="0.2">
      <c r="A296" s="127" t="s">
        <v>135</v>
      </c>
      <c r="B296" s="128">
        <v>42160.587199074071</v>
      </c>
      <c r="C296" s="127" t="s">
        <v>272</v>
      </c>
      <c r="D296" s="127" t="s">
        <v>135</v>
      </c>
      <c r="E296" s="127" t="s">
        <v>21</v>
      </c>
      <c r="F296" s="129">
        <v>9291</v>
      </c>
      <c r="G296" s="129">
        <v>9354</v>
      </c>
      <c r="H296" s="129">
        <v>30</v>
      </c>
      <c r="I296" s="129">
        <v>12600</v>
      </c>
      <c r="J296" s="129" t="b">
        <v>0</v>
      </c>
      <c r="K296" s="129" t="b">
        <v>0</v>
      </c>
      <c r="L296" s="129">
        <v>200</v>
      </c>
      <c r="M296" s="129">
        <v>0</v>
      </c>
      <c r="N296" s="129">
        <v>420</v>
      </c>
      <c r="O296" s="129">
        <v>0</v>
      </c>
      <c r="P296" s="129">
        <v>0</v>
      </c>
      <c r="Q296" s="129">
        <v>12600</v>
      </c>
      <c r="R296" s="127" t="s">
        <v>136</v>
      </c>
      <c r="S296" s="129">
        <v>0</v>
      </c>
      <c r="T296" s="129">
        <v>0</v>
      </c>
      <c r="U296" s="129">
        <v>0</v>
      </c>
      <c r="V296" s="129" t="b">
        <v>0</v>
      </c>
      <c r="W296" s="129">
        <v>101854947</v>
      </c>
      <c r="X296" s="129">
        <v>0</v>
      </c>
      <c r="Y296" s="129">
        <v>0</v>
      </c>
      <c r="Z296" s="127" t="s">
        <v>255</v>
      </c>
      <c r="AA296" s="129">
        <v>0</v>
      </c>
      <c r="AB296" s="129" t="b">
        <v>0</v>
      </c>
      <c r="AC296" s="127" t="s">
        <v>142</v>
      </c>
      <c r="AD296" s="127" t="s">
        <v>142</v>
      </c>
      <c r="AE296" s="127" t="s">
        <v>142</v>
      </c>
      <c r="AF296" s="129">
        <v>63</v>
      </c>
      <c r="AG296" s="144">
        <v>42165</v>
      </c>
      <c r="AH296" s="129"/>
    </row>
    <row r="297" spans="1:34" x14ac:dyDescent="0.2">
      <c r="A297" s="127" t="s">
        <v>135</v>
      </c>
      <c r="B297" s="128">
        <v>42130</v>
      </c>
      <c r="C297" s="127" t="s">
        <v>272</v>
      </c>
      <c r="D297" s="127" t="s">
        <v>135</v>
      </c>
      <c r="E297" s="127" t="s">
        <v>21</v>
      </c>
      <c r="F297" s="129">
        <v>9151</v>
      </c>
      <c r="G297" s="129">
        <v>9291</v>
      </c>
      <c r="H297" s="129">
        <v>29</v>
      </c>
      <c r="I297" s="129">
        <v>28000</v>
      </c>
      <c r="J297" s="129" t="b">
        <v>0</v>
      </c>
      <c r="K297" s="129" t="b">
        <v>0</v>
      </c>
      <c r="L297" s="129">
        <v>200</v>
      </c>
      <c r="M297" s="129">
        <v>0</v>
      </c>
      <c r="N297" s="129">
        <v>965.52</v>
      </c>
      <c r="O297" s="129">
        <v>0</v>
      </c>
      <c r="P297" s="129">
        <v>0</v>
      </c>
      <c r="Q297" s="129">
        <v>28000</v>
      </c>
      <c r="R297" s="127" t="s">
        <v>136</v>
      </c>
      <c r="S297" s="129">
        <v>0</v>
      </c>
      <c r="T297" s="129">
        <v>0</v>
      </c>
      <c r="U297" s="129">
        <v>0</v>
      </c>
      <c r="V297" s="129" t="b">
        <v>0</v>
      </c>
      <c r="W297" s="129">
        <v>101797370</v>
      </c>
      <c r="X297" s="129">
        <v>0</v>
      </c>
      <c r="Y297" s="129">
        <v>0</v>
      </c>
      <c r="Z297" s="129"/>
      <c r="AA297" s="129">
        <v>0</v>
      </c>
      <c r="AB297" s="129" t="b">
        <v>0</v>
      </c>
      <c r="AC297" s="127" t="s">
        <v>142</v>
      </c>
      <c r="AD297" s="127" t="s">
        <v>142</v>
      </c>
      <c r="AE297" s="127" t="s">
        <v>142</v>
      </c>
      <c r="AF297" s="129">
        <v>140</v>
      </c>
      <c r="AG297" s="144">
        <v>42144</v>
      </c>
      <c r="AH297" s="129"/>
    </row>
    <row r="298" spans="1:34" x14ac:dyDescent="0.2">
      <c r="A298" s="127" t="s">
        <v>135</v>
      </c>
      <c r="B298" s="128">
        <v>42101.473298611112</v>
      </c>
      <c r="C298" s="127" t="s">
        <v>272</v>
      </c>
      <c r="D298" s="127" t="s">
        <v>135</v>
      </c>
      <c r="E298" s="127" t="s">
        <v>21</v>
      </c>
      <c r="F298" s="129">
        <v>8754</v>
      </c>
      <c r="G298" s="129">
        <v>9151</v>
      </c>
      <c r="H298" s="129">
        <v>32</v>
      </c>
      <c r="I298" s="129">
        <v>79400</v>
      </c>
      <c r="J298" s="129" t="b">
        <v>0</v>
      </c>
      <c r="K298" s="129" t="b">
        <v>0</v>
      </c>
      <c r="L298" s="129">
        <v>200</v>
      </c>
      <c r="M298" s="129">
        <v>0</v>
      </c>
      <c r="N298" s="129">
        <v>2481.25</v>
      </c>
      <c r="O298" s="129">
        <v>0</v>
      </c>
      <c r="P298" s="129">
        <v>0</v>
      </c>
      <c r="Q298" s="129">
        <v>79400</v>
      </c>
      <c r="R298" s="127" t="s">
        <v>136</v>
      </c>
      <c r="S298" s="129">
        <v>0</v>
      </c>
      <c r="T298" s="129">
        <v>0</v>
      </c>
      <c r="U298" s="129">
        <v>0</v>
      </c>
      <c r="V298" s="129" t="b">
        <v>0</v>
      </c>
      <c r="W298" s="129">
        <v>101684886</v>
      </c>
      <c r="X298" s="129">
        <v>0</v>
      </c>
      <c r="Y298" s="129">
        <v>0</v>
      </c>
      <c r="Z298" s="127" t="s">
        <v>255</v>
      </c>
      <c r="AA298" s="129">
        <v>0</v>
      </c>
      <c r="AB298" s="129" t="b">
        <v>0</v>
      </c>
      <c r="AC298" s="127" t="s">
        <v>142</v>
      </c>
      <c r="AD298" s="127" t="s">
        <v>142</v>
      </c>
      <c r="AE298" s="127" t="s">
        <v>142</v>
      </c>
      <c r="AF298" s="129">
        <v>397</v>
      </c>
      <c r="AG298" s="144">
        <v>42104</v>
      </c>
      <c r="AH298" s="129"/>
    </row>
    <row r="299" spans="1:34" x14ac:dyDescent="0.2">
      <c r="A299" s="127" t="s">
        <v>135</v>
      </c>
      <c r="B299" s="128">
        <v>42069.535439814812</v>
      </c>
      <c r="C299" s="127" t="s">
        <v>272</v>
      </c>
      <c r="D299" s="127" t="s">
        <v>135</v>
      </c>
      <c r="E299" s="127" t="s">
        <v>21</v>
      </c>
      <c r="F299" s="129">
        <v>8529</v>
      </c>
      <c r="G299" s="129">
        <v>8754</v>
      </c>
      <c r="H299" s="129">
        <v>28</v>
      </c>
      <c r="I299" s="129">
        <v>45000</v>
      </c>
      <c r="J299" s="129" t="b">
        <v>0</v>
      </c>
      <c r="K299" s="129" t="b">
        <v>0</v>
      </c>
      <c r="L299" s="129">
        <v>200</v>
      </c>
      <c r="M299" s="129">
        <v>0</v>
      </c>
      <c r="N299" s="129">
        <v>1607.14</v>
      </c>
      <c r="O299" s="129">
        <v>0</v>
      </c>
      <c r="P299" s="129">
        <v>0</v>
      </c>
      <c r="Q299" s="129">
        <v>45000</v>
      </c>
      <c r="R299" s="127" t="s">
        <v>136</v>
      </c>
      <c r="S299" s="129">
        <v>0</v>
      </c>
      <c r="T299" s="129">
        <v>0</v>
      </c>
      <c r="U299" s="129">
        <v>0</v>
      </c>
      <c r="V299" s="129" t="b">
        <v>0</v>
      </c>
      <c r="W299" s="129">
        <v>101602631</v>
      </c>
      <c r="X299" s="129">
        <v>0</v>
      </c>
      <c r="Y299" s="129">
        <v>0</v>
      </c>
      <c r="Z299" s="127" t="s">
        <v>255</v>
      </c>
      <c r="AA299" s="129">
        <v>0</v>
      </c>
      <c r="AB299" s="129" t="b">
        <v>0</v>
      </c>
      <c r="AC299" s="127" t="s">
        <v>142</v>
      </c>
      <c r="AD299" s="127" t="s">
        <v>142</v>
      </c>
      <c r="AE299" s="127" t="s">
        <v>142</v>
      </c>
      <c r="AF299" s="129">
        <v>225</v>
      </c>
      <c r="AG299" s="144">
        <v>42074</v>
      </c>
      <c r="AH299" s="129"/>
    </row>
    <row r="300" spans="1:34" x14ac:dyDescent="0.2">
      <c r="A300" s="127" t="s">
        <v>135</v>
      </c>
      <c r="B300" s="128">
        <v>42041.426712962966</v>
      </c>
      <c r="C300" s="127" t="s">
        <v>272</v>
      </c>
      <c r="D300" s="127" t="s">
        <v>135</v>
      </c>
      <c r="E300" s="127" t="s">
        <v>21</v>
      </c>
      <c r="F300" s="129">
        <v>8529</v>
      </c>
      <c r="G300" s="129">
        <v>8529</v>
      </c>
      <c r="H300" s="129">
        <v>29</v>
      </c>
      <c r="I300" s="129">
        <v>0</v>
      </c>
      <c r="J300" s="129" t="b">
        <v>0</v>
      </c>
      <c r="K300" s="129" t="b">
        <v>0</v>
      </c>
      <c r="L300" s="129">
        <v>200</v>
      </c>
      <c r="M300" s="129">
        <v>0</v>
      </c>
      <c r="N300" s="129">
        <v>0</v>
      </c>
      <c r="O300" s="129">
        <v>0</v>
      </c>
      <c r="P300" s="129">
        <v>0</v>
      </c>
      <c r="Q300" s="129">
        <v>0</v>
      </c>
      <c r="R300" s="127" t="s">
        <v>136</v>
      </c>
      <c r="S300" s="129">
        <v>0</v>
      </c>
      <c r="T300" s="129">
        <v>0</v>
      </c>
      <c r="U300" s="129">
        <v>0</v>
      </c>
      <c r="V300" s="129" t="b">
        <v>0</v>
      </c>
      <c r="W300" s="129">
        <v>101522548</v>
      </c>
      <c r="X300" s="129">
        <v>0</v>
      </c>
      <c r="Y300" s="129">
        <v>0</v>
      </c>
      <c r="Z300" s="127" t="s">
        <v>255</v>
      </c>
      <c r="AA300" s="129">
        <v>0</v>
      </c>
      <c r="AB300" s="129" t="b">
        <v>0</v>
      </c>
      <c r="AC300" s="127" t="s">
        <v>142</v>
      </c>
      <c r="AD300" s="127" t="s">
        <v>142</v>
      </c>
      <c r="AE300" s="127" t="s">
        <v>142</v>
      </c>
      <c r="AF300" s="129">
        <v>0</v>
      </c>
      <c r="AG300" s="144">
        <v>42044</v>
      </c>
      <c r="AH300" s="129"/>
    </row>
    <row r="301" spans="1:34" x14ac:dyDescent="0.2">
      <c r="A301" s="127" t="s">
        <v>135</v>
      </c>
      <c r="B301" s="128">
        <v>42012.376689814817</v>
      </c>
      <c r="C301" s="127" t="s">
        <v>272</v>
      </c>
      <c r="D301" s="127" t="s">
        <v>135</v>
      </c>
      <c r="E301" s="127" t="s">
        <v>21</v>
      </c>
      <c r="F301" s="129">
        <v>8317</v>
      </c>
      <c r="G301" s="129">
        <v>8529</v>
      </c>
      <c r="H301" s="129">
        <v>31</v>
      </c>
      <c r="I301" s="129">
        <v>42400</v>
      </c>
      <c r="J301" s="129" t="b">
        <v>0</v>
      </c>
      <c r="K301" s="129" t="b">
        <v>0</v>
      </c>
      <c r="L301" s="129">
        <v>200</v>
      </c>
      <c r="M301" s="129">
        <v>0</v>
      </c>
      <c r="N301" s="129">
        <v>1367.74</v>
      </c>
      <c r="O301" s="129">
        <v>0</v>
      </c>
      <c r="P301" s="129">
        <v>0</v>
      </c>
      <c r="Q301" s="129">
        <v>42400</v>
      </c>
      <c r="R301" s="127" t="s">
        <v>136</v>
      </c>
      <c r="S301" s="129">
        <v>0</v>
      </c>
      <c r="T301" s="129">
        <v>0</v>
      </c>
      <c r="U301" s="129">
        <v>0</v>
      </c>
      <c r="V301" s="129" t="b">
        <v>0</v>
      </c>
      <c r="W301" s="129">
        <v>101445911</v>
      </c>
      <c r="X301" s="129">
        <v>0</v>
      </c>
      <c r="Y301" s="129">
        <v>0</v>
      </c>
      <c r="Z301" s="127" t="s">
        <v>255</v>
      </c>
      <c r="AA301" s="129">
        <v>0</v>
      </c>
      <c r="AB301" s="129" t="b">
        <v>0</v>
      </c>
      <c r="AC301" s="127" t="s">
        <v>142</v>
      </c>
      <c r="AD301" s="127" t="s">
        <v>142</v>
      </c>
      <c r="AE301" s="127" t="s">
        <v>142</v>
      </c>
      <c r="AF301" s="129">
        <v>212</v>
      </c>
      <c r="AG301" s="144">
        <v>42016</v>
      </c>
      <c r="AH301" s="129"/>
    </row>
    <row r="302" spans="1:34" x14ac:dyDescent="0.2">
      <c r="A302" s="127" t="s">
        <v>135</v>
      </c>
      <c r="B302" s="128">
        <v>41981.390173611115</v>
      </c>
      <c r="C302" s="127" t="s">
        <v>272</v>
      </c>
      <c r="D302" s="127" t="s">
        <v>135</v>
      </c>
      <c r="E302" s="127" t="s">
        <v>21</v>
      </c>
      <c r="F302" s="129">
        <v>8084</v>
      </c>
      <c r="G302" s="129">
        <v>8317</v>
      </c>
      <c r="H302" s="129">
        <v>32</v>
      </c>
      <c r="I302" s="129">
        <v>46600</v>
      </c>
      <c r="J302" s="129" t="b">
        <v>0</v>
      </c>
      <c r="K302" s="129" t="b">
        <v>0</v>
      </c>
      <c r="L302" s="129">
        <v>200</v>
      </c>
      <c r="M302" s="129">
        <v>0</v>
      </c>
      <c r="N302" s="129">
        <v>1456.25</v>
      </c>
      <c r="O302" s="129">
        <v>0</v>
      </c>
      <c r="P302" s="129">
        <v>0</v>
      </c>
      <c r="Q302" s="129">
        <v>46600</v>
      </c>
      <c r="R302" s="127" t="s">
        <v>136</v>
      </c>
      <c r="S302" s="129">
        <v>0</v>
      </c>
      <c r="T302" s="129">
        <v>0</v>
      </c>
      <c r="U302" s="129">
        <v>0</v>
      </c>
      <c r="V302" s="129" t="b">
        <v>0</v>
      </c>
      <c r="W302" s="129">
        <v>101364019</v>
      </c>
      <c r="X302" s="129">
        <v>0</v>
      </c>
      <c r="Y302" s="129">
        <v>0</v>
      </c>
      <c r="Z302" s="127" t="s">
        <v>255</v>
      </c>
      <c r="AA302" s="129">
        <v>0</v>
      </c>
      <c r="AB302" s="129" t="b">
        <v>0</v>
      </c>
      <c r="AC302" s="127" t="s">
        <v>142</v>
      </c>
      <c r="AD302" s="127" t="s">
        <v>142</v>
      </c>
      <c r="AE302" s="127" t="s">
        <v>142</v>
      </c>
      <c r="AF302" s="129">
        <v>233</v>
      </c>
      <c r="AG302" s="144">
        <v>41982</v>
      </c>
      <c r="AH302" s="129"/>
    </row>
    <row r="303" spans="1:34" x14ac:dyDescent="0.2">
      <c r="A303" s="127" t="s">
        <v>135</v>
      </c>
      <c r="B303" s="128">
        <v>41949.349317129629</v>
      </c>
      <c r="C303" s="127" t="s">
        <v>272</v>
      </c>
      <c r="D303" s="127" t="s">
        <v>135</v>
      </c>
      <c r="E303" s="127" t="s">
        <v>21</v>
      </c>
      <c r="F303" s="129">
        <v>7915</v>
      </c>
      <c r="G303" s="129">
        <v>8084</v>
      </c>
      <c r="H303" s="129">
        <v>29</v>
      </c>
      <c r="I303" s="129">
        <v>33800</v>
      </c>
      <c r="J303" s="129" t="b">
        <v>0</v>
      </c>
      <c r="K303" s="129" t="b">
        <v>0</v>
      </c>
      <c r="L303" s="129">
        <v>200</v>
      </c>
      <c r="M303" s="129">
        <v>0</v>
      </c>
      <c r="N303" s="129">
        <v>1165.52</v>
      </c>
      <c r="O303" s="129">
        <v>0</v>
      </c>
      <c r="P303" s="129">
        <v>0</v>
      </c>
      <c r="Q303" s="129">
        <v>33800</v>
      </c>
      <c r="R303" s="127" t="s">
        <v>136</v>
      </c>
      <c r="S303" s="129">
        <v>0</v>
      </c>
      <c r="T303" s="129">
        <v>0</v>
      </c>
      <c r="U303" s="129">
        <v>0</v>
      </c>
      <c r="V303" s="129" t="b">
        <v>0</v>
      </c>
      <c r="W303" s="129">
        <v>101281612</v>
      </c>
      <c r="X303" s="129">
        <v>0</v>
      </c>
      <c r="Y303" s="129">
        <v>0</v>
      </c>
      <c r="Z303" s="127" t="s">
        <v>255</v>
      </c>
      <c r="AA303" s="129">
        <v>0</v>
      </c>
      <c r="AB303" s="129" t="b">
        <v>0</v>
      </c>
      <c r="AC303" s="127" t="s">
        <v>142</v>
      </c>
      <c r="AD303" s="127" t="s">
        <v>142</v>
      </c>
      <c r="AE303" s="127" t="s">
        <v>142</v>
      </c>
      <c r="AF303" s="129">
        <v>169</v>
      </c>
      <c r="AG303" s="144">
        <v>41953</v>
      </c>
      <c r="AH303" s="129"/>
    </row>
    <row r="304" spans="1:34" x14ac:dyDescent="0.2">
      <c r="A304" s="127" t="s">
        <v>135</v>
      </c>
      <c r="B304" s="128">
        <v>41920.47934027778</v>
      </c>
      <c r="C304" s="127" t="s">
        <v>272</v>
      </c>
      <c r="D304" s="127" t="s">
        <v>135</v>
      </c>
      <c r="E304" s="127" t="s">
        <v>21</v>
      </c>
      <c r="F304" s="129">
        <v>7726</v>
      </c>
      <c r="G304" s="129">
        <v>7915</v>
      </c>
      <c r="H304" s="129">
        <v>30</v>
      </c>
      <c r="I304" s="129">
        <v>37800</v>
      </c>
      <c r="J304" s="129" t="b">
        <v>0</v>
      </c>
      <c r="K304" s="129" t="b">
        <v>0</v>
      </c>
      <c r="L304" s="129">
        <v>200</v>
      </c>
      <c r="M304" s="129">
        <v>0</v>
      </c>
      <c r="N304" s="129">
        <v>1260</v>
      </c>
      <c r="O304" s="129">
        <v>0</v>
      </c>
      <c r="P304" s="129">
        <v>0</v>
      </c>
      <c r="Q304" s="129">
        <v>37800</v>
      </c>
      <c r="R304" s="127" t="s">
        <v>136</v>
      </c>
      <c r="S304" s="129">
        <v>0</v>
      </c>
      <c r="T304" s="129">
        <v>0</v>
      </c>
      <c r="U304" s="129">
        <v>0</v>
      </c>
      <c r="V304" s="129" t="b">
        <v>0</v>
      </c>
      <c r="W304" s="129">
        <v>101204790</v>
      </c>
      <c r="X304" s="129">
        <v>0</v>
      </c>
      <c r="Y304" s="129">
        <v>0</v>
      </c>
      <c r="Z304" s="127" t="s">
        <v>255</v>
      </c>
      <c r="AA304" s="129">
        <v>0</v>
      </c>
      <c r="AB304" s="129" t="b">
        <v>0</v>
      </c>
      <c r="AC304" s="127" t="s">
        <v>142</v>
      </c>
      <c r="AD304" s="127" t="s">
        <v>142</v>
      </c>
      <c r="AE304" s="127" t="s">
        <v>142</v>
      </c>
      <c r="AF304" s="129">
        <v>189</v>
      </c>
      <c r="AG304" s="144">
        <v>41922</v>
      </c>
      <c r="AH304" s="129"/>
    </row>
    <row r="305" spans="1:34" x14ac:dyDescent="0.2">
      <c r="A305" s="127" t="s">
        <v>135</v>
      </c>
      <c r="B305" s="128">
        <v>41890.572141203702</v>
      </c>
      <c r="C305" s="127" t="s">
        <v>272</v>
      </c>
      <c r="D305" s="127" t="s">
        <v>135</v>
      </c>
      <c r="E305" s="127" t="s">
        <v>21</v>
      </c>
      <c r="F305" s="129">
        <v>7481</v>
      </c>
      <c r="G305" s="129">
        <v>7726</v>
      </c>
      <c r="H305" s="129">
        <v>33</v>
      </c>
      <c r="I305" s="129">
        <v>49000</v>
      </c>
      <c r="J305" s="129" t="b">
        <v>0</v>
      </c>
      <c r="K305" s="129" t="b">
        <v>0</v>
      </c>
      <c r="L305" s="129">
        <v>200</v>
      </c>
      <c r="M305" s="129">
        <v>0</v>
      </c>
      <c r="N305" s="129">
        <v>1484.85</v>
      </c>
      <c r="O305" s="129">
        <v>0</v>
      </c>
      <c r="P305" s="129">
        <v>0</v>
      </c>
      <c r="Q305" s="129">
        <v>49000</v>
      </c>
      <c r="R305" s="127" t="s">
        <v>136</v>
      </c>
      <c r="S305" s="129">
        <v>0</v>
      </c>
      <c r="T305" s="129">
        <v>0</v>
      </c>
      <c r="U305" s="129">
        <v>0</v>
      </c>
      <c r="V305" s="129" t="b">
        <v>0</v>
      </c>
      <c r="W305" s="129">
        <v>101124892</v>
      </c>
      <c r="X305" s="129">
        <v>0</v>
      </c>
      <c r="Y305" s="129">
        <v>0</v>
      </c>
      <c r="Z305" s="127" t="s">
        <v>255</v>
      </c>
      <c r="AA305" s="129">
        <v>0</v>
      </c>
      <c r="AB305" s="129" t="b">
        <v>0</v>
      </c>
      <c r="AC305" s="127" t="s">
        <v>142</v>
      </c>
      <c r="AD305" s="127" t="s">
        <v>142</v>
      </c>
      <c r="AE305" s="127" t="s">
        <v>142</v>
      </c>
      <c r="AF305" s="129">
        <v>245</v>
      </c>
      <c r="AG305" s="144">
        <v>41892</v>
      </c>
      <c r="AH305" s="129"/>
    </row>
    <row r="306" spans="1:34" x14ac:dyDescent="0.2">
      <c r="A306" s="127" t="s">
        <v>135</v>
      </c>
      <c r="B306" s="128">
        <v>41857.470046296294</v>
      </c>
      <c r="C306" s="127" t="s">
        <v>272</v>
      </c>
      <c r="D306" s="127" t="s">
        <v>135</v>
      </c>
      <c r="E306" s="127" t="s">
        <v>21</v>
      </c>
      <c r="F306" s="129">
        <v>7270</v>
      </c>
      <c r="G306" s="129">
        <v>7481</v>
      </c>
      <c r="H306" s="129">
        <v>28</v>
      </c>
      <c r="I306" s="129">
        <v>42200</v>
      </c>
      <c r="J306" s="129" t="b">
        <v>0</v>
      </c>
      <c r="K306" s="129" t="b">
        <v>0</v>
      </c>
      <c r="L306" s="129">
        <v>200</v>
      </c>
      <c r="M306" s="129">
        <v>0</v>
      </c>
      <c r="N306" s="129">
        <v>1507.14</v>
      </c>
      <c r="O306" s="129">
        <v>0</v>
      </c>
      <c r="P306" s="129">
        <v>0</v>
      </c>
      <c r="Q306" s="129">
        <v>42200</v>
      </c>
      <c r="R306" s="127" t="s">
        <v>136</v>
      </c>
      <c r="S306" s="129">
        <v>0</v>
      </c>
      <c r="T306" s="129">
        <v>0</v>
      </c>
      <c r="U306" s="129">
        <v>0</v>
      </c>
      <c r="V306" s="129" t="b">
        <v>0</v>
      </c>
      <c r="W306" s="129">
        <v>101043797</v>
      </c>
      <c r="X306" s="129">
        <v>0</v>
      </c>
      <c r="Y306" s="129">
        <v>0</v>
      </c>
      <c r="Z306" s="127" t="s">
        <v>255</v>
      </c>
      <c r="AA306" s="129">
        <v>0</v>
      </c>
      <c r="AB306" s="129" t="b">
        <v>0</v>
      </c>
      <c r="AC306" s="127" t="s">
        <v>142</v>
      </c>
      <c r="AD306" s="127" t="s">
        <v>142</v>
      </c>
      <c r="AE306" s="127" t="s">
        <v>142</v>
      </c>
      <c r="AF306" s="129">
        <v>211</v>
      </c>
      <c r="AG306" s="144">
        <v>41862</v>
      </c>
      <c r="AH306" s="129"/>
    </row>
    <row r="307" spans="1:34" x14ac:dyDescent="0.2">
      <c r="A307" s="127" t="s">
        <v>135</v>
      </c>
      <c r="B307" s="128">
        <v>41829.407094907408</v>
      </c>
      <c r="C307" s="127" t="s">
        <v>272</v>
      </c>
      <c r="D307" s="127" t="s">
        <v>135</v>
      </c>
      <c r="E307" s="127" t="s">
        <v>21</v>
      </c>
      <c r="F307" s="129">
        <v>7025</v>
      </c>
      <c r="G307" s="129">
        <v>7270</v>
      </c>
      <c r="H307" s="129">
        <v>34</v>
      </c>
      <c r="I307" s="129">
        <v>49000</v>
      </c>
      <c r="J307" s="129" t="b">
        <v>0</v>
      </c>
      <c r="K307" s="129" t="b">
        <v>0</v>
      </c>
      <c r="L307" s="129">
        <v>200</v>
      </c>
      <c r="M307" s="129">
        <v>0</v>
      </c>
      <c r="N307" s="129">
        <v>1441.18</v>
      </c>
      <c r="O307" s="129">
        <v>0</v>
      </c>
      <c r="P307" s="129">
        <v>0</v>
      </c>
      <c r="Q307" s="129">
        <v>49000</v>
      </c>
      <c r="R307" s="127" t="s">
        <v>136</v>
      </c>
      <c r="S307" s="129">
        <v>0</v>
      </c>
      <c r="T307" s="129">
        <v>0</v>
      </c>
      <c r="U307" s="129">
        <v>0</v>
      </c>
      <c r="V307" s="129" t="b">
        <v>0</v>
      </c>
      <c r="W307" s="129">
        <v>100965133</v>
      </c>
      <c r="X307" s="129">
        <v>0</v>
      </c>
      <c r="Y307" s="129">
        <v>0</v>
      </c>
      <c r="Z307" s="127" t="s">
        <v>255</v>
      </c>
      <c r="AA307" s="129">
        <v>0</v>
      </c>
      <c r="AB307" s="129" t="b">
        <v>0</v>
      </c>
      <c r="AC307" s="127" t="s">
        <v>142</v>
      </c>
      <c r="AD307" s="127" t="s">
        <v>142</v>
      </c>
      <c r="AE307" s="127" t="s">
        <v>142</v>
      </c>
      <c r="AF307" s="129">
        <v>245</v>
      </c>
      <c r="AG307" s="144">
        <v>41831</v>
      </c>
      <c r="AH307" s="129"/>
    </row>
    <row r="308" spans="1:34" x14ac:dyDescent="0.2">
      <c r="A308" s="127" t="s">
        <v>135</v>
      </c>
      <c r="B308" s="128">
        <v>41795.518055555556</v>
      </c>
      <c r="C308" s="127" t="s">
        <v>272</v>
      </c>
      <c r="D308" s="127" t="s">
        <v>135</v>
      </c>
      <c r="E308" s="127" t="s">
        <v>21</v>
      </c>
      <c r="F308" s="129">
        <v>6826</v>
      </c>
      <c r="G308" s="129">
        <v>7025</v>
      </c>
      <c r="H308" s="129">
        <v>30</v>
      </c>
      <c r="I308" s="129">
        <v>39800</v>
      </c>
      <c r="J308" s="129" t="b">
        <v>0</v>
      </c>
      <c r="K308" s="129" t="b">
        <v>0</v>
      </c>
      <c r="L308" s="129">
        <v>200</v>
      </c>
      <c r="M308" s="129">
        <v>0</v>
      </c>
      <c r="N308" s="129">
        <v>1326.67</v>
      </c>
      <c r="O308" s="129">
        <v>0</v>
      </c>
      <c r="P308" s="129">
        <v>0</v>
      </c>
      <c r="Q308" s="129">
        <v>39800</v>
      </c>
      <c r="R308" s="127" t="s">
        <v>136</v>
      </c>
      <c r="S308" s="129">
        <v>0</v>
      </c>
      <c r="T308" s="129">
        <v>0</v>
      </c>
      <c r="U308" s="129">
        <v>0</v>
      </c>
      <c r="V308" s="129" t="b">
        <v>0</v>
      </c>
      <c r="W308" s="129">
        <v>100879441</v>
      </c>
      <c r="X308" s="129">
        <v>0</v>
      </c>
      <c r="Y308" s="129">
        <v>0</v>
      </c>
      <c r="Z308" s="127" t="s">
        <v>255</v>
      </c>
      <c r="AA308" s="129">
        <v>0</v>
      </c>
      <c r="AB308" s="129" t="b">
        <v>0</v>
      </c>
      <c r="AC308" s="127" t="s">
        <v>142</v>
      </c>
      <c r="AD308" s="127" t="s">
        <v>142</v>
      </c>
      <c r="AE308" s="127" t="s">
        <v>142</v>
      </c>
      <c r="AF308" s="129">
        <v>199</v>
      </c>
      <c r="AG308" s="144">
        <v>41800</v>
      </c>
      <c r="AH308" s="129"/>
    </row>
    <row r="309" spans="1:34" x14ac:dyDescent="0.2">
      <c r="A309" s="127" t="s">
        <v>135</v>
      </c>
      <c r="B309" s="128">
        <v>41765.537129629629</v>
      </c>
      <c r="C309" s="127" t="s">
        <v>272</v>
      </c>
      <c r="D309" s="127" t="s">
        <v>135</v>
      </c>
      <c r="E309" s="127" t="s">
        <v>21</v>
      </c>
      <c r="F309" s="129">
        <v>6660</v>
      </c>
      <c r="G309" s="129">
        <v>6826</v>
      </c>
      <c r="H309" s="129">
        <v>28</v>
      </c>
      <c r="I309" s="129">
        <v>33200</v>
      </c>
      <c r="J309" s="129" t="b">
        <v>0</v>
      </c>
      <c r="K309" s="129" t="b">
        <v>0</v>
      </c>
      <c r="L309" s="129">
        <v>200</v>
      </c>
      <c r="M309" s="129">
        <v>0</v>
      </c>
      <c r="N309" s="129">
        <v>1185.71</v>
      </c>
      <c r="O309" s="129">
        <v>0</v>
      </c>
      <c r="P309" s="129">
        <v>0</v>
      </c>
      <c r="Q309" s="129">
        <v>33200</v>
      </c>
      <c r="R309" s="127" t="s">
        <v>136</v>
      </c>
      <c r="S309" s="129">
        <v>0</v>
      </c>
      <c r="T309" s="129">
        <v>0</v>
      </c>
      <c r="U309" s="129">
        <v>0</v>
      </c>
      <c r="V309" s="129" t="b">
        <v>0</v>
      </c>
      <c r="W309" s="129">
        <v>100796965</v>
      </c>
      <c r="X309" s="129">
        <v>0</v>
      </c>
      <c r="Y309" s="129">
        <v>0</v>
      </c>
      <c r="Z309" s="127" t="s">
        <v>255</v>
      </c>
      <c r="AA309" s="129">
        <v>0</v>
      </c>
      <c r="AB309" s="129" t="b">
        <v>0</v>
      </c>
      <c r="AC309" s="127" t="s">
        <v>142</v>
      </c>
      <c r="AD309" s="127" t="s">
        <v>142</v>
      </c>
      <c r="AE309" s="127" t="s">
        <v>142</v>
      </c>
      <c r="AF309" s="129">
        <v>166</v>
      </c>
      <c r="AG309" s="144">
        <v>41768</v>
      </c>
      <c r="AH309" s="129"/>
    </row>
    <row r="310" spans="1:34" x14ac:dyDescent="0.2">
      <c r="A310" s="127" t="s">
        <v>135</v>
      </c>
      <c r="B310" s="128">
        <v>41737.369641203702</v>
      </c>
      <c r="C310" s="127" t="s">
        <v>272</v>
      </c>
      <c r="D310" s="127" t="s">
        <v>135</v>
      </c>
      <c r="E310" s="127" t="s">
        <v>21</v>
      </c>
      <c r="F310" s="129">
        <v>6480</v>
      </c>
      <c r="G310" s="129">
        <v>6660</v>
      </c>
      <c r="H310" s="129">
        <v>29</v>
      </c>
      <c r="I310" s="129">
        <v>36000</v>
      </c>
      <c r="J310" s="129" t="b">
        <v>0</v>
      </c>
      <c r="K310" s="129" t="b">
        <v>0</v>
      </c>
      <c r="L310" s="129">
        <v>200</v>
      </c>
      <c r="M310" s="129">
        <v>0</v>
      </c>
      <c r="N310" s="129">
        <v>1241.3800000000001</v>
      </c>
      <c r="O310" s="129">
        <v>0</v>
      </c>
      <c r="P310" s="129">
        <v>0</v>
      </c>
      <c r="Q310" s="129">
        <v>36000</v>
      </c>
      <c r="R310" s="127" t="s">
        <v>136</v>
      </c>
      <c r="S310" s="129">
        <v>0</v>
      </c>
      <c r="T310" s="129">
        <v>0</v>
      </c>
      <c r="U310" s="129">
        <v>0</v>
      </c>
      <c r="V310" s="129" t="b">
        <v>0</v>
      </c>
      <c r="W310" s="129">
        <v>100712481</v>
      </c>
      <c r="X310" s="129">
        <v>0</v>
      </c>
      <c r="Y310" s="129">
        <v>0</v>
      </c>
      <c r="Z310" s="129"/>
      <c r="AA310" s="129">
        <v>0</v>
      </c>
      <c r="AB310" s="129" t="b">
        <v>0</v>
      </c>
      <c r="AC310" s="127" t="s">
        <v>142</v>
      </c>
      <c r="AD310" s="127" t="s">
        <v>142</v>
      </c>
      <c r="AE310" s="127" t="s">
        <v>142</v>
      </c>
      <c r="AF310" s="129">
        <v>180</v>
      </c>
      <c r="AG310" s="144">
        <v>41738</v>
      </c>
      <c r="AH310" s="129"/>
    </row>
    <row r="311" spans="1:34" x14ac:dyDescent="0.2">
      <c r="A311" s="127" t="s">
        <v>135</v>
      </c>
      <c r="B311" s="128">
        <v>41708.410902777781</v>
      </c>
      <c r="C311" s="127" t="s">
        <v>272</v>
      </c>
      <c r="D311" s="127" t="s">
        <v>135</v>
      </c>
      <c r="E311" s="127" t="s">
        <v>21</v>
      </c>
      <c r="F311" s="129">
        <v>6303</v>
      </c>
      <c r="G311" s="129">
        <v>6480</v>
      </c>
      <c r="H311" s="129">
        <v>33</v>
      </c>
      <c r="I311" s="129">
        <v>35400</v>
      </c>
      <c r="J311" s="129" t="b">
        <v>0</v>
      </c>
      <c r="K311" s="129" t="b">
        <v>0</v>
      </c>
      <c r="L311" s="129">
        <v>200</v>
      </c>
      <c r="M311" s="129">
        <v>0</v>
      </c>
      <c r="N311" s="129">
        <v>1072.73</v>
      </c>
      <c r="O311" s="129">
        <v>0</v>
      </c>
      <c r="P311" s="129">
        <v>0</v>
      </c>
      <c r="Q311" s="129">
        <v>35400</v>
      </c>
      <c r="R311" s="127" t="s">
        <v>136</v>
      </c>
      <c r="S311" s="129">
        <v>0</v>
      </c>
      <c r="T311" s="129">
        <v>0</v>
      </c>
      <c r="U311" s="129">
        <v>0</v>
      </c>
      <c r="V311" s="129" t="b">
        <v>0</v>
      </c>
      <c r="W311" s="129">
        <v>100629330</v>
      </c>
      <c r="X311" s="129">
        <v>0</v>
      </c>
      <c r="Y311" s="129">
        <v>0</v>
      </c>
      <c r="Z311" s="127" t="s">
        <v>255</v>
      </c>
      <c r="AA311" s="129">
        <v>0</v>
      </c>
      <c r="AB311" s="129" t="b">
        <v>0</v>
      </c>
      <c r="AC311" s="127" t="s">
        <v>142</v>
      </c>
      <c r="AD311" s="127" t="s">
        <v>142</v>
      </c>
      <c r="AE311" s="127" t="s">
        <v>142</v>
      </c>
      <c r="AF311" s="129">
        <v>177</v>
      </c>
      <c r="AG311" s="144">
        <v>41710</v>
      </c>
      <c r="AH311" s="129"/>
    </row>
    <row r="312" spans="1:34" x14ac:dyDescent="0.2">
      <c r="A312" s="127" t="s">
        <v>135</v>
      </c>
      <c r="B312" s="128">
        <v>41675.732569444444</v>
      </c>
      <c r="C312" s="127" t="s">
        <v>272</v>
      </c>
      <c r="D312" s="127" t="s">
        <v>135</v>
      </c>
      <c r="E312" s="127" t="s">
        <v>21</v>
      </c>
      <c r="F312" s="129">
        <v>6106</v>
      </c>
      <c r="G312" s="129">
        <v>6303</v>
      </c>
      <c r="H312" s="129">
        <v>29</v>
      </c>
      <c r="I312" s="129">
        <v>39400</v>
      </c>
      <c r="J312" s="129" t="b">
        <v>0</v>
      </c>
      <c r="K312" s="129" t="b">
        <v>0</v>
      </c>
      <c r="L312" s="129">
        <v>200</v>
      </c>
      <c r="M312" s="129">
        <v>0</v>
      </c>
      <c r="N312" s="129">
        <v>1358.62</v>
      </c>
      <c r="O312" s="129">
        <v>0</v>
      </c>
      <c r="P312" s="129">
        <v>0</v>
      </c>
      <c r="Q312" s="129">
        <v>39400</v>
      </c>
      <c r="R312" s="127" t="s">
        <v>136</v>
      </c>
      <c r="S312" s="129">
        <v>0</v>
      </c>
      <c r="T312" s="129">
        <v>0</v>
      </c>
      <c r="U312" s="129">
        <v>0</v>
      </c>
      <c r="V312" s="129" t="b">
        <v>0</v>
      </c>
      <c r="W312" s="129">
        <v>100545586</v>
      </c>
      <c r="X312" s="129">
        <v>0</v>
      </c>
      <c r="Y312" s="129">
        <v>0</v>
      </c>
      <c r="Z312" s="127" t="s">
        <v>273</v>
      </c>
      <c r="AA312" s="129">
        <v>0</v>
      </c>
      <c r="AB312" s="129" t="b">
        <v>0</v>
      </c>
      <c r="AC312" s="127" t="s">
        <v>142</v>
      </c>
      <c r="AD312" s="127" t="s">
        <v>142</v>
      </c>
      <c r="AE312" s="127" t="s">
        <v>142</v>
      </c>
      <c r="AF312" s="129">
        <v>197</v>
      </c>
      <c r="AG312" s="144">
        <v>41680</v>
      </c>
      <c r="AH312" s="129"/>
    </row>
    <row r="313" spans="1:34" x14ac:dyDescent="0.2">
      <c r="A313" s="127" t="s">
        <v>135</v>
      </c>
      <c r="B313" s="128">
        <v>41646.743888888886</v>
      </c>
      <c r="C313" s="127" t="s">
        <v>272</v>
      </c>
      <c r="D313" s="127" t="s">
        <v>135</v>
      </c>
      <c r="E313" s="127" t="s">
        <v>21</v>
      </c>
      <c r="F313" s="129">
        <v>5921</v>
      </c>
      <c r="G313" s="129">
        <v>6106</v>
      </c>
      <c r="H313" s="129">
        <v>32</v>
      </c>
      <c r="I313" s="129">
        <v>37000</v>
      </c>
      <c r="J313" s="129" t="b">
        <v>0</v>
      </c>
      <c r="K313" s="129" t="b">
        <v>0</v>
      </c>
      <c r="L313" s="129">
        <v>200</v>
      </c>
      <c r="M313" s="129">
        <v>0</v>
      </c>
      <c r="N313" s="129">
        <v>1156.25</v>
      </c>
      <c r="O313" s="129">
        <v>0</v>
      </c>
      <c r="P313" s="129">
        <v>0</v>
      </c>
      <c r="Q313" s="129">
        <v>37000</v>
      </c>
      <c r="R313" s="127" t="s">
        <v>136</v>
      </c>
      <c r="S313" s="129">
        <v>0</v>
      </c>
      <c r="T313" s="129">
        <v>0</v>
      </c>
      <c r="U313" s="129">
        <v>0</v>
      </c>
      <c r="V313" s="129" t="b">
        <v>0</v>
      </c>
      <c r="W313" s="129">
        <v>100462992</v>
      </c>
      <c r="X313" s="129">
        <v>0</v>
      </c>
      <c r="Y313" s="129">
        <v>0</v>
      </c>
      <c r="Z313" s="127" t="s">
        <v>273</v>
      </c>
      <c r="AA313" s="129">
        <v>0</v>
      </c>
      <c r="AB313" s="129" t="b">
        <v>0</v>
      </c>
      <c r="AC313" s="127" t="s">
        <v>142</v>
      </c>
      <c r="AD313" s="127" t="s">
        <v>142</v>
      </c>
      <c r="AE313" s="127" t="s">
        <v>142</v>
      </c>
      <c r="AF313" s="129">
        <v>185</v>
      </c>
      <c r="AG313" s="144">
        <v>41652</v>
      </c>
      <c r="AH313" s="129"/>
    </row>
    <row r="314" spans="1:34" x14ac:dyDescent="0.2">
      <c r="A314" s="127" t="s">
        <v>135</v>
      </c>
      <c r="B314" s="128">
        <v>41614.539849537039</v>
      </c>
      <c r="C314" s="127" t="s">
        <v>272</v>
      </c>
      <c r="D314" s="127" t="s">
        <v>135</v>
      </c>
      <c r="E314" s="127" t="s">
        <v>21</v>
      </c>
      <c r="F314" s="129">
        <v>5756</v>
      </c>
      <c r="G314" s="129">
        <v>5921</v>
      </c>
      <c r="H314" s="129">
        <v>31</v>
      </c>
      <c r="I314" s="129">
        <v>33000</v>
      </c>
      <c r="J314" s="129" t="b">
        <v>0</v>
      </c>
      <c r="K314" s="129" t="b">
        <v>0</v>
      </c>
      <c r="L314" s="129">
        <v>200</v>
      </c>
      <c r="M314" s="129">
        <v>0</v>
      </c>
      <c r="N314" s="129">
        <v>1064.52</v>
      </c>
      <c r="O314" s="129">
        <v>0</v>
      </c>
      <c r="P314" s="129">
        <v>0</v>
      </c>
      <c r="Q314" s="129">
        <v>33000</v>
      </c>
      <c r="R314" s="127" t="s">
        <v>136</v>
      </c>
      <c r="S314" s="129">
        <v>0</v>
      </c>
      <c r="T314" s="129">
        <v>0</v>
      </c>
      <c r="U314" s="129">
        <v>0</v>
      </c>
      <c r="V314" s="129" t="b">
        <v>0</v>
      </c>
      <c r="W314" s="129">
        <v>100381879</v>
      </c>
      <c r="X314" s="129">
        <v>0</v>
      </c>
      <c r="Y314" s="129">
        <v>0</v>
      </c>
      <c r="Z314" s="127" t="s">
        <v>255</v>
      </c>
      <c r="AA314" s="129">
        <v>0</v>
      </c>
      <c r="AB314" s="129" t="b">
        <v>0</v>
      </c>
      <c r="AC314" s="127" t="s">
        <v>142</v>
      </c>
      <c r="AD314" s="127" t="s">
        <v>142</v>
      </c>
      <c r="AE314" s="127" t="s">
        <v>142</v>
      </c>
      <c r="AF314" s="129">
        <v>165</v>
      </c>
      <c r="AG314" s="144">
        <v>41618</v>
      </c>
      <c r="AH314" s="129"/>
    </row>
    <row r="315" spans="1:34" x14ac:dyDescent="0.2">
      <c r="A315" s="127" t="s">
        <v>135</v>
      </c>
      <c r="B315" s="128">
        <v>41583</v>
      </c>
      <c r="C315" s="127" t="s">
        <v>272</v>
      </c>
      <c r="D315" s="127" t="s">
        <v>135</v>
      </c>
      <c r="E315" s="127" t="s">
        <v>21</v>
      </c>
      <c r="F315" s="129">
        <v>5580</v>
      </c>
      <c r="G315" s="129">
        <v>5756</v>
      </c>
      <c r="H315" s="129">
        <v>32</v>
      </c>
      <c r="I315" s="129">
        <v>35200</v>
      </c>
      <c r="J315" s="129" t="b">
        <v>0</v>
      </c>
      <c r="K315" s="129" t="b">
        <v>0</v>
      </c>
      <c r="L315" s="129">
        <v>200</v>
      </c>
      <c r="M315" s="129">
        <v>0</v>
      </c>
      <c r="N315" s="129">
        <v>1100</v>
      </c>
      <c r="O315" s="129">
        <v>0</v>
      </c>
      <c r="P315" s="129">
        <v>0</v>
      </c>
      <c r="Q315" s="129">
        <v>35200</v>
      </c>
      <c r="R315" s="127" t="s">
        <v>136</v>
      </c>
      <c r="S315" s="129">
        <v>0</v>
      </c>
      <c r="T315" s="129">
        <v>0</v>
      </c>
      <c r="U315" s="129">
        <v>0</v>
      </c>
      <c r="V315" s="129" t="b">
        <v>0</v>
      </c>
      <c r="W315" s="129">
        <v>100327578</v>
      </c>
      <c r="X315" s="129">
        <v>0</v>
      </c>
      <c r="Y315" s="129">
        <v>0</v>
      </c>
      <c r="Z315" s="129"/>
      <c r="AA315" s="129">
        <v>0</v>
      </c>
      <c r="AB315" s="129" t="b">
        <v>0</v>
      </c>
      <c r="AC315" s="127" t="s">
        <v>142</v>
      </c>
      <c r="AD315" s="127" t="s">
        <v>142</v>
      </c>
      <c r="AE315" s="127" t="s">
        <v>142</v>
      </c>
      <c r="AF315" s="129">
        <v>176</v>
      </c>
      <c r="AG315" s="144">
        <v>41598</v>
      </c>
      <c r="AH315" s="129"/>
    </row>
    <row r="316" spans="1:34" x14ac:dyDescent="0.2">
      <c r="A316" s="127" t="s">
        <v>135</v>
      </c>
      <c r="B316" s="128">
        <v>41551.46166666667</v>
      </c>
      <c r="C316" s="127" t="s">
        <v>272</v>
      </c>
      <c r="D316" s="127" t="s">
        <v>135</v>
      </c>
      <c r="E316" s="127" t="s">
        <v>21</v>
      </c>
      <c r="F316" s="129">
        <v>5370</v>
      </c>
      <c r="G316" s="129">
        <v>5580</v>
      </c>
      <c r="H316" s="129">
        <v>28</v>
      </c>
      <c r="I316" s="129">
        <v>42000</v>
      </c>
      <c r="J316" s="129" t="b">
        <v>0</v>
      </c>
      <c r="K316" s="129" t="b">
        <v>0</v>
      </c>
      <c r="L316" s="129">
        <v>200</v>
      </c>
      <c r="M316" s="129">
        <v>0</v>
      </c>
      <c r="N316" s="129">
        <v>1500</v>
      </c>
      <c r="O316" s="129">
        <v>0</v>
      </c>
      <c r="P316" s="129">
        <v>0</v>
      </c>
      <c r="Q316" s="129">
        <v>42000</v>
      </c>
      <c r="R316" s="127" t="s">
        <v>136</v>
      </c>
      <c r="S316" s="129">
        <v>0</v>
      </c>
      <c r="T316" s="129">
        <v>0</v>
      </c>
      <c r="U316" s="129">
        <v>0</v>
      </c>
      <c r="V316" s="129" t="b">
        <v>0</v>
      </c>
      <c r="W316" s="129">
        <v>100212844</v>
      </c>
      <c r="X316" s="129">
        <v>0</v>
      </c>
      <c r="Y316" s="129">
        <v>0</v>
      </c>
      <c r="Z316" s="127" t="s">
        <v>255</v>
      </c>
      <c r="AA316" s="129">
        <v>0</v>
      </c>
      <c r="AB316" s="129" t="b">
        <v>0</v>
      </c>
      <c r="AC316" s="127" t="s">
        <v>142</v>
      </c>
      <c r="AD316" s="127" t="s">
        <v>142</v>
      </c>
      <c r="AE316" s="127" t="s">
        <v>142</v>
      </c>
      <c r="AF316" s="129">
        <v>210</v>
      </c>
      <c r="AG316" s="144">
        <v>41557</v>
      </c>
      <c r="AH316" s="129"/>
    </row>
    <row r="317" spans="1:34" x14ac:dyDescent="0.2">
      <c r="A317" s="127" t="s">
        <v>135</v>
      </c>
      <c r="B317" s="128">
        <v>41523.515393518515</v>
      </c>
      <c r="C317" s="127" t="s">
        <v>272</v>
      </c>
      <c r="D317" s="127" t="s">
        <v>135</v>
      </c>
      <c r="E317" s="127" t="s">
        <v>21</v>
      </c>
      <c r="F317" s="129">
        <v>5148</v>
      </c>
      <c r="G317" s="129">
        <v>5370</v>
      </c>
      <c r="H317" s="129">
        <v>29</v>
      </c>
      <c r="I317" s="129">
        <v>44400</v>
      </c>
      <c r="J317" s="129" t="b">
        <v>0</v>
      </c>
      <c r="K317" s="129" t="b">
        <v>0</v>
      </c>
      <c r="L317" s="129">
        <v>200</v>
      </c>
      <c r="M317" s="129">
        <v>0</v>
      </c>
      <c r="N317" s="129">
        <v>1531.03</v>
      </c>
      <c r="O317" s="129">
        <v>0</v>
      </c>
      <c r="P317" s="129">
        <v>0</v>
      </c>
      <c r="Q317" s="129">
        <v>44400</v>
      </c>
      <c r="R317" s="127" t="s">
        <v>136</v>
      </c>
      <c r="S317" s="129">
        <v>0</v>
      </c>
      <c r="T317" s="129">
        <v>0</v>
      </c>
      <c r="U317" s="129">
        <v>0</v>
      </c>
      <c r="V317" s="129" t="b">
        <v>0</v>
      </c>
      <c r="W317" s="129">
        <v>100121036</v>
      </c>
      <c r="X317" s="129">
        <v>0</v>
      </c>
      <c r="Y317" s="129">
        <v>0</v>
      </c>
      <c r="Z317" s="127" t="s">
        <v>255</v>
      </c>
      <c r="AA317" s="129">
        <v>0</v>
      </c>
      <c r="AB317" s="129" t="b">
        <v>0</v>
      </c>
      <c r="AC317" s="127" t="s">
        <v>142</v>
      </c>
      <c r="AD317" s="127" t="s">
        <v>142</v>
      </c>
      <c r="AE317" s="127" t="s">
        <v>142</v>
      </c>
      <c r="AF317" s="129">
        <v>222</v>
      </c>
      <c r="AG317" s="144">
        <v>41528</v>
      </c>
      <c r="AH317" s="129"/>
    </row>
    <row r="318" spans="1:34" x14ac:dyDescent="0.2">
      <c r="A318" s="127" t="s">
        <v>135</v>
      </c>
      <c r="B318" s="128">
        <v>41494.360486111109</v>
      </c>
      <c r="C318" s="127" t="s">
        <v>272</v>
      </c>
      <c r="D318" s="127" t="s">
        <v>135</v>
      </c>
      <c r="E318" s="127" t="s">
        <v>21</v>
      </c>
      <c r="F318" s="129">
        <v>4914</v>
      </c>
      <c r="G318" s="129">
        <v>5148</v>
      </c>
      <c r="H318" s="129">
        <v>31</v>
      </c>
      <c r="I318" s="129">
        <v>46800</v>
      </c>
      <c r="J318" s="129" t="b">
        <v>0</v>
      </c>
      <c r="K318" s="129" t="b">
        <v>0</v>
      </c>
      <c r="L318" s="129">
        <v>200</v>
      </c>
      <c r="M318" s="129">
        <v>0</v>
      </c>
      <c r="N318" s="129">
        <v>1509.68</v>
      </c>
      <c r="O318" s="129">
        <v>0</v>
      </c>
      <c r="P318" s="129">
        <v>0</v>
      </c>
      <c r="Q318" s="129">
        <v>46800</v>
      </c>
      <c r="R318" s="127" t="s">
        <v>136</v>
      </c>
      <c r="S318" s="129">
        <v>0</v>
      </c>
      <c r="T318" s="129">
        <v>0</v>
      </c>
      <c r="U318" s="129">
        <v>0</v>
      </c>
      <c r="V318" s="129" t="b">
        <v>0</v>
      </c>
      <c r="W318" s="129">
        <v>100036841</v>
      </c>
      <c r="X318" s="129">
        <v>0</v>
      </c>
      <c r="Y318" s="129">
        <v>0</v>
      </c>
      <c r="Z318" s="127" t="s">
        <v>255</v>
      </c>
      <c r="AA318" s="129">
        <v>0</v>
      </c>
      <c r="AB318" s="129" t="b">
        <v>0</v>
      </c>
      <c r="AC318" s="127" t="s">
        <v>142</v>
      </c>
      <c r="AD318" s="127" t="s">
        <v>142</v>
      </c>
      <c r="AE318" s="127" t="s">
        <v>142</v>
      </c>
      <c r="AF318" s="129">
        <v>234</v>
      </c>
      <c r="AG318" s="144">
        <v>41498</v>
      </c>
      <c r="AH318" s="129"/>
    </row>
    <row r="319" spans="1:34" x14ac:dyDescent="0.2">
      <c r="A319" s="127" t="s">
        <v>135</v>
      </c>
      <c r="B319" s="128">
        <v>41463.545706018522</v>
      </c>
      <c r="C319" s="127" t="s">
        <v>272</v>
      </c>
      <c r="D319" s="127" t="s">
        <v>135</v>
      </c>
      <c r="E319" s="127" t="s">
        <v>21</v>
      </c>
      <c r="F319" s="129">
        <v>4701</v>
      </c>
      <c r="G319" s="129">
        <v>4914</v>
      </c>
      <c r="H319" s="129">
        <v>33</v>
      </c>
      <c r="I319" s="129">
        <v>42600</v>
      </c>
      <c r="J319" s="129" t="b">
        <v>0</v>
      </c>
      <c r="K319" s="129" t="b">
        <v>0</v>
      </c>
      <c r="L319" s="129">
        <v>200</v>
      </c>
      <c r="M319" s="129">
        <v>0</v>
      </c>
      <c r="N319" s="129">
        <v>1290.9100000000001</v>
      </c>
      <c r="O319" s="129">
        <v>0</v>
      </c>
      <c r="P319" s="129">
        <v>0</v>
      </c>
      <c r="Q319" s="129">
        <v>42600</v>
      </c>
      <c r="R319" s="127" t="s">
        <v>136</v>
      </c>
      <c r="S319" s="129">
        <v>0</v>
      </c>
      <c r="T319" s="129">
        <v>0</v>
      </c>
      <c r="U319" s="129">
        <v>0</v>
      </c>
      <c r="V319" s="129" t="b">
        <v>0</v>
      </c>
      <c r="W319" s="129">
        <v>99954829</v>
      </c>
      <c r="X319" s="129">
        <v>0</v>
      </c>
      <c r="Y319" s="129">
        <v>0</v>
      </c>
      <c r="Z319" s="127" t="s">
        <v>255</v>
      </c>
      <c r="AA319" s="129">
        <v>0</v>
      </c>
      <c r="AB319" s="129" t="b">
        <v>0</v>
      </c>
      <c r="AC319" s="127" t="s">
        <v>142</v>
      </c>
      <c r="AD319" s="127" t="s">
        <v>142</v>
      </c>
      <c r="AE319" s="127" t="s">
        <v>142</v>
      </c>
      <c r="AF319" s="129">
        <v>213</v>
      </c>
      <c r="AG319" s="144">
        <v>41467</v>
      </c>
      <c r="AH319" s="129"/>
    </row>
    <row r="320" spans="1:34" x14ac:dyDescent="0.2">
      <c r="A320" s="127" t="s">
        <v>135</v>
      </c>
      <c r="B320" s="128">
        <v>41430.392106481479</v>
      </c>
      <c r="C320" s="127" t="s">
        <v>272</v>
      </c>
      <c r="D320" s="127" t="s">
        <v>135</v>
      </c>
      <c r="E320" s="127" t="s">
        <v>21</v>
      </c>
      <c r="F320" s="129">
        <v>4518</v>
      </c>
      <c r="G320" s="129">
        <v>4701</v>
      </c>
      <c r="H320" s="129">
        <v>30</v>
      </c>
      <c r="I320" s="129">
        <v>36600</v>
      </c>
      <c r="J320" s="129" t="b">
        <v>0</v>
      </c>
      <c r="K320" s="129" t="b">
        <v>0</v>
      </c>
      <c r="L320" s="129">
        <v>200</v>
      </c>
      <c r="M320" s="129">
        <v>0</v>
      </c>
      <c r="N320" s="129">
        <v>1220</v>
      </c>
      <c r="O320" s="129">
        <v>0</v>
      </c>
      <c r="P320" s="129">
        <v>0</v>
      </c>
      <c r="Q320" s="129">
        <v>36600</v>
      </c>
      <c r="R320" s="127" t="s">
        <v>136</v>
      </c>
      <c r="S320" s="129">
        <v>0</v>
      </c>
      <c r="T320" s="129">
        <v>0</v>
      </c>
      <c r="U320" s="129">
        <v>0</v>
      </c>
      <c r="V320" s="129" t="b">
        <v>0</v>
      </c>
      <c r="W320" s="129">
        <v>99873391</v>
      </c>
      <c r="X320" s="129">
        <v>0</v>
      </c>
      <c r="Y320" s="129">
        <v>0</v>
      </c>
      <c r="Z320" s="127" t="s">
        <v>255</v>
      </c>
      <c r="AA320" s="129">
        <v>0</v>
      </c>
      <c r="AB320" s="129" t="b">
        <v>0</v>
      </c>
      <c r="AC320" s="127" t="s">
        <v>142</v>
      </c>
      <c r="AD320" s="127" t="s">
        <v>142</v>
      </c>
      <c r="AE320" s="127" t="s">
        <v>142</v>
      </c>
      <c r="AF320" s="129">
        <v>183</v>
      </c>
      <c r="AG320" s="144">
        <v>41436</v>
      </c>
      <c r="AH320" s="129"/>
    </row>
    <row r="321" spans="1:34" x14ac:dyDescent="0.2">
      <c r="A321" s="127" t="s">
        <v>135</v>
      </c>
      <c r="B321" s="128">
        <v>41400.53087962963</v>
      </c>
      <c r="C321" s="127" t="s">
        <v>272</v>
      </c>
      <c r="D321" s="127" t="s">
        <v>135</v>
      </c>
      <c r="E321" s="127" t="s">
        <v>21</v>
      </c>
      <c r="F321" s="129">
        <v>4333</v>
      </c>
      <c r="G321" s="129">
        <v>4518</v>
      </c>
      <c r="H321" s="129">
        <v>32</v>
      </c>
      <c r="I321" s="129">
        <v>37000</v>
      </c>
      <c r="J321" s="129" t="b">
        <v>0</v>
      </c>
      <c r="K321" s="129" t="b">
        <v>0</v>
      </c>
      <c r="L321" s="129">
        <v>200</v>
      </c>
      <c r="M321" s="129">
        <v>0</v>
      </c>
      <c r="N321" s="129">
        <v>1156.25</v>
      </c>
      <c r="O321" s="129">
        <v>0</v>
      </c>
      <c r="P321" s="129">
        <v>0</v>
      </c>
      <c r="Q321" s="129">
        <v>37000</v>
      </c>
      <c r="R321" s="127" t="s">
        <v>136</v>
      </c>
      <c r="S321" s="129">
        <v>0</v>
      </c>
      <c r="T321" s="129">
        <v>0</v>
      </c>
      <c r="U321" s="129">
        <v>0</v>
      </c>
      <c r="V321" s="129" t="b">
        <v>0</v>
      </c>
      <c r="W321" s="129">
        <v>99793466</v>
      </c>
      <c r="X321" s="129">
        <v>0</v>
      </c>
      <c r="Y321" s="129">
        <v>0</v>
      </c>
      <c r="Z321" s="127" t="s">
        <v>255</v>
      </c>
      <c r="AA321" s="129">
        <v>0</v>
      </c>
      <c r="AB321" s="129" t="b">
        <v>0</v>
      </c>
      <c r="AC321" s="127" t="s">
        <v>142</v>
      </c>
      <c r="AD321" s="127" t="s">
        <v>142</v>
      </c>
      <c r="AE321" s="127" t="s">
        <v>142</v>
      </c>
      <c r="AF321" s="129">
        <v>185</v>
      </c>
      <c r="AG321" s="144">
        <v>41404</v>
      </c>
      <c r="AH321" s="129"/>
    </row>
    <row r="322" spans="1:34" x14ac:dyDescent="0.2">
      <c r="A322" s="127" t="s">
        <v>135</v>
      </c>
      <c r="B322" s="128">
        <v>41368.583831018521</v>
      </c>
      <c r="C322" s="127" t="s">
        <v>272</v>
      </c>
      <c r="D322" s="127" t="s">
        <v>135</v>
      </c>
      <c r="E322" s="127" t="s">
        <v>21</v>
      </c>
      <c r="F322" s="129">
        <v>4150</v>
      </c>
      <c r="G322" s="129">
        <v>4333</v>
      </c>
      <c r="H322" s="129">
        <v>31</v>
      </c>
      <c r="I322" s="129">
        <v>36600</v>
      </c>
      <c r="J322" s="129" t="b">
        <v>0</v>
      </c>
      <c r="K322" s="129" t="b">
        <v>0</v>
      </c>
      <c r="L322" s="129">
        <v>200</v>
      </c>
      <c r="M322" s="129">
        <v>0</v>
      </c>
      <c r="N322" s="129">
        <v>1180.6500000000001</v>
      </c>
      <c r="O322" s="129">
        <v>0</v>
      </c>
      <c r="P322" s="129">
        <v>0</v>
      </c>
      <c r="Q322" s="129">
        <v>36600</v>
      </c>
      <c r="R322" s="127" t="s">
        <v>136</v>
      </c>
      <c r="S322" s="129">
        <v>0</v>
      </c>
      <c r="T322" s="129">
        <v>0</v>
      </c>
      <c r="U322" s="129">
        <v>0</v>
      </c>
      <c r="V322" s="129" t="b">
        <v>0</v>
      </c>
      <c r="W322" s="129">
        <v>99703694</v>
      </c>
      <c r="X322" s="129">
        <v>0</v>
      </c>
      <c r="Y322" s="129">
        <v>0</v>
      </c>
      <c r="Z322" s="127" t="s">
        <v>255</v>
      </c>
      <c r="AA322" s="129">
        <v>0</v>
      </c>
      <c r="AB322" s="129" t="b">
        <v>0</v>
      </c>
      <c r="AC322" s="127" t="s">
        <v>142</v>
      </c>
      <c r="AD322" s="127" t="s">
        <v>142</v>
      </c>
      <c r="AE322" s="127" t="s">
        <v>142</v>
      </c>
      <c r="AF322" s="129">
        <v>183</v>
      </c>
      <c r="AG322" s="144">
        <v>41374</v>
      </c>
      <c r="AH322" s="129"/>
    </row>
    <row r="323" spans="1:34" x14ac:dyDescent="0.2">
      <c r="A323" s="127" t="s">
        <v>135</v>
      </c>
      <c r="B323" s="128">
        <v>41337.617268518516</v>
      </c>
      <c r="C323" s="127" t="s">
        <v>272</v>
      </c>
      <c r="D323" s="127" t="s">
        <v>135</v>
      </c>
      <c r="E323" s="127" t="s">
        <v>21</v>
      </c>
      <c r="F323" s="129">
        <v>3982</v>
      </c>
      <c r="G323" s="129">
        <v>4150</v>
      </c>
      <c r="H323" s="129">
        <v>25</v>
      </c>
      <c r="I323" s="129">
        <v>33600</v>
      </c>
      <c r="J323" s="129" t="b">
        <v>0</v>
      </c>
      <c r="K323" s="129" t="b">
        <v>0</v>
      </c>
      <c r="L323" s="129">
        <v>200</v>
      </c>
      <c r="M323" s="129">
        <v>0</v>
      </c>
      <c r="N323" s="129">
        <v>1344</v>
      </c>
      <c r="O323" s="129">
        <v>0</v>
      </c>
      <c r="P323" s="129">
        <v>0</v>
      </c>
      <c r="Q323" s="129">
        <v>33600</v>
      </c>
      <c r="R323" s="127" t="s">
        <v>136</v>
      </c>
      <c r="S323" s="129">
        <v>0</v>
      </c>
      <c r="T323" s="129">
        <v>0</v>
      </c>
      <c r="U323" s="129">
        <v>0</v>
      </c>
      <c r="V323" s="129" t="b">
        <v>0</v>
      </c>
      <c r="W323" s="129">
        <v>99620161</v>
      </c>
      <c r="X323" s="129">
        <v>0</v>
      </c>
      <c r="Y323" s="129">
        <v>0</v>
      </c>
      <c r="Z323" s="127" t="s">
        <v>255</v>
      </c>
      <c r="AA323" s="129">
        <v>0</v>
      </c>
      <c r="AB323" s="129" t="b">
        <v>0</v>
      </c>
      <c r="AC323" s="127" t="s">
        <v>142</v>
      </c>
      <c r="AD323" s="127" t="s">
        <v>142</v>
      </c>
      <c r="AE323" s="127" t="s">
        <v>142</v>
      </c>
      <c r="AF323" s="129">
        <v>168</v>
      </c>
      <c r="AG323" s="144">
        <v>41344</v>
      </c>
      <c r="AH323" s="129"/>
    </row>
    <row r="324" spans="1:34" x14ac:dyDescent="0.2">
      <c r="A324" s="127" t="s">
        <v>135</v>
      </c>
      <c r="B324" s="128">
        <v>41312.375439814816</v>
      </c>
      <c r="C324" s="127" t="s">
        <v>272</v>
      </c>
      <c r="D324" s="127" t="s">
        <v>135</v>
      </c>
      <c r="E324" s="127" t="s">
        <v>21</v>
      </c>
      <c r="F324" s="129">
        <v>3796</v>
      </c>
      <c r="G324" s="129">
        <v>3982</v>
      </c>
      <c r="H324" s="129">
        <v>31</v>
      </c>
      <c r="I324" s="129">
        <v>37200</v>
      </c>
      <c r="J324" s="129" t="b">
        <v>0</v>
      </c>
      <c r="K324" s="129" t="b">
        <v>0</v>
      </c>
      <c r="L324" s="129">
        <v>200</v>
      </c>
      <c r="M324" s="129">
        <v>0</v>
      </c>
      <c r="N324" s="129">
        <v>1200</v>
      </c>
      <c r="O324" s="129">
        <v>0</v>
      </c>
      <c r="P324" s="129">
        <v>0</v>
      </c>
      <c r="Q324" s="129">
        <v>37200</v>
      </c>
      <c r="R324" s="127" t="s">
        <v>136</v>
      </c>
      <c r="S324" s="129">
        <v>0</v>
      </c>
      <c r="T324" s="129">
        <v>0</v>
      </c>
      <c r="U324" s="129">
        <v>0</v>
      </c>
      <c r="V324" s="129" t="b">
        <v>0</v>
      </c>
      <c r="W324" s="129">
        <v>99535031</v>
      </c>
      <c r="X324" s="129">
        <v>0</v>
      </c>
      <c r="Y324" s="129">
        <v>0</v>
      </c>
      <c r="Z324" s="127" t="s">
        <v>255</v>
      </c>
      <c r="AA324" s="129">
        <v>0</v>
      </c>
      <c r="AB324" s="129" t="b">
        <v>0</v>
      </c>
      <c r="AC324" s="127" t="s">
        <v>142</v>
      </c>
      <c r="AD324" s="127" t="s">
        <v>142</v>
      </c>
      <c r="AE324" s="127" t="s">
        <v>142</v>
      </c>
      <c r="AF324" s="129">
        <v>186</v>
      </c>
      <c r="AG324" s="144">
        <v>41316</v>
      </c>
      <c r="AH324" s="129"/>
    </row>
    <row r="325" spans="1:34" x14ac:dyDescent="0.2">
      <c r="A325" s="127" t="s">
        <v>135</v>
      </c>
      <c r="B325" s="128">
        <v>41281.368252314816</v>
      </c>
      <c r="C325" s="127" t="s">
        <v>272</v>
      </c>
      <c r="D325" s="127" t="s">
        <v>135</v>
      </c>
      <c r="E325" s="127" t="s">
        <v>21</v>
      </c>
      <c r="F325" s="129">
        <v>3620</v>
      </c>
      <c r="G325" s="129">
        <v>3796</v>
      </c>
      <c r="H325" s="129">
        <v>34</v>
      </c>
      <c r="I325" s="129">
        <v>35200</v>
      </c>
      <c r="J325" s="129" t="b">
        <v>0</v>
      </c>
      <c r="K325" s="129" t="b">
        <v>0</v>
      </c>
      <c r="L325" s="129">
        <v>200</v>
      </c>
      <c r="M325" s="129">
        <v>0</v>
      </c>
      <c r="N325" s="129">
        <v>1035.29</v>
      </c>
      <c r="O325" s="129">
        <v>0</v>
      </c>
      <c r="P325" s="129">
        <v>0</v>
      </c>
      <c r="Q325" s="129">
        <v>35200</v>
      </c>
      <c r="R325" s="127" t="s">
        <v>136</v>
      </c>
      <c r="S325" s="129">
        <v>0</v>
      </c>
      <c r="T325" s="129">
        <v>0</v>
      </c>
      <c r="U325" s="129">
        <v>0</v>
      </c>
      <c r="V325" s="129" t="b">
        <v>0</v>
      </c>
      <c r="W325" s="129">
        <v>99458197</v>
      </c>
      <c r="X325" s="129">
        <v>0</v>
      </c>
      <c r="Y325" s="129">
        <v>0</v>
      </c>
      <c r="Z325" s="127" t="s">
        <v>255</v>
      </c>
      <c r="AA325" s="129">
        <v>0</v>
      </c>
      <c r="AB325" s="129" t="b">
        <v>0</v>
      </c>
      <c r="AC325" s="127" t="s">
        <v>142</v>
      </c>
      <c r="AD325" s="127" t="s">
        <v>142</v>
      </c>
      <c r="AE325" s="127" t="s">
        <v>142</v>
      </c>
      <c r="AF325" s="129">
        <v>176</v>
      </c>
      <c r="AG325" s="144">
        <v>41284</v>
      </c>
      <c r="AH325" s="129"/>
    </row>
    <row r="326" spans="1:34" x14ac:dyDescent="0.2">
      <c r="A326" s="127" t="s">
        <v>135</v>
      </c>
      <c r="B326" s="128">
        <v>41247.509039351855</v>
      </c>
      <c r="C326" s="127" t="s">
        <v>272</v>
      </c>
      <c r="D326" s="127" t="s">
        <v>135</v>
      </c>
      <c r="E326" s="127" t="s">
        <v>21</v>
      </c>
      <c r="F326" s="129">
        <v>3454</v>
      </c>
      <c r="G326" s="129">
        <v>3620</v>
      </c>
      <c r="H326" s="129">
        <v>29</v>
      </c>
      <c r="I326" s="129">
        <v>33200</v>
      </c>
      <c r="J326" s="129" t="b">
        <v>0</v>
      </c>
      <c r="K326" s="129" t="b">
        <v>0</v>
      </c>
      <c r="L326" s="129">
        <v>200</v>
      </c>
      <c r="M326" s="129">
        <v>0</v>
      </c>
      <c r="N326" s="129">
        <v>1144.83</v>
      </c>
      <c r="O326" s="129">
        <v>0</v>
      </c>
      <c r="P326" s="129">
        <v>0</v>
      </c>
      <c r="Q326" s="129">
        <v>33200</v>
      </c>
      <c r="R326" s="127" t="s">
        <v>136</v>
      </c>
      <c r="S326" s="129">
        <v>0</v>
      </c>
      <c r="T326" s="129">
        <v>0</v>
      </c>
      <c r="U326" s="129">
        <v>0</v>
      </c>
      <c r="V326" s="129" t="b">
        <v>0</v>
      </c>
      <c r="W326" s="129">
        <v>99374380</v>
      </c>
      <c r="X326" s="129">
        <v>0</v>
      </c>
      <c r="Y326" s="129">
        <v>0</v>
      </c>
      <c r="Z326" s="127" t="s">
        <v>255</v>
      </c>
      <c r="AA326" s="129">
        <v>0</v>
      </c>
      <c r="AB326" s="129" t="b">
        <v>0</v>
      </c>
      <c r="AC326" s="127" t="s">
        <v>142</v>
      </c>
      <c r="AD326" s="127" t="s">
        <v>142</v>
      </c>
      <c r="AE326" s="127" t="s">
        <v>142</v>
      </c>
      <c r="AF326" s="129">
        <v>166</v>
      </c>
      <c r="AG326" s="144">
        <v>41254</v>
      </c>
      <c r="AH326" s="129"/>
    </row>
    <row r="327" spans="1:34" x14ac:dyDescent="0.2">
      <c r="A327" s="127" t="s">
        <v>135</v>
      </c>
      <c r="B327" s="128">
        <v>41218.418113425927</v>
      </c>
      <c r="C327" s="127" t="s">
        <v>272</v>
      </c>
      <c r="D327" s="127" t="s">
        <v>135</v>
      </c>
      <c r="E327" s="127" t="s">
        <v>21</v>
      </c>
      <c r="F327" s="129">
        <v>3269</v>
      </c>
      <c r="G327" s="129">
        <v>3454</v>
      </c>
      <c r="H327" s="129">
        <v>32</v>
      </c>
      <c r="I327" s="129">
        <v>37000</v>
      </c>
      <c r="J327" s="129" t="b">
        <v>0</v>
      </c>
      <c r="K327" s="129" t="b">
        <v>0</v>
      </c>
      <c r="L327" s="129">
        <v>200</v>
      </c>
      <c r="M327" s="129">
        <v>0</v>
      </c>
      <c r="N327" s="129">
        <v>1156.25</v>
      </c>
      <c r="O327" s="129">
        <v>0</v>
      </c>
      <c r="P327" s="129">
        <v>0</v>
      </c>
      <c r="Q327" s="129">
        <v>37000</v>
      </c>
      <c r="R327" s="127" t="s">
        <v>136</v>
      </c>
      <c r="S327" s="129">
        <v>0</v>
      </c>
      <c r="T327" s="129">
        <v>0</v>
      </c>
      <c r="U327" s="129">
        <v>0</v>
      </c>
      <c r="V327" s="129" t="b">
        <v>0</v>
      </c>
      <c r="W327" s="129">
        <v>99293639</v>
      </c>
      <c r="X327" s="129">
        <v>0</v>
      </c>
      <c r="Y327" s="129">
        <v>0</v>
      </c>
      <c r="Z327" s="127" t="s">
        <v>255</v>
      </c>
      <c r="AA327" s="129">
        <v>0</v>
      </c>
      <c r="AB327" s="129" t="b">
        <v>0</v>
      </c>
      <c r="AC327" s="127" t="s">
        <v>142</v>
      </c>
      <c r="AD327" s="127" t="s">
        <v>142</v>
      </c>
      <c r="AE327" s="127" t="s">
        <v>142</v>
      </c>
      <c r="AF327" s="129">
        <v>185</v>
      </c>
      <c r="AG327" s="144">
        <v>41222</v>
      </c>
      <c r="AH327" s="129"/>
    </row>
    <row r="328" spans="1:34" x14ac:dyDescent="0.2">
      <c r="A328" s="127" t="s">
        <v>135</v>
      </c>
      <c r="B328" s="128">
        <v>41186.34270833333</v>
      </c>
      <c r="C328" s="127" t="s">
        <v>272</v>
      </c>
      <c r="D328" s="127" t="s">
        <v>135</v>
      </c>
      <c r="E328" s="127" t="s">
        <v>21</v>
      </c>
      <c r="F328" s="129">
        <v>3075</v>
      </c>
      <c r="G328" s="129">
        <v>3269</v>
      </c>
      <c r="H328" s="129">
        <v>29</v>
      </c>
      <c r="I328" s="129">
        <v>38800</v>
      </c>
      <c r="J328" s="129" t="b">
        <v>0</v>
      </c>
      <c r="K328" s="129" t="b">
        <v>0</v>
      </c>
      <c r="L328" s="129">
        <v>200</v>
      </c>
      <c r="M328" s="129">
        <v>0</v>
      </c>
      <c r="N328" s="129">
        <v>1337.93</v>
      </c>
      <c r="O328" s="129">
        <v>0</v>
      </c>
      <c r="P328" s="129">
        <v>0</v>
      </c>
      <c r="Q328" s="129">
        <v>38800</v>
      </c>
      <c r="R328" s="127" t="s">
        <v>136</v>
      </c>
      <c r="S328" s="129">
        <v>0</v>
      </c>
      <c r="T328" s="129">
        <v>0</v>
      </c>
      <c r="U328" s="129">
        <v>0</v>
      </c>
      <c r="V328" s="129" t="b">
        <v>0</v>
      </c>
      <c r="W328" s="129">
        <v>99202770</v>
      </c>
      <c r="X328" s="129">
        <v>0</v>
      </c>
      <c r="Y328" s="129">
        <v>0</v>
      </c>
      <c r="Z328" s="127" t="s">
        <v>255</v>
      </c>
      <c r="AA328" s="129">
        <v>0</v>
      </c>
      <c r="AB328" s="129" t="b">
        <v>0</v>
      </c>
      <c r="AC328" s="127" t="s">
        <v>142</v>
      </c>
      <c r="AD328" s="127" t="s">
        <v>142</v>
      </c>
      <c r="AE328" s="127" t="s">
        <v>142</v>
      </c>
      <c r="AF328" s="129">
        <v>194</v>
      </c>
      <c r="AG328" s="144">
        <v>41194</v>
      </c>
      <c r="AH328" s="129"/>
    </row>
    <row r="329" spans="1:34" x14ac:dyDescent="0.2">
      <c r="A329" s="127" t="s">
        <v>135</v>
      </c>
      <c r="B329" s="128">
        <v>41157.424039351848</v>
      </c>
      <c r="C329" s="127" t="s">
        <v>272</v>
      </c>
      <c r="D329" s="127" t="s">
        <v>135</v>
      </c>
      <c r="E329" s="127" t="s">
        <v>21</v>
      </c>
      <c r="F329" s="129">
        <v>2849</v>
      </c>
      <c r="G329" s="129">
        <v>3075</v>
      </c>
      <c r="H329" s="129">
        <v>30</v>
      </c>
      <c r="I329" s="129">
        <v>45200</v>
      </c>
      <c r="J329" s="129" t="b">
        <v>0</v>
      </c>
      <c r="K329" s="129" t="b">
        <v>0</v>
      </c>
      <c r="L329" s="129">
        <v>200</v>
      </c>
      <c r="M329" s="129">
        <v>0</v>
      </c>
      <c r="N329" s="129">
        <v>1506.67</v>
      </c>
      <c r="O329" s="129">
        <v>0</v>
      </c>
      <c r="P329" s="129">
        <v>0</v>
      </c>
      <c r="Q329" s="129">
        <v>45200</v>
      </c>
      <c r="R329" s="127" t="s">
        <v>136</v>
      </c>
      <c r="S329" s="129">
        <v>0</v>
      </c>
      <c r="T329" s="129">
        <v>0</v>
      </c>
      <c r="U329" s="129">
        <v>0</v>
      </c>
      <c r="V329" s="129" t="b">
        <v>0</v>
      </c>
      <c r="W329" s="129">
        <v>99113770</v>
      </c>
      <c r="X329" s="129">
        <v>0</v>
      </c>
      <c r="Y329" s="129">
        <v>0</v>
      </c>
      <c r="Z329" s="127" t="s">
        <v>255</v>
      </c>
      <c r="AA329" s="129">
        <v>0</v>
      </c>
      <c r="AB329" s="129" t="b">
        <v>0</v>
      </c>
      <c r="AC329" s="127" t="s">
        <v>142</v>
      </c>
      <c r="AD329" s="127" t="s">
        <v>142</v>
      </c>
      <c r="AE329" s="127" t="s">
        <v>142</v>
      </c>
      <c r="AF329" s="129">
        <v>226</v>
      </c>
      <c r="AG329" s="144">
        <v>41164</v>
      </c>
      <c r="AH329" s="129"/>
    </row>
    <row r="330" spans="1:34" x14ac:dyDescent="0.2">
      <c r="A330" s="127" t="s">
        <v>135</v>
      </c>
      <c r="B330" s="128">
        <v>41127.34574074074</v>
      </c>
      <c r="C330" s="127" t="s">
        <v>272</v>
      </c>
      <c r="D330" s="127" t="s">
        <v>135</v>
      </c>
      <c r="E330" s="127" t="s">
        <v>21</v>
      </c>
      <c r="F330" s="129">
        <v>2575</v>
      </c>
      <c r="G330" s="129">
        <v>2849</v>
      </c>
      <c r="H330" s="129">
        <v>32</v>
      </c>
      <c r="I330" s="129">
        <v>54800</v>
      </c>
      <c r="J330" s="129" t="b">
        <v>0</v>
      </c>
      <c r="K330" s="129" t="b">
        <v>0</v>
      </c>
      <c r="L330" s="129">
        <v>200</v>
      </c>
      <c r="M330" s="129">
        <v>0</v>
      </c>
      <c r="N330" s="129">
        <v>1712.5</v>
      </c>
      <c r="O330" s="129">
        <v>0</v>
      </c>
      <c r="P330" s="129">
        <v>0</v>
      </c>
      <c r="Q330" s="129">
        <v>54800</v>
      </c>
      <c r="R330" s="127" t="s">
        <v>136</v>
      </c>
      <c r="S330" s="129">
        <v>0</v>
      </c>
      <c r="T330" s="129">
        <v>0</v>
      </c>
      <c r="U330" s="129">
        <v>0</v>
      </c>
      <c r="V330" s="129" t="b">
        <v>0</v>
      </c>
      <c r="W330" s="129">
        <v>99034515</v>
      </c>
      <c r="X330" s="129">
        <v>0</v>
      </c>
      <c r="Y330" s="129">
        <v>0</v>
      </c>
      <c r="Z330" s="127" t="s">
        <v>255</v>
      </c>
      <c r="AA330" s="129">
        <v>0</v>
      </c>
      <c r="AB330" s="129" t="b">
        <v>0</v>
      </c>
      <c r="AC330" s="127" t="s">
        <v>142</v>
      </c>
      <c r="AD330" s="127" t="s">
        <v>142</v>
      </c>
      <c r="AE330" s="127" t="s">
        <v>142</v>
      </c>
      <c r="AF330" s="129">
        <v>274</v>
      </c>
      <c r="AG330" s="144">
        <v>41134</v>
      </c>
      <c r="AH330" s="129"/>
    </row>
    <row r="331" spans="1:34" x14ac:dyDescent="0.2">
      <c r="A331" s="127" t="s">
        <v>135</v>
      </c>
      <c r="B331" s="128">
        <v>41095.355081018519</v>
      </c>
      <c r="C331" s="127" t="s">
        <v>272</v>
      </c>
      <c r="D331" s="127" t="s">
        <v>135</v>
      </c>
      <c r="E331" s="127" t="s">
        <v>21</v>
      </c>
      <c r="F331" s="129">
        <v>2347</v>
      </c>
      <c r="G331" s="129">
        <v>2575</v>
      </c>
      <c r="H331" s="129">
        <v>31</v>
      </c>
      <c r="I331" s="129">
        <v>45600</v>
      </c>
      <c r="J331" s="129" t="b">
        <v>0</v>
      </c>
      <c r="K331" s="129" t="b">
        <v>0</v>
      </c>
      <c r="L331" s="129">
        <v>200</v>
      </c>
      <c r="M331" s="129">
        <v>0</v>
      </c>
      <c r="N331" s="129">
        <v>1470.97</v>
      </c>
      <c r="O331" s="129">
        <v>0</v>
      </c>
      <c r="P331" s="129">
        <v>0</v>
      </c>
      <c r="Q331" s="129">
        <v>45600</v>
      </c>
      <c r="R331" s="127" t="s">
        <v>136</v>
      </c>
      <c r="S331" s="129">
        <v>0</v>
      </c>
      <c r="T331" s="129">
        <v>0</v>
      </c>
      <c r="U331" s="129">
        <v>0</v>
      </c>
      <c r="V331" s="129" t="b">
        <v>0</v>
      </c>
      <c r="W331" s="129">
        <v>98951993</v>
      </c>
      <c r="X331" s="129">
        <v>0</v>
      </c>
      <c r="Y331" s="129">
        <v>0</v>
      </c>
      <c r="Z331" s="127" t="s">
        <v>255</v>
      </c>
      <c r="AA331" s="129">
        <v>0</v>
      </c>
      <c r="AB331" s="129" t="b">
        <v>0</v>
      </c>
      <c r="AC331" s="127" t="s">
        <v>142</v>
      </c>
      <c r="AD331" s="127" t="s">
        <v>142</v>
      </c>
      <c r="AE331" s="127" t="s">
        <v>142</v>
      </c>
      <c r="AF331" s="129">
        <v>228</v>
      </c>
      <c r="AG331" s="144">
        <v>41101</v>
      </c>
      <c r="AH331" s="129"/>
    </row>
    <row r="332" spans="1:34" x14ac:dyDescent="0.2">
      <c r="A332" s="127" t="s">
        <v>135</v>
      </c>
      <c r="B332" s="128">
        <v>41064.548055555555</v>
      </c>
      <c r="C332" s="127" t="s">
        <v>272</v>
      </c>
      <c r="D332" s="127" t="s">
        <v>135</v>
      </c>
      <c r="E332" s="127" t="s">
        <v>21</v>
      </c>
      <c r="F332" s="129">
        <v>2143</v>
      </c>
      <c r="G332" s="129">
        <v>2347</v>
      </c>
      <c r="H332" s="129">
        <v>31</v>
      </c>
      <c r="I332" s="129">
        <v>40800</v>
      </c>
      <c r="J332" s="129" t="b">
        <v>0</v>
      </c>
      <c r="K332" s="129" t="b">
        <v>0</v>
      </c>
      <c r="L332" s="129">
        <v>200</v>
      </c>
      <c r="M332" s="129">
        <v>0</v>
      </c>
      <c r="N332" s="129">
        <v>1316.13</v>
      </c>
      <c r="O332" s="129">
        <v>0</v>
      </c>
      <c r="P332" s="129">
        <v>0</v>
      </c>
      <c r="Q332" s="129">
        <v>40800</v>
      </c>
      <c r="R332" s="127" t="s">
        <v>136</v>
      </c>
      <c r="S332" s="129">
        <v>0</v>
      </c>
      <c r="T332" s="129">
        <v>0</v>
      </c>
      <c r="U332" s="129">
        <v>0</v>
      </c>
      <c r="V332" s="129" t="b">
        <v>0</v>
      </c>
      <c r="W332" s="129">
        <v>98870138</v>
      </c>
      <c r="X332" s="129">
        <v>0</v>
      </c>
      <c r="Y332" s="129">
        <v>0</v>
      </c>
      <c r="Z332" s="127" t="s">
        <v>255</v>
      </c>
      <c r="AA332" s="129">
        <v>0</v>
      </c>
      <c r="AB332" s="129" t="b">
        <v>0</v>
      </c>
      <c r="AC332" s="127" t="s">
        <v>142</v>
      </c>
      <c r="AD332" s="127" t="s">
        <v>142</v>
      </c>
      <c r="AE332" s="127" t="s">
        <v>142</v>
      </c>
      <c r="AF332" s="129">
        <v>204</v>
      </c>
      <c r="AG332" s="144">
        <v>41071</v>
      </c>
      <c r="AH332" s="129"/>
    </row>
    <row r="333" spans="1:34" x14ac:dyDescent="0.2">
      <c r="A333" s="127" t="s">
        <v>135</v>
      </c>
      <c r="B333" s="128">
        <v>41033.344606481478</v>
      </c>
      <c r="C333" s="127" t="s">
        <v>272</v>
      </c>
      <c r="D333" s="127" t="s">
        <v>135</v>
      </c>
      <c r="E333" s="127" t="s">
        <v>21</v>
      </c>
      <c r="F333" s="129">
        <v>1963</v>
      </c>
      <c r="G333" s="129">
        <v>2143</v>
      </c>
      <c r="H333" s="129">
        <v>30</v>
      </c>
      <c r="I333" s="129">
        <v>36000</v>
      </c>
      <c r="J333" s="129" t="b">
        <v>0</v>
      </c>
      <c r="K333" s="129" t="b">
        <v>0</v>
      </c>
      <c r="L333" s="129">
        <v>200</v>
      </c>
      <c r="M333" s="129">
        <v>0</v>
      </c>
      <c r="N333" s="129">
        <v>1200</v>
      </c>
      <c r="O333" s="129">
        <v>0</v>
      </c>
      <c r="P333" s="129">
        <v>0</v>
      </c>
      <c r="Q333" s="129">
        <v>36000</v>
      </c>
      <c r="R333" s="127" t="s">
        <v>136</v>
      </c>
      <c r="S333" s="129">
        <v>0</v>
      </c>
      <c r="T333" s="129">
        <v>0</v>
      </c>
      <c r="U333" s="129">
        <v>0</v>
      </c>
      <c r="V333" s="129" t="b">
        <v>0</v>
      </c>
      <c r="W333" s="129">
        <v>98787461</v>
      </c>
      <c r="X333" s="129">
        <v>0</v>
      </c>
      <c r="Y333" s="129">
        <v>0</v>
      </c>
      <c r="Z333" s="127" t="s">
        <v>255</v>
      </c>
      <c r="AA333" s="129">
        <v>0</v>
      </c>
      <c r="AB333" s="129" t="b">
        <v>0</v>
      </c>
      <c r="AC333" s="127" t="s">
        <v>142</v>
      </c>
      <c r="AD333" s="127" t="s">
        <v>142</v>
      </c>
      <c r="AE333" s="127" t="s">
        <v>142</v>
      </c>
      <c r="AF333" s="129">
        <v>180</v>
      </c>
      <c r="AG333" s="144">
        <v>41039</v>
      </c>
      <c r="AH333" s="129"/>
    </row>
    <row r="334" spans="1:34" x14ac:dyDescent="0.2">
      <c r="A334" s="127" t="s">
        <v>135</v>
      </c>
      <c r="B334" s="128">
        <v>41003.366238425922</v>
      </c>
      <c r="C334" s="127" t="s">
        <v>272</v>
      </c>
      <c r="D334" s="127" t="s">
        <v>135</v>
      </c>
      <c r="E334" s="127" t="s">
        <v>21</v>
      </c>
      <c r="F334" s="129">
        <v>1770</v>
      </c>
      <c r="G334" s="129">
        <v>1963</v>
      </c>
      <c r="H334" s="129">
        <v>30</v>
      </c>
      <c r="I334" s="129">
        <v>38600</v>
      </c>
      <c r="J334" s="129" t="b">
        <v>0</v>
      </c>
      <c r="K334" s="129" t="b">
        <v>0</v>
      </c>
      <c r="L334" s="129">
        <v>200</v>
      </c>
      <c r="M334" s="129">
        <v>0</v>
      </c>
      <c r="N334" s="129">
        <v>1286.67</v>
      </c>
      <c r="O334" s="129">
        <v>0</v>
      </c>
      <c r="P334" s="129">
        <v>0</v>
      </c>
      <c r="Q334" s="129">
        <v>38600</v>
      </c>
      <c r="R334" s="127" t="s">
        <v>136</v>
      </c>
      <c r="S334" s="129">
        <v>0</v>
      </c>
      <c r="T334" s="129">
        <v>0</v>
      </c>
      <c r="U334" s="129">
        <v>0</v>
      </c>
      <c r="V334" s="129" t="b">
        <v>0</v>
      </c>
      <c r="W334" s="129">
        <v>98706796</v>
      </c>
      <c r="X334" s="129">
        <v>0</v>
      </c>
      <c r="Y334" s="129">
        <v>0</v>
      </c>
      <c r="Z334" s="127" t="s">
        <v>255</v>
      </c>
      <c r="AA334" s="129">
        <v>0</v>
      </c>
      <c r="AB334" s="129" t="b">
        <v>0</v>
      </c>
      <c r="AC334" s="127" t="s">
        <v>142</v>
      </c>
      <c r="AD334" s="127" t="s">
        <v>142</v>
      </c>
      <c r="AE334" s="127" t="s">
        <v>142</v>
      </c>
      <c r="AF334" s="129">
        <v>193</v>
      </c>
      <c r="AG334" s="144">
        <v>41010</v>
      </c>
      <c r="AH334" s="129"/>
    </row>
    <row r="335" spans="1:34" x14ac:dyDescent="0.2">
      <c r="A335" s="127" t="s">
        <v>135</v>
      </c>
      <c r="B335" s="128">
        <v>40973.359699074077</v>
      </c>
      <c r="C335" s="127" t="s">
        <v>272</v>
      </c>
      <c r="D335" s="127" t="s">
        <v>135</v>
      </c>
      <c r="E335" s="127" t="s">
        <v>21</v>
      </c>
      <c r="F335" s="129">
        <v>1587</v>
      </c>
      <c r="G335" s="129">
        <v>1770</v>
      </c>
      <c r="H335" s="129">
        <v>31</v>
      </c>
      <c r="I335" s="129">
        <v>36600</v>
      </c>
      <c r="J335" s="129" t="b">
        <v>0</v>
      </c>
      <c r="K335" s="129" t="b">
        <v>0</v>
      </c>
      <c r="L335" s="129">
        <v>200</v>
      </c>
      <c r="M335" s="129">
        <v>0</v>
      </c>
      <c r="N335" s="129">
        <v>1180.6500000000001</v>
      </c>
      <c r="O335" s="129">
        <v>0</v>
      </c>
      <c r="P335" s="129">
        <v>0</v>
      </c>
      <c r="Q335" s="129">
        <v>36600</v>
      </c>
      <c r="R335" s="127" t="s">
        <v>136</v>
      </c>
      <c r="S335" s="129">
        <v>0</v>
      </c>
      <c r="T335" s="129">
        <v>0</v>
      </c>
      <c r="U335" s="129">
        <v>0</v>
      </c>
      <c r="V335" s="129" t="b">
        <v>0</v>
      </c>
      <c r="W335" s="129">
        <v>98627897</v>
      </c>
      <c r="X335" s="129">
        <v>0</v>
      </c>
      <c r="Y335" s="129">
        <v>0</v>
      </c>
      <c r="Z335" s="127" t="s">
        <v>255</v>
      </c>
      <c r="AA335" s="129">
        <v>0</v>
      </c>
      <c r="AB335" s="129" t="b">
        <v>0</v>
      </c>
      <c r="AC335" s="127" t="s">
        <v>142</v>
      </c>
      <c r="AD335" s="127" t="s">
        <v>142</v>
      </c>
      <c r="AE335" s="127" t="s">
        <v>142</v>
      </c>
      <c r="AF335" s="129">
        <v>183</v>
      </c>
      <c r="AG335" s="144">
        <v>40980</v>
      </c>
      <c r="AH335" s="129"/>
    </row>
    <row r="336" spans="1:34" x14ac:dyDescent="0.2">
      <c r="A336" s="127" t="s">
        <v>135</v>
      </c>
      <c r="B336" s="128">
        <v>40942.498067129629</v>
      </c>
      <c r="C336" s="127" t="s">
        <v>272</v>
      </c>
      <c r="D336" s="127" t="s">
        <v>135</v>
      </c>
      <c r="E336" s="127" t="s">
        <v>21</v>
      </c>
      <c r="F336" s="129">
        <v>1378</v>
      </c>
      <c r="G336" s="129">
        <v>1587</v>
      </c>
      <c r="H336" s="129">
        <v>30</v>
      </c>
      <c r="I336" s="129">
        <v>41800</v>
      </c>
      <c r="J336" s="129" t="b">
        <v>0</v>
      </c>
      <c r="K336" s="129" t="b">
        <v>0</v>
      </c>
      <c r="L336" s="129">
        <v>200</v>
      </c>
      <c r="M336" s="129">
        <v>0</v>
      </c>
      <c r="N336" s="129">
        <v>1393.33</v>
      </c>
      <c r="O336" s="129">
        <v>0</v>
      </c>
      <c r="P336" s="129">
        <v>0</v>
      </c>
      <c r="Q336" s="129">
        <v>41800</v>
      </c>
      <c r="R336" s="127" t="s">
        <v>136</v>
      </c>
      <c r="S336" s="129">
        <v>0</v>
      </c>
      <c r="T336" s="129">
        <v>0</v>
      </c>
      <c r="U336" s="129">
        <v>0</v>
      </c>
      <c r="V336" s="129" t="b">
        <v>0</v>
      </c>
      <c r="W336" s="129">
        <v>98538812</v>
      </c>
      <c r="X336" s="129">
        <v>0</v>
      </c>
      <c r="Y336" s="129">
        <v>0</v>
      </c>
      <c r="Z336" s="127" t="s">
        <v>255</v>
      </c>
      <c r="AA336" s="129">
        <v>0</v>
      </c>
      <c r="AB336" s="129" t="b">
        <v>0</v>
      </c>
      <c r="AC336" s="127" t="s">
        <v>142</v>
      </c>
      <c r="AD336" s="127" t="s">
        <v>142</v>
      </c>
      <c r="AE336" s="127" t="s">
        <v>142</v>
      </c>
      <c r="AF336" s="129">
        <v>209</v>
      </c>
      <c r="AG336" s="144">
        <v>40948</v>
      </c>
      <c r="AH336" s="129"/>
    </row>
    <row r="337" spans="1:34" x14ac:dyDescent="0.2">
      <c r="A337" s="127" t="s">
        <v>135</v>
      </c>
      <c r="B337" s="128">
        <v>40912.512245370373</v>
      </c>
      <c r="C337" s="127" t="s">
        <v>272</v>
      </c>
      <c r="D337" s="127" t="s">
        <v>135</v>
      </c>
      <c r="E337" s="127" t="s">
        <v>21</v>
      </c>
      <c r="F337" s="129">
        <v>1190</v>
      </c>
      <c r="G337" s="129">
        <v>1378</v>
      </c>
      <c r="H337" s="129">
        <v>29</v>
      </c>
      <c r="I337" s="129">
        <v>37600</v>
      </c>
      <c r="J337" s="129" t="b">
        <v>0</v>
      </c>
      <c r="K337" s="129" t="b">
        <v>0</v>
      </c>
      <c r="L337" s="129">
        <v>200</v>
      </c>
      <c r="M337" s="129">
        <v>0</v>
      </c>
      <c r="N337" s="129">
        <v>1296.55</v>
      </c>
      <c r="O337" s="129">
        <v>0</v>
      </c>
      <c r="P337" s="129">
        <v>0</v>
      </c>
      <c r="Q337" s="129">
        <v>37600</v>
      </c>
      <c r="R337" s="127" t="s">
        <v>136</v>
      </c>
      <c r="S337" s="129">
        <v>0</v>
      </c>
      <c r="T337" s="129">
        <v>0</v>
      </c>
      <c r="U337" s="129">
        <v>0</v>
      </c>
      <c r="V337" s="129" t="b">
        <v>0</v>
      </c>
      <c r="W337" s="129">
        <v>98446065</v>
      </c>
      <c r="X337" s="129">
        <v>0</v>
      </c>
      <c r="Y337" s="129">
        <v>0</v>
      </c>
      <c r="Z337" s="127" t="s">
        <v>255</v>
      </c>
      <c r="AA337" s="129">
        <v>0</v>
      </c>
      <c r="AB337" s="129" t="b">
        <v>0</v>
      </c>
      <c r="AC337" s="127" t="s">
        <v>142</v>
      </c>
      <c r="AD337" s="127" t="s">
        <v>142</v>
      </c>
      <c r="AE337" s="127" t="s">
        <v>142</v>
      </c>
      <c r="AF337" s="129">
        <v>188</v>
      </c>
      <c r="AG337" s="144">
        <v>40919</v>
      </c>
      <c r="AH337" s="129"/>
    </row>
    <row r="338" spans="1:34" x14ac:dyDescent="0.2">
      <c r="A338" s="127" t="s">
        <v>135</v>
      </c>
      <c r="B338" s="128">
        <v>40883.341238425928</v>
      </c>
      <c r="C338" s="127" t="s">
        <v>272</v>
      </c>
      <c r="D338" s="127" t="s">
        <v>135</v>
      </c>
      <c r="E338" s="127" t="s">
        <v>21</v>
      </c>
      <c r="F338" s="129">
        <v>1009</v>
      </c>
      <c r="G338" s="129">
        <v>1190</v>
      </c>
      <c r="H338" s="129">
        <v>33</v>
      </c>
      <c r="I338" s="129">
        <v>36200</v>
      </c>
      <c r="J338" s="129" t="b">
        <v>0</v>
      </c>
      <c r="K338" s="129" t="b">
        <v>0</v>
      </c>
      <c r="L338" s="129">
        <v>200</v>
      </c>
      <c r="M338" s="129">
        <v>0</v>
      </c>
      <c r="N338" s="129">
        <v>1096.97</v>
      </c>
      <c r="O338" s="129">
        <v>0</v>
      </c>
      <c r="P338" s="129">
        <v>0</v>
      </c>
      <c r="Q338" s="129">
        <v>36200</v>
      </c>
      <c r="R338" s="127" t="s">
        <v>136</v>
      </c>
      <c r="S338" s="129">
        <v>0</v>
      </c>
      <c r="T338" s="129">
        <v>0</v>
      </c>
      <c r="U338" s="129">
        <v>0</v>
      </c>
      <c r="V338" s="129" t="b">
        <v>0</v>
      </c>
      <c r="W338" s="129">
        <v>98365737</v>
      </c>
      <c r="X338" s="129">
        <v>0</v>
      </c>
      <c r="Y338" s="129">
        <v>0</v>
      </c>
      <c r="Z338" s="127" t="s">
        <v>255</v>
      </c>
      <c r="AA338" s="129">
        <v>0</v>
      </c>
      <c r="AB338" s="129" t="b">
        <v>0</v>
      </c>
      <c r="AC338" s="127" t="s">
        <v>142</v>
      </c>
      <c r="AD338" s="127" t="s">
        <v>142</v>
      </c>
      <c r="AE338" s="127" t="s">
        <v>142</v>
      </c>
      <c r="AF338" s="129">
        <v>181</v>
      </c>
      <c r="AG338" s="144">
        <v>40886</v>
      </c>
      <c r="AH338" s="129"/>
    </row>
    <row r="339" spans="1:34" x14ac:dyDescent="0.2">
      <c r="A339" s="127" t="s">
        <v>135</v>
      </c>
      <c r="B339" s="128">
        <v>40850.342581018522</v>
      </c>
      <c r="C339" s="127" t="s">
        <v>272</v>
      </c>
      <c r="D339" s="127" t="s">
        <v>135</v>
      </c>
      <c r="E339" s="127" t="s">
        <v>21</v>
      </c>
      <c r="F339" s="129">
        <v>822</v>
      </c>
      <c r="G339" s="129">
        <v>1009</v>
      </c>
      <c r="H339" s="129">
        <v>31</v>
      </c>
      <c r="I339" s="129">
        <v>37400</v>
      </c>
      <c r="J339" s="129" t="b">
        <v>0</v>
      </c>
      <c r="K339" s="129" t="b">
        <v>0</v>
      </c>
      <c r="L339" s="129">
        <v>200</v>
      </c>
      <c r="M339" s="129">
        <v>0</v>
      </c>
      <c r="N339" s="129">
        <v>1206.45</v>
      </c>
      <c r="O339" s="129">
        <v>0</v>
      </c>
      <c r="P339" s="129">
        <v>0</v>
      </c>
      <c r="Q339" s="129">
        <v>37400</v>
      </c>
      <c r="R339" s="127" t="s">
        <v>136</v>
      </c>
      <c r="S339" s="129">
        <v>0</v>
      </c>
      <c r="T339" s="129">
        <v>0</v>
      </c>
      <c r="U339" s="129">
        <v>0</v>
      </c>
      <c r="V339" s="129" t="b">
        <v>0</v>
      </c>
      <c r="W339" s="129">
        <v>98275786</v>
      </c>
      <c r="X339" s="129">
        <v>0</v>
      </c>
      <c r="Y339" s="129">
        <v>0</v>
      </c>
      <c r="Z339" s="129"/>
      <c r="AA339" s="129">
        <v>0</v>
      </c>
      <c r="AB339" s="129" t="b">
        <v>0</v>
      </c>
      <c r="AC339" s="127" t="s">
        <v>142</v>
      </c>
      <c r="AD339" s="127" t="s">
        <v>142</v>
      </c>
      <c r="AE339" s="127" t="s">
        <v>142</v>
      </c>
      <c r="AF339" s="129">
        <v>187</v>
      </c>
      <c r="AG339" s="144">
        <v>40856</v>
      </c>
      <c r="AH339" s="129"/>
    </row>
    <row r="340" spans="1:34" x14ac:dyDescent="0.2">
      <c r="A340" s="127" t="s">
        <v>135</v>
      </c>
      <c r="B340" s="128">
        <v>40819.479641203703</v>
      </c>
      <c r="C340" s="127" t="s">
        <v>272</v>
      </c>
      <c r="D340" s="127" t="s">
        <v>135</v>
      </c>
      <c r="E340" s="127" t="s">
        <v>21</v>
      </c>
      <c r="F340" s="129">
        <v>653</v>
      </c>
      <c r="G340" s="129">
        <v>822</v>
      </c>
      <c r="H340" s="129">
        <v>27</v>
      </c>
      <c r="I340" s="129">
        <v>33800</v>
      </c>
      <c r="J340" s="129" t="b">
        <v>0</v>
      </c>
      <c r="K340" s="129" t="b">
        <v>0</v>
      </c>
      <c r="L340" s="129">
        <v>200</v>
      </c>
      <c r="M340" s="129">
        <v>0</v>
      </c>
      <c r="N340" s="129">
        <v>1251.8499999999999</v>
      </c>
      <c r="O340" s="129">
        <v>0</v>
      </c>
      <c r="P340" s="129">
        <v>0</v>
      </c>
      <c r="Q340" s="129">
        <v>33800</v>
      </c>
      <c r="R340" s="127" t="s">
        <v>136</v>
      </c>
      <c r="S340" s="129">
        <v>0</v>
      </c>
      <c r="T340" s="129">
        <v>0</v>
      </c>
      <c r="U340" s="129">
        <v>0</v>
      </c>
      <c r="V340" s="129" t="b">
        <v>0</v>
      </c>
      <c r="W340" s="129">
        <v>98188635</v>
      </c>
      <c r="X340" s="129">
        <v>0</v>
      </c>
      <c r="Y340" s="129">
        <v>0</v>
      </c>
      <c r="Z340" s="129"/>
      <c r="AA340" s="129">
        <v>0</v>
      </c>
      <c r="AB340" s="129" t="b">
        <v>0</v>
      </c>
      <c r="AC340" s="127" t="s">
        <v>142</v>
      </c>
      <c r="AD340" s="127" t="s">
        <v>142</v>
      </c>
      <c r="AE340" s="127" t="s">
        <v>142</v>
      </c>
      <c r="AF340" s="129">
        <v>169</v>
      </c>
      <c r="AG340" s="144">
        <v>40827</v>
      </c>
      <c r="AH340" s="129"/>
    </row>
    <row r="341" spans="1:34" x14ac:dyDescent="0.2">
      <c r="A341" s="127" t="s">
        <v>135</v>
      </c>
      <c r="B341" s="128">
        <v>40792.493321759262</v>
      </c>
      <c r="C341" s="127" t="s">
        <v>272</v>
      </c>
      <c r="D341" s="127" t="s">
        <v>135</v>
      </c>
      <c r="E341" s="127" t="s">
        <v>21</v>
      </c>
      <c r="F341" s="129">
        <v>406</v>
      </c>
      <c r="G341" s="129">
        <v>653</v>
      </c>
      <c r="H341" s="129">
        <v>34</v>
      </c>
      <c r="I341" s="129">
        <v>49400</v>
      </c>
      <c r="J341" s="129" t="b">
        <v>0</v>
      </c>
      <c r="K341" s="129" t="b">
        <v>0</v>
      </c>
      <c r="L341" s="129">
        <v>200</v>
      </c>
      <c r="M341" s="129">
        <v>0</v>
      </c>
      <c r="N341" s="129">
        <v>1452.94</v>
      </c>
      <c r="O341" s="129">
        <v>0</v>
      </c>
      <c r="P341" s="129">
        <v>0</v>
      </c>
      <c r="Q341" s="129">
        <v>49400</v>
      </c>
      <c r="R341" s="127" t="s">
        <v>136</v>
      </c>
      <c r="S341" s="129">
        <v>0</v>
      </c>
      <c r="T341" s="129">
        <v>0</v>
      </c>
      <c r="U341" s="129">
        <v>0</v>
      </c>
      <c r="V341" s="129" t="b">
        <v>0</v>
      </c>
      <c r="W341" s="129">
        <v>98107250</v>
      </c>
      <c r="X341" s="129">
        <v>0</v>
      </c>
      <c r="Y341" s="129">
        <v>0</v>
      </c>
      <c r="Z341" s="129"/>
      <c r="AA341" s="129">
        <v>0</v>
      </c>
      <c r="AB341" s="129" t="b">
        <v>0</v>
      </c>
      <c r="AC341" s="127" t="s">
        <v>142</v>
      </c>
      <c r="AD341" s="127" t="s">
        <v>142</v>
      </c>
      <c r="AE341" s="127" t="s">
        <v>142</v>
      </c>
      <c r="AF341" s="129">
        <v>247</v>
      </c>
      <c r="AG341" s="144">
        <v>40798</v>
      </c>
      <c r="AH341" s="129"/>
    </row>
    <row r="342" spans="1:34" x14ac:dyDescent="0.2">
      <c r="A342" s="127" t="s">
        <v>135</v>
      </c>
      <c r="B342" s="128">
        <v>40758.353263888886</v>
      </c>
      <c r="C342" s="127" t="s">
        <v>272</v>
      </c>
      <c r="D342" s="127" t="s">
        <v>135</v>
      </c>
      <c r="E342" s="127" t="s">
        <v>21</v>
      </c>
      <c r="F342" s="129">
        <v>202</v>
      </c>
      <c r="G342" s="129">
        <v>406</v>
      </c>
      <c r="H342" s="129">
        <v>26</v>
      </c>
      <c r="I342" s="129">
        <v>40800</v>
      </c>
      <c r="J342" s="129" t="b">
        <v>0</v>
      </c>
      <c r="K342" s="129" t="b">
        <v>0</v>
      </c>
      <c r="L342" s="129">
        <v>200</v>
      </c>
      <c r="M342" s="129">
        <v>0</v>
      </c>
      <c r="N342" s="129">
        <v>1569.23</v>
      </c>
      <c r="O342" s="129">
        <v>0</v>
      </c>
      <c r="P342" s="129">
        <v>0</v>
      </c>
      <c r="Q342" s="129">
        <v>40800</v>
      </c>
      <c r="R342" s="127" t="s">
        <v>136</v>
      </c>
      <c r="S342" s="129">
        <v>0</v>
      </c>
      <c r="T342" s="129">
        <v>0</v>
      </c>
      <c r="U342" s="129">
        <v>0</v>
      </c>
      <c r="V342" s="129" t="b">
        <v>0</v>
      </c>
      <c r="W342" s="129">
        <v>98026646</v>
      </c>
      <c r="X342" s="129">
        <v>0</v>
      </c>
      <c r="Y342" s="129">
        <v>0</v>
      </c>
      <c r="Z342" s="129"/>
      <c r="AA342" s="129">
        <v>0</v>
      </c>
      <c r="AB342" s="129" t="b">
        <v>0</v>
      </c>
      <c r="AC342" s="127" t="s">
        <v>142</v>
      </c>
      <c r="AD342" s="127" t="s">
        <v>142</v>
      </c>
      <c r="AE342" s="127" t="s">
        <v>142</v>
      </c>
      <c r="AF342" s="129">
        <v>204</v>
      </c>
      <c r="AG342" s="144">
        <v>40766</v>
      </c>
      <c r="AH342" s="129"/>
    </row>
    <row r="343" spans="1:34" x14ac:dyDescent="0.2">
      <c r="A343" s="127" t="s">
        <v>135</v>
      </c>
      <c r="B343" s="128">
        <v>40732</v>
      </c>
      <c r="C343" s="127" t="s">
        <v>272</v>
      </c>
      <c r="D343" s="127" t="s">
        <v>135</v>
      </c>
      <c r="E343" s="127" t="s">
        <v>75</v>
      </c>
      <c r="F343" s="129">
        <v>0</v>
      </c>
      <c r="G343" s="129">
        <v>202</v>
      </c>
      <c r="H343" s="129">
        <v>23</v>
      </c>
      <c r="I343" s="129">
        <v>40400</v>
      </c>
      <c r="J343" s="129" t="b">
        <v>0</v>
      </c>
      <c r="K343" s="129" t="b">
        <v>0</v>
      </c>
      <c r="L343" s="129">
        <v>200</v>
      </c>
      <c r="M343" s="129">
        <v>0</v>
      </c>
      <c r="N343" s="129">
        <v>1756.52</v>
      </c>
      <c r="O343" s="129">
        <v>0</v>
      </c>
      <c r="P343" s="129">
        <v>0</v>
      </c>
      <c r="Q343" s="129">
        <v>40400</v>
      </c>
      <c r="R343" s="127" t="s">
        <v>136</v>
      </c>
      <c r="S343" s="129">
        <v>0</v>
      </c>
      <c r="T343" s="129">
        <v>0</v>
      </c>
      <c r="U343" s="129">
        <v>0</v>
      </c>
      <c r="V343" s="129" t="b">
        <v>0</v>
      </c>
      <c r="W343" s="129">
        <v>97940271</v>
      </c>
      <c r="X343" s="129">
        <v>0</v>
      </c>
      <c r="Y343" s="129">
        <v>0</v>
      </c>
      <c r="Z343" s="129"/>
      <c r="AA343" s="129">
        <v>0</v>
      </c>
      <c r="AB343" s="129" t="b">
        <v>0</v>
      </c>
      <c r="AC343" s="127" t="s">
        <v>142</v>
      </c>
      <c r="AD343" s="127" t="s">
        <v>142</v>
      </c>
      <c r="AE343" s="127" t="s">
        <v>142</v>
      </c>
      <c r="AF343" s="129">
        <v>202</v>
      </c>
      <c r="AG343" s="144">
        <v>40737</v>
      </c>
      <c r="AH343" s="129"/>
    </row>
    <row r="344" spans="1:34" x14ac:dyDescent="0.2">
      <c r="A344" s="127" t="s">
        <v>135</v>
      </c>
      <c r="B344" s="128">
        <v>40709</v>
      </c>
      <c r="C344" s="127" t="s">
        <v>274</v>
      </c>
      <c r="D344" s="127" t="s">
        <v>135</v>
      </c>
      <c r="E344" s="127" t="s">
        <v>21</v>
      </c>
      <c r="F344" s="129">
        <v>2694</v>
      </c>
      <c r="G344" s="129">
        <v>2737</v>
      </c>
      <c r="H344" s="129">
        <v>6</v>
      </c>
      <c r="I344" s="129">
        <v>8600</v>
      </c>
      <c r="J344" s="129" t="b">
        <v>0</v>
      </c>
      <c r="K344" s="129" t="b">
        <v>0</v>
      </c>
      <c r="L344" s="129">
        <v>200</v>
      </c>
      <c r="M344" s="129">
        <v>0</v>
      </c>
      <c r="N344" s="129">
        <v>1433.33</v>
      </c>
      <c r="O344" s="129">
        <v>0</v>
      </c>
      <c r="P344" s="129">
        <v>0</v>
      </c>
      <c r="Q344" s="129">
        <v>8600</v>
      </c>
      <c r="R344" s="127" t="s">
        <v>136</v>
      </c>
      <c r="S344" s="129">
        <v>0</v>
      </c>
      <c r="T344" s="129">
        <v>0</v>
      </c>
      <c r="U344" s="129">
        <v>0</v>
      </c>
      <c r="V344" s="129" t="b">
        <v>0</v>
      </c>
      <c r="W344" s="129">
        <v>97940271</v>
      </c>
      <c r="X344" s="129">
        <v>0</v>
      </c>
      <c r="Y344" s="129">
        <v>0</v>
      </c>
      <c r="Z344" s="129"/>
      <c r="AA344" s="129">
        <v>0</v>
      </c>
      <c r="AB344" s="129" t="b">
        <v>0</v>
      </c>
      <c r="AC344" s="127" t="s">
        <v>142</v>
      </c>
      <c r="AD344" s="127" t="s">
        <v>142</v>
      </c>
      <c r="AE344" s="127" t="s">
        <v>142</v>
      </c>
      <c r="AF344" s="129">
        <v>43</v>
      </c>
      <c r="AG344" s="144">
        <v>40737</v>
      </c>
      <c r="AH344" s="129"/>
    </row>
    <row r="345" spans="1:34" x14ac:dyDescent="0.2">
      <c r="A345" s="127" t="s">
        <v>135</v>
      </c>
      <c r="B345" s="128">
        <v>40703.395682870374</v>
      </c>
      <c r="C345" s="127" t="s">
        <v>274</v>
      </c>
      <c r="D345" s="127" t="s">
        <v>135</v>
      </c>
      <c r="E345" s="127" t="s">
        <v>21</v>
      </c>
      <c r="F345" s="129">
        <v>2444</v>
      </c>
      <c r="G345" s="129">
        <v>2694</v>
      </c>
      <c r="H345" s="129">
        <v>34</v>
      </c>
      <c r="I345" s="129">
        <v>50000</v>
      </c>
      <c r="J345" s="129" t="b">
        <v>0</v>
      </c>
      <c r="K345" s="129" t="b">
        <v>0</v>
      </c>
      <c r="L345" s="129">
        <v>200</v>
      </c>
      <c r="M345" s="129">
        <v>0</v>
      </c>
      <c r="N345" s="129">
        <v>1470.59</v>
      </c>
      <c r="O345" s="129">
        <v>0</v>
      </c>
      <c r="P345" s="129">
        <v>0</v>
      </c>
      <c r="Q345" s="129">
        <v>50000</v>
      </c>
      <c r="R345" s="127" t="s">
        <v>136</v>
      </c>
      <c r="S345" s="129">
        <v>0</v>
      </c>
      <c r="T345" s="129">
        <v>0</v>
      </c>
      <c r="U345" s="129">
        <v>0</v>
      </c>
      <c r="V345" s="129" t="b">
        <v>0</v>
      </c>
      <c r="W345" s="129">
        <v>97857389</v>
      </c>
      <c r="X345" s="129">
        <v>0</v>
      </c>
      <c r="Y345" s="129">
        <v>0</v>
      </c>
      <c r="Z345" s="127" t="s">
        <v>250</v>
      </c>
      <c r="AA345" s="129">
        <v>0</v>
      </c>
      <c r="AB345" s="129" t="b">
        <v>0</v>
      </c>
      <c r="AC345" s="127" t="s">
        <v>142</v>
      </c>
      <c r="AD345" s="127" t="s">
        <v>142</v>
      </c>
      <c r="AE345" s="127" t="s">
        <v>142</v>
      </c>
      <c r="AF345" s="129">
        <v>250</v>
      </c>
      <c r="AG345" s="144">
        <v>40704</v>
      </c>
      <c r="AH345" s="129"/>
    </row>
    <row r="346" spans="1:34" x14ac:dyDescent="0.2">
      <c r="A346" s="127" t="s">
        <v>135</v>
      </c>
      <c r="B346" s="128">
        <v>40669.327581018515</v>
      </c>
      <c r="C346" s="127" t="s">
        <v>274</v>
      </c>
      <c r="D346" s="127" t="s">
        <v>135</v>
      </c>
      <c r="E346" s="127" t="s">
        <v>21</v>
      </c>
      <c r="F346" s="129">
        <v>2273</v>
      </c>
      <c r="G346" s="129">
        <v>2444</v>
      </c>
      <c r="H346" s="129">
        <v>28</v>
      </c>
      <c r="I346" s="129">
        <v>34200</v>
      </c>
      <c r="J346" s="129" t="b">
        <v>0</v>
      </c>
      <c r="K346" s="129" t="b">
        <v>0</v>
      </c>
      <c r="L346" s="129">
        <v>200</v>
      </c>
      <c r="M346" s="129">
        <v>0</v>
      </c>
      <c r="N346" s="129">
        <v>1221.43</v>
      </c>
      <c r="O346" s="129">
        <v>0</v>
      </c>
      <c r="P346" s="129">
        <v>0</v>
      </c>
      <c r="Q346" s="129">
        <v>34200</v>
      </c>
      <c r="R346" s="127" t="s">
        <v>136</v>
      </c>
      <c r="S346" s="129">
        <v>0</v>
      </c>
      <c r="T346" s="129">
        <v>0</v>
      </c>
      <c r="U346" s="129">
        <v>0</v>
      </c>
      <c r="V346" s="129" t="b">
        <v>0</v>
      </c>
      <c r="W346" s="129">
        <v>97779647</v>
      </c>
      <c r="X346" s="129">
        <v>0</v>
      </c>
      <c r="Y346" s="129">
        <v>0</v>
      </c>
      <c r="Z346" s="127" t="s">
        <v>265</v>
      </c>
      <c r="AA346" s="129">
        <v>0</v>
      </c>
      <c r="AB346" s="129" t="b">
        <v>0</v>
      </c>
      <c r="AC346" s="127" t="s">
        <v>142</v>
      </c>
      <c r="AD346" s="127" t="s">
        <v>142</v>
      </c>
      <c r="AE346" s="127" t="s">
        <v>142</v>
      </c>
      <c r="AF346" s="129">
        <v>171</v>
      </c>
      <c r="AG346" s="144">
        <v>40674</v>
      </c>
      <c r="AH346" s="129"/>
    </row>
    <row r="347" spans="1:34" x14ac:dyDescent="0.2">
      <c r="A347" s="127" t="s">
        <v>135</v>
      </c>
      <c r="B347" s="128">
        <v>40641.51116898148</v>
      </c>
      <c r="C347" s="127" t="s">
        <v>274</v>
      </c>
      <c r="D347" s="127" t="s">
        <v>135</v>
      </c>
      <c r="E347" s="127" t="s">
        <v>21</v>
      </c>
      <c r="F347" s="129">
        <v>2086</v>
      </c>
      <c r="G347" s="129">
        <v>2273</v>
      </c>
      <c r="H347" s="129">
        <v>29</v>
      </c>
      <c r="I347" s="129">
        <v>37400</v>
      </c>
      <c r="J347" s="129" t="b">
        <v>0</v>
      </c>
      <c r="K347" s="129" t="b">
        <v>0</v>
      </c>
      <c r="L347" s="129">
        <v>200</v>
      </c>
      <c r="M347" s="129">
        <v>0</v>
      </c>
      <c r="N347" s="129">
        <v>1289.6600000000001</v>
      </c>
      <c r="O347" s="129">
        <v>0</v>
      </c>
      <c r="P347" s="129">
        <v>0</v>
      </c>
      <c r="Q347" s="129">
        <v>37400</v>
      </c>
      <c r="R347" s="127" t="s">
        <v>136</v>
      </c>
      <c r="S347" s="129">
        <v>0</v>
      </c>
      <c r="T347" s="129">
        <v>0</v>
      </c>
      <c r="U347" s="129">
        <v>0</v>
      </c>
      <c r="V347" s="129" t="b">
        <v>0</v>
      </c>
      <c r="W347" s="129">
        <v>97698423</v>
      </c>
      <c r="X347" s="129">
        <v>0</v>
      </c>
      <c r="Y347" s="129">
        <v>0</v>
      </c>
      <c r="Z347" s="127" t="s">
        <v>252</v>
      </c>
      <c r="AA347" s="129">
        <v>0</v>
      </c>
      <c r="AB347" s="129" t="b">
        <v>0</v>
      </c>
      <c r="AC347" s="127" t="s">
        <v>142</v>
      </c>
      <c r="AD347" s="127" t="s">
        <v>142</v>
      </c>
      <c r="AE347" s="127" t="s">
        <v>142</v>
      </c>
      <c r="AF347" s="129">
        <v>187</v>
      </c>
      <c r="AG347" s="144">
        <v>40644</v>
      </c>
      <c r="AH347" s="129"/>
    </row>
    <row r="348" spans="1:34" x14ac:dyDescent="0.2">
      <c r="A348" s="127" t="s">
        <v>135</v>
      </c>
      <c r="B348" s="128">
        <v>40612.446064814816</v>
      </c>
      <c r="C348" s="127" t="s">
        <v>274</v>
      </c>
      <c r="D348" s="127" t="s">
        <v>135</v>
      </c>
      <c r="E348" s="127" t="s">
        <v>21</v>
      </c>
      <c r="F348" s="129">
        <v>1911</v>
      </c>
      <c r="G348" s="129">
        <v>2086</v>
      </c>
      <c r="H348" s="129">
        <v>30</v>
      </c>
      <c r="I348" s="129">
        <v>35000</v>
      </c>
      <c r="J348" s="129" t="b">
        <v>0</v>
      </c>
      <c r="K348" s="129" t="b">
        <v>0</v>
      </c>
      <c r="L348" s="129">
        <v>200</v>
      </c>
      <c r="M348" s="129">
        <v>0</v>
      </c>
      <c r="N348" s="129">
        <v>1166.67</v>
      </c>
      <c r="O348" s="129">
        <v>0</v>
      </c>
      <c r="P348" s="129">
        <v>0</v>
      </c>
      <c r="Q348" s="129">
        <v>35000</v>
      </c>
      <c r="R348" s="127" t="s">
        <v>136</v>
      </c>
      <c r="S348" s="129">
        <v>0</v>
      </c>
      <c r="T348" s="129">
        <v>0</v>
      </c>
      <c r="U348" s="129">
        <v>0</v>
      </c>
      <c r="V348" s="129" t="b">
        <v>0</v>
      </c>
      <c r="W348" s="129">
        <v>97611359</v>
      </c>
      <c r="X348" s="129">
        <v>0</v>
      </c>
      <c r="Y348" s="129">
        <v>0</v>
      </c>
      <c r="Z348" s="127" t="s">
        <v>252</v>
      </c>
      <c r="AA348" s="129">
        <v>0</v>
      </c>
      <c r="AB348" s="129" t="b">
        <v>0</v>
      </c>
      <c r="AC348" s="127" t="s">
        <v>142</v>
      </c>
      <c r="AD348" s="127" t="s">
        <v>142</v>
      </c>
      <c r="AE348" s="127" t="s">
        <v>142</v>
      </c>
      <c r="AF348" s="129">
        <v>175</v>
      </c>
      <c r="AG348" s="144">
        <v>40613</v>
      </c>
      <c r="AH348" s="129"/>
    </row>
    <row r="349" spans="1:34" x14ac:dyDescent="0.2">
      <c r="A349" s="127" t="s">
        <v>135</v>
      </c>
      <c r="B349" s="128">
        <v>40582</v>
      </c>
      <c r="C349" s="127" t="s">
        <v>274</v>
      </c>
      <c r="D349" s="127" t="s">
        <v>135</v>
      </c>
      <c r="E349" s="127" t="s">
        <v>75</v>
      </c>
      <c r="F349" s="129">
        <v>1702</v>
      </c>
      <c r="G349" s="129">
        <v>1911</v>
      </c>
      <c r="H349" s="129">
        <v>29</v>
      </c>
      <c r="I349" s="129">
        <v>41800</v>
      </c>
      <c r="J349" s="129" t="b">
        <v>0</v>
      </c>
      <c r="K349" s="129" t="b">
        <v>0</v>
      </c>
      <c r="L349" s="129">
        <v>200</v>
      </c>
      <c r="M349" s="129">
        <v>0</v>
      </c>
      <c r="N349" s="129">
        <v>1441.38</v>
      </c>
      <c r="O349" s="129">
        <v>0</v>
      </c>
      <c r="P349" s="129">
        <v>0</v>
      </c>
      <c r="Q349" s="129">
        <v>41800</v>
      </c>
      <c r="R349" s="127" t="s">
        <v>136</v>
      </c>
      <c r="S349" s="129">
        <v>0</v>
      </c>
      <c r="T349" s="129">
        <v>0</v>
      </c>
      <c r="U349" s="129">
        <v>0</v>
      </c>
      <c r="V349" s="129" t="b">
        <v>0</v>
      </c>
      <c r="W349" s="129">
        <v>97527070</v>
      </c>
      <c r="X349" s="129">
        <v>0</v>
      </c>
      <c r="Y349" s="129">
        <v>0</v>
      </c>
      <c r="Z349" s="129"/>
      <c r="AA349" s="129">
        <v>0</v>
      </c>
      <c r="AB349" s="129" t="b">
        <v>0</v>
      </c>
      <c r="AC349" s="127" t="s">
        <v>142</v>
      </c>
      <c r="AD349" s="127" t="s">
        <v>142</v>
      </c>
      <c r="AE349" s="127" t="s">
        <v>142</v>
      </c>
      <c r="AF349" s="129">
        <v>209</v>
      </c>
      <c r="AG349" s="144">
        <v>40584</v>
      </c>
      <c r="AH349" s="129"/>
    </row>
    <row r="350" spans="1:34" x14ac:dyDescent="0.2">
      <c r="A350" s="127" t="s">
        <v>135</v>
      </c>
      <c r="B350" s="128">
        <v>40553.333553240744</v>
      </c>
      <c r="C350" s="127" t="s">
        <v>274</v>
      </c>
      <c r="D350" s="127" t="s">
        <v>135</v>
      </c>
      <c r="E350" s="127" t="s">
        <v>21</v>
      </c>
      <c r="F350" s="129">
        <v>1478</v>
      </c>
      <c r="G350" s="129">
        <v>1702</v>
      </c>
      <c r="H350" s="129">
        <v>35</v>
      </c>
      <c r="I350" s="129">
        <v>44800</v>
      </c>
      <c r="J350" s="129" t="b">
        <v>0</v>
      </c>
      <c r="K350" s="129" t="b">
        <v>0</v>
      </c>
      <c r="L350" s="129">
        <v>200</v>
      </c>
      <c r="M350" s="129">
        <v>0</v>
      </c>
      <c r="N350" s="129">
        <v>1280</v>
      </c>
      <c r="O350" s="129">
        <v>0</v>
      </c>
      <c r="P350" s="129">
        <v>0</v>
      </c>
      <c r="Q350" s="129">
        <v>44800</v>
      </c>
      <c r="R350" s="127" t="s">
        <v>136</v>
      </c>
      <c r="S350" s="129">
        <v>0</v>
      </c>
      <c r="T350" s="129">
        <v>0</v>
      </c>
      <c r="U350" s="129">
        <v>0</v>
      </c>
      <c r="V350" s="129" t="b">
        <v>0</v>
      </c>
      <c r="W350" s="129">
        <v>97444364</v>
      </c>
      <c r="X350" s="129">
        <v>0</v>
      </c>
      <c r="Y350" s="129">
        <v>0</v>
      </c>
      <c r="Z350" s="127" t="s">
        <v>265</v>
      </c>
      <c r="AA350" s="129">
        <v>0</v>
      </c>
      <c r="AB350" s="129" t="b">
        <v>0</v>
      </c>
      <c r="AC350" s="127" t="s">
        <v>142</v>
      </c>
      <c r="AD350" s="127" t="s">
        <v>142</v>
      </c>
      <c r="AE350" s="127" t="s">
        <v>142</v>
      </c>
      <c r="AF350" s="129">
        <v>224</v>
      </c>
      <c r="AG350" s="144">
        <v>40554</v>
      </c>
      <c r="AH350" s="129"/>
    </row>
    <row r="351" spans="1:34" x14ac:dyDescent="0.2">
      <c r="A351" s="127" t="s">
        <v>135</v>
      </c>
      <c r="B351" s="128">
        <v>40518.330821759257</v>
      </c>
      <c r="C351" s="127" t="s">
        <v>274</v>
      </c>
      <c r="D351" s="127" t="s">
        <v>135</v>
      </c>
      <c r="E351" s="127" t="s">
        <v>21</v>
      </c>
      <c r="F351" s="129">
        <v>1268</v>
      </c>
      <c r="G351" s="129">
        <v>1478</v>
      </c>
      <c r="H351" s="129">
        <v>32</v>
      </c>
      <c r="I351" s="129">
        <v>42000</v>
      </c>
      <c r="J351" s="129" t="b">
        <v>0</v>
      </c>
      <c r="K351" s="129" t="b">
        <v>0</v>
      </c>
      <c r="L351" s="129">
        <v>200</v>
      </c>
      <c r="M351" s="129">
        <v>0</v>
      </c>
      <c r="N351" s="129">
        <v>1312.5</v>
      </c>
      <c r="O351" s="129">
        <v>0</v>
      </c>
      <c r="P351" s="129">
        <v>0</v>
      </c>
      <c r="Q351" s="129">
        <v>42000</v>
      </c>
      <c r="R351" s="127" t="s">
        <v>136</v>
      </c>
      <c r="S351" s="129">
        <v>0</v>
      </c>
      <c r="T351" s="129">
        <v>0</v>
      </c>
      <c r="U351" s="129">
        <v>0</v>
      </c>
      <c r="V351" s="129" t="b">
        <v>0</v>
      </c>
      <c r="W351" s="129">
        <v>97368684</v>
      </c>
      <c r="X351" s="129">
        <v>0</v>
      </c>
      <c r="Y351" s="129">
        <v>0</v>
      </c>
      <c r="Z351" s="127" t="s">
        <v>246</v>
      </c>
      <c r="AA351" s="129">
        <v>0</v>
      </c>
      <c r="AB351" s="129" t="b">
        <v>0</v>
      </c>
      <c r="AC351" s="127" t="s">
        <v>142</v>
      </c>
      <c r="AD351" s="127" t="s">
        <v>142</v>
      </c>
      <c r="AE351" s="127" t="s">
        <v>142</v>
      </c>
      <c r="AF351" s="129">
        <v>210</v>
      </c>
      <c r="AG351" s="144">
        <v>40522</v>
      </c>
      <c r="AH351" s="129"/>
    </row>
    <row r="352" spans="1:34" x14ac:dyDescent="0.2">
      <c r="A352" s="127" t="s">
        <v>135</v>
      </c>
      <c r="B352" s="128">
        <v>40486.329328703701</v>
      </c>
      <c r="C352" s="127" t="s">
        <v>274</v>
      </c>
      <c r="D352" s="127" t="s">
        <v>135</v>
      </c>
      <c r="E352" s="127" t="s">
        <v>21</v>
      </c>
      <c r="F352" s="129">
        <v>1081</v>
      </c>
      <c r="G352" s="129">
        <v>1268</v>
      </c>
      <c r="H352" s="129">
        <v>27</v>
      </c>
      <c r="I352" s="129">
        <v>37400</v>
      </c>
      <c r="J352" s="129" t="b">
        <v>0</v>
      </c>
      <c r="K352" s="129" t="b">
        <v>0</v>
      </c>
      <c r="L352" s="129">
        <v>200</v>
      </c>
      <c r="M352" s="129">
        <v>0</v>
      </c>
      <c r="N352" s="129">
        <v>1385.19</v>
      </c>
      <c r="O352" s="129">
        <v>0</v>
      </c>
      <c r="P352" s="129">
        <v>0</v>
      </c>
      <c r="Q352" s="129">
        <v>37400</v>
      </c>
      <c r="R352" s="127" t="s">
        <v>136</v>
      </c>
      <c r="S352" s="129">
        <v>0</v>
      </c>
      <c r="T352" s="129">
        <v>0</v>
      </c>
      <c r="U352" s="129">
        <v>0</v>
      </c>
      <c r="V352" s="129" t="b">
        <v>0</v>
      </c>
      <c r="W352" s="129">
        <v>97281560</v>
      </c>
      <c r="X352" s="129">
        <v>0</v>
      </c>
      <c r="Y352" s="129">
        <v>0</v>
      </c>
      <c r="Z352" s="127" t="s">
        <v>246</v>
      </c>
      <c r="AA352" s="129">
        <v>0</v>
      </c>
      <c r="AB352" s="129" t="b">
        <v>0</v>
      </c>
      <c r="AC352" s="127" t="s">
        <v>142</v>
      </c>
      <c r="AD352" s="127" t="s">
        <v>142</v>
      </c>
      <c r="AE352" s="127" t="s">
        <v>142</v>
      </c>
      <c r="AF352" s="129">
        <v>187</v>
      </c>
      <c r="AG352" s="144">
        <v>40491</v>
      </c>
      <c r="AH352" s="129"/>
    </row>
    <row r="353" spans="1:34" x14ac:dyDescent="0.2">
      <c r="A353" s="127" t="s">
        <v>135</v>
      </c>
      <c r="B353" s="128">
        <v>40459.33394675926</v>
      </c>
      <c r="C353" s="127" t="s">
        <v>274</v>
      </c>
      <c r="D353" s="127" t="s">
        <v>135</v>
      </c>
      <c r="E353" s="127" t="s">
        <v>21</v>
      </c>
      <c r="F353" s="129">
        <v>840</v>
      </c>
      <c r="G353" s="129">
        <v>1081</v>
      </c>
      <c r="H353" s="129">
        <v>29</v>
      </c>
      <c r="I353" s="129">
        <v>48200</v>
      </c>
      <c r="J353" s="129" t="b">
        <v>0</v>
      </c>
      <c r="K353" s="129" t="b">
        <v>0</v>
      </c>
      <c r="L353" s="129">
        <v>200</v>
      </c>
      <c r="M353" s="129">
        <v>0</v>
      </c>
      <c r="N353" s="129">
        <v>1662.07</v>
      </c>
      <c r="O353" s="129">
        <v>0</v>
      </c>
      <c r="P353" s="129">
        <v>0</v>
      </c>
      <c r="Q353" s="129">
        <v>48200</v>
      </c>
      <c r="R353" s="127" t="s">
        <v>136</v>
      </c>
      <c r="S353" s="129">
        <v>0</v>
      </c>
      <c r="T353" s="129">
        <v>0</v>
      </c>
      <c r="U353" s="129">
        <v>0</v>
      </c>
      <c r="V353" s="129" t="b">
        <v>0</v>
      </c>
      <c r="W353" s="129">
        <v>97199498</v>
      </c>
      <c r="X353" s="129">
        <v>0</v>
      </c>
      <c r="Y353" s="129">
        <v>0</v>
      </c>
      <c r="Z353" s="127" t="s">
        <v>246</v>
      </c>
      <c r="AA353" s="129">
        <v>0</v>
      </c>
      <c r="AB353" s="129" t="b">
        <v>0</v>
      </c>
      <c r="AC353" s="127" t="s">
        <v>142</v>
      </c>
      <c r="AD353" s="127" t="s">
        <v>142</v>
      </c>
      <c r="AE353" s="127" t="s">
        <v>142</v>
      </c>
      <c r="AF353" s="129">
        <v>241</v>
      </c>
      <c r="AG353" s="144">
        <v>40463</v>
      </c>
      <c r="AH353" s="129"/>
    </row>
    <row r="354" spans="1:34" x14ac:dyDescent="0.2">
      <c r="A354" s="127" t="s">
        <v>135</v>
      </c>
      <c r="B354" s="128">
        <v>40430.333333333336</v>
      </c>
      <c r="C354" s="127" t="s">
        <v>274</v>
      </c>
      <c r="D354" s="127" t="s">
        <v>135</v>
      </c>
      <c r="E354" s="127" t="s">
        <v>21</v>
      </c>
      <c r="F354" s="129">
        <v>565</v>
      </c>
      <c r="G354" s="129">
        <v>840</v>
      </c>
      <c r="H354" s="129">
        <v>31</v>
      </c>
      <c r="I354" s="129">
        <v>55000</v>
      </c>
      <c r="J354" s="129" t="b">
        <v>0</v>
      </c>
      <c r="K354" s="129" t="b">
        <v>0</v>
      </c>
      <c r="L354" s="129">
        <v>200</v>
      </c>
      <c r="M354" s="129">
        <v>0</v>
      </c>
      <c r="N354" s="129">
        <v>1774.19</v>
      </c>
      <c r="O354" s="129">
        <v>0</v>
      </c>
      <c r="P354" s="129">
        <v>0</v>
      </c>
      <c r="Q354" s="129">
        <v>55000</v>
      </c>
      <c r="R354" s="127" t="s">
        <v>136</v>
      </c>
      <c r="S354" s="129">
        <v>0</v>
      </c>
      <c r="T354" s="129">
        <v>0</v>
      </c>
      <c r="U354" s="129">
        <v>0</v>
      </c>
      <c r="V354" s="129" t="b">
        <v>0</v>
      </c>
      <c r="W354" s="129">
        <v>97118174</v>
      </c>
      <c r="X354" s="129">
        <v>0</v>
      </c>
      <c r="Y354" s="129">
        <v>0</v>
      </c>
      <c r="Z354" s="127" t="s">
        <v>252</v>
      </c>
      <c r="AA354" s="129">
        <v>0</v>
      </c>
      <c r="AB354" s="129" t="b">
        <v>0</v>
      </c>
      <c r="AC354" s="127" t="s">
        <v>142</v>
      </c>
      <c r="AD354" s="127" t="s">
        <v>142</v>
      </c>
      <c r="AE354" s="127" t="s">
        <v>142</v>
      </c>
      <c r="AF354" s="129">
        <v>275</v>
      </c>
      <c r="AG354" s="144">
        <v>40431</v>
      </c>
      <c r="AH354" s="129"/>
    </row>
    <row r="355" spans="1:34" x14ac:dyDescent="0.2">
      <c r="A355" s="127" t="s">
        <v>135</v>
      </c>
      <c r="B355" s="128">
        <v>40399.356550925928</v>
      </c>
      <c r="C355" s="127" t="s">
        <v>274</v>
      </c>
      <c r="D355" s="127" t="s">
        <v>135</v>
      </c>
      <c r="E355" s="127" t="s">
        <v>21</v>
      </c>
      <c r="F355" s="129">
        <v>228</v>
      </c>
      <c r="G355" s="129">
        <v>565</v>
      </c>
      <c r="H355" s="129">
        <v>32</v>
      </c>
      <c r="I355" s="129">
        <v>67400</v>
      </c>
      <c r="J355" s="129" t="b">
        <v>0</v>
      </c>
      <c r="K355" s="129" t="b">
        <v>0</v>
      </c>
      <c r="L355" s="129">
        <v>200</v>
      </c>
      <c r="M355" s="129">
        <v>0</v>
      </c>
      <c r="N355" s="129">
        <v>2106.25</v>
      </c>
      <c r="O355" s="129">
        <v>0</v>
      </c>
      <c r="P355" s="129">
        <v>0</v>
      </c>
      <c r="Q355" s="129">
        <v>67400</v>
      </c>
      <c r="R355" s="127" t="s">
        <v>136</v>
      </c>
      <c r="S355" s="129">
        <v>0</v>
      </c>
      <c r="T355" s="129">
        <v>0</v>
      </c>
      <c r="U355" s="129">
        <v>0</v>
      </c>
      <c r="V355" s="129" t="b">
        <v>0</v>
      </c>
      <c r="W355" s="129">
        <v>97034691</v>
      </c>
      <c r="X355" s="129">
        <v>0</v>
      </c>
      <c r="Y355" s="129">
        <v>0</v>
      </c>
      <c r="Z355" s="127" t="s">
        <v>266</v>
      </c>
      <c r="AA355" s="129">
        <v>0</v>
      </c>
      <c r="AB355" s="129" t="b">
        <v>0</v>
      </c>
      <c r="AC355" s="127" t="s">
        <v>142</v>
      </c>
      <c r="AD355" s="127" t="s">
        <v>142</v>
      </c>
      <c r="AE355" s="127" t="s">
        <v>142</v>
      </c>
      <c r="AF355" s="129">
        <v>337</v>
      </c>
      <c r="AG355" s="144">
        <v>40401</v>
      </c>
      <c r="AH355" s="129"/>
    </row>
    <row r="356" spans="1:34" x14ac:dyDescent="0.2">
      <c r="A356" s="127" t="s">
        <v>135</v>
      </c>
      <c r="B356" s="128">
        <v>40367.360486111109</v>
      </c>
      <c r="C356" s="127" t="s">
        <v>274</v>
      </c>
      <c r="D356" s="127" t="s">
        <v>135</v>
      </c>
      <c r="E356" s="127" t="s">
        <v>21</v>
      </c>
      <c r="F356" s="129">
        <v>9965</v>
      </c>
      <c r="G356" s="129">
        <v>228</v>
      </c>
      <c r="H356" s="129">
        <v>30</v>
      </c>
      <c r="I356" s="129">
        <v>52600</v>
      </c>
      <c r="J356" s="129" t="b">
        <v>0</v>
      </c>
      <c r="K356" s="129" t="b">
        <v>0</v>
      </c>
      <c r="L356" s="129">
        <v>200</v>
      </c>
      <c r="M356" s="129">
        <v>0</v>
      </c>
      <c r="N356" s="129">
        <v>1753.33</v>
      </c>
      <c r="O356" s="129">
        <v>0</v>
      </c>
      <c r="P356" s="129">
        <v>0</v>
      </c>
      <c r="Q356" s="129">
        <v>52600</v>
      </c>
      <c r="R356" s="127" t="s">
        <v>136</v>
      </c>
      <c r="S356" s="129">
        <v>0</v>
      </c>
      <c r="T356" s="129">
        <v>0</v>
      </c>
      <c r="U356" s="129">
        <v>0</v>
      </c>
      <c r="V356" s="129" t="b">
        <v>0</v>
      </c>
      <c r="W356" s="129">
        <v>96938789</v>
      </c>
      <c r="X356" s="129">
        <v>0</v>
      </c>
      <c r="Y356" s="129">
        <v>0</v>
      </c>
      <c r="Z356" s="127" t="s">
        <v>266</v>
      </c>
      <c r="AA356" s="129">
        <v>0</v>
      </c>
      <c r="AB356" s="129" t="b">
        <v>0</v>
      </c>
      <c r="AC356" s="127" t="s">
        <v>142</v>
      </c>
      <c r="AD356" s="127" t="s">
        <v>142</v>
      </c>
      <c r="AE356" s="127" t="s">
        <v>142</v>
      </c>
      <c r="AF356" s="129">
        <v>263</v>
      </c>
      <c r="AG356" s="144">
        <v>40373</v>
      </c>
      <c r="AH356" s="129"/>
    </row>
    <row r="357" spans="1:34" x14ac:dyDescent="0.2">
      <c r="A357" s="127" t="s">
        <v>135</v>
      </c>
      <c r="B357" s="128">
        <v>40337.548414351855</v>
      </c>
      <c r="C357" s="127" t="s">
        <v>274</v>
      </c>
      <c r="D357" s="127" t="s">
        <v>135</v>
      </c>
      <c r="E357" s="127" t="s">
        <v>21</v>
      </c>
      <c r="F357" s="129">
        <v>9692</v>
      </c>
      <c r="G357" s="129">
        <v>9965</v>
      </c>
      <c r="H357" s="129">
        <v>32</v>
      </c>
      <c r="I357" s="129">
        <v>54600</v>
      </c>
      <c r="J357" s="129" t="b">
        <v>0</v>
      </c>
      <c r="K357" s="129" t="b">
        <v>0</v>
      </c>
      <c r="L357" s="129">
        <v>200</v>
      </c>
      <c r="M357" s="129">
        <v>0</v>
      </c>
      <c r="N357" s="129">
        <v>1706.25</v>
      </c>
      <c r="O357" s="129">
        <v>0</v>
      </c>
      <c r="P357" s="129">
        <v>0</v>
      </c>
      <c r="Q357" s="129">
        <v>54600</v>
      </c>
      <c r="R357" s="127" t="s">
        <v>136</v>
      </c>
      <c r="S357" s="129">
        <v>0</v>
      </c>
      <c r="T357" s="129">
        <v>0</v>
      </c>
      <c r="U357" s="129">
        <v>0</v>
      </c>
      <c r="V357" s="129" t="b">
        <v>0</v>
      </c>
      <c r="W357" s="129">
        <v>96837428</v>
      </c>
      <c r="X357" s="129">
        <v>0</v>
      </c>
      <c r="Y357" s="129">
        <v>0</v>
      </c>
      <c r="Z357" s="127" t="s">
        <v>266</v>
      </c>
      <c r="AA357" s="129">
        <v>0</v>
      </c>
      <c r="AB357" s="129" t="b">
        <v>0</v>
      </c>
      <c r="AC357" s="127" t="s">
        <v>142</v>
      </c>
      <c r="AD357" s="127" t="s">
        <v>142</v>
      </c>
      <c r="AE357" s="127" t="s">
        <v>142</v>
      </c>
      <c r="AF357" s="129">
        <v>273</v>
      </c>
      <c r="AG357" s="144">
        <v>40339</v>
      </c>
      <c r="AH357" s="129"/>
    </row>
    <row r="358" spans="1:34" x14ac:dyDescent="0.2">
      <c r="A358" s="127" t="s">
        <v>135</v>
      </c>
      <c r="B358" s="128">
        <v>40305.337233796294</v>
      </c>
      <c r="C358" s="127" t="s">
        <v>274</v>
      </c>
      <c r="D358" s="127" t="s">
        <v>135</v>
      </c>
      <c r="E358" s="127" t="s">
        <v>21</v>
      </c>
      <c r="F358" s="129">
        <v>9481</v>
      </c>
      <c r="G358" s="129">
        <v>9692</v>
      </c>
      <c r="H358" s="129">
        <v>29</v>
      </c>
      <c r="I358" s="129">
        <v>42200</v>
      </c>
      <c r="J358" s="129" t="b">
        <v>0</v>
      </c>
      <c r="K358" s="129" t="b">
        <v>0</v>
      </c>
      <c r="L358" s="129">
        <v>200</v>
      </c>
      <c r="M358" s="129">
        <v>0</v>
      </c>
      <c r="N358" s="129">
        <v>1455.17</v>
      </c>
      <c r="O358" s="129">
        <v>0</v>
      </c>
      <c r="P358" s="129">
        <v>0</v>
      </c>
      <c r="Q358" s="129">
        <v>42200</v>
      </c>
      <c r="R358" s="127" t="s">
        <v>136</v>
      </c>
      <c r="S358" s="129">
        <v>0</v>
      </c>
      <c r="T358" s="129">
        <v>0</v>
      </c>
      <c r="U358" s="129">
        <v>0</v>
      </c>
      <c r="V358" s="129" t="b">
        <v>0</v>
      </c>
      <c r="W358" s="129">
        <v>96754192</v>
      </c>
      <c r="X358" s="129">
        <v>0</v>
      </c>
      <c r="Y358" s="129">
        <v>0</v>
      </c>
      <c r="Z358" s="127" t="s">
        <v>251</v>
      </c>
      <c r="AA358" s="129">
        <v>0</v>
      </c>
      <c r="AB358" s="129" t="b">
        <v>0</v>
      </c>
      <c r="AC358" s="127" t="s">
        <v>142</v>
      </c>
      <c r="AD358" s="127" t="s">
        <v>142</v>
      </c>
      <c r="AE358" s="127" t="s">
        <v>142</v>
      </c>
      <c r="AF358" s="129">
        <v>211</v>
      </c>
      <c r="AG358" s="144">
        <v>40308</v>
      </c>
      <c r="AH358" s="129"/>
    </row>
    <row r="359" spans="1:34" x14ac:dyDescent="0.2">
      <c r="A359" s="127" t="s">
        <v>135</v>
      </c>
      <c r="B359" s="128">
        <v>40276.33898148148</v>
      </c>
      <c r="C359" s="127" t="s">
        <v>274</v>
      </c>
      <c r="D359" s="127" t="s">
        <v>135</v>
      </c>
      <c r="E359" s="127" t="s">
        <v>21</v>
      </c>
      <c r="F359" s="129">
        <v>9250</v>
      </c>
      <c r="G359" s="129">
        <v>9481</v>
      </c>
      <c r="H359" s="129">
        <v>31</v>
      </c>
      <c r="I359" s="129">
        <v>46200</v>
      </c>
      <c r="J359" s="129" t="b">
        <v>0</v>
      </c>
      <c r="K359" s="129" t="b">
        <v>0</v>
      </c>
      <c r="L359" s="129">
        <v>200</v>
      </c>
      <c r="M359" s="129">
        <v>0</v>
      </c>
      <c r="N359" s="129">
        <v>1490.32</v>
      </c>
      <c r="O359" s="129">
        <v>0</v>
      </c>
      <c r="P359" s="129">
        <v>0</v>
      </c>
      <c r="Q359" s="129">
        <v>46200</v>
      </c>
      <c r="R359" s="127" t="s">
        <v>136</v>
      </c>
      <c r="S359" s="129">
        <v>0</v>
      </c>
      <c r="T359" s="129">
        <v>0</v>
      </c>
      <c r="U359" s="129">
        <v>0</v>
      </c>
      <c r="V359" s="129" t="b">
        <v>0</v>
      </c>
      <c r="W359" s="129">
        <v>96662118</v>
      </c>
      <c r="X359" s="129">
        <v>0</v>
      </c>
      <c r="Y359" s="129">
        <v>0</v>
      </c>
      <c r="Z359" s="127" t="s">
        <v>267</v>
      </c>
      <c r="AA359" s="129">
        <v>0</v>
      </c>
      <c r="AB359" s="129" t="b">
        <v>0</v>
      </c>
      <c r="AC359" s="127" t="s">
        <v>142</v>
      </c>
      <c r="AD359" s="127" t="s">
        <v>142</v>
      </c>
      <c r="AE359" s="127" t="s">
        <v>142</v>
      </c>
      <c r="AF359" s="129">
        <v>231</v>
      </c>
      <c r="AG359" s="144">
        <v>40281</v>
      </c>
      <c r="AH359" s="129"/>
    </row>
    <row r="360" spans="1:34" x14ac:dyDescent="0.2">
      <c r="A360" s="127" t="s">
        <v>135</v>
      </c>
      <c r="B360" s="128">
        <v>40245</v>
      </c>
      <c r="C360" s="127" t="s">
        <v>274</v>
      </c>
      <c r="D360" s="127" t="s">
        <v>135</v>
      </c>
      <c r="E360" s="127" t="s">
        <v>75</v>
      </c>
      <c r="F360" s="129">
        <v>9058</v>
      </c>
      <c r="G360" s="129">
        <v>9250</v>
      </c>
      <c r="H360" s="129">
        <v>28</v>
      </c>
      <c r="I360" s="129">
        <v>38400</v>
      </c>
      <c r="J360" s="129" t="b">
        <v>0</v>
      </c>
      <c r="K360" s="129" t="b">
        <v>0</v>
      </c>
      <c r="L360" s="129">
        <v>200</v>
      </c>
      <c r="M360" s="129">
        <v>0</v>
      </c>
      <c r="N360" s="129">
        <v>1371.43</v>
      </c>
      <c r="O360" s="129">
        <v>0</v>
      </c>
      <c r="P360" s="129">
        <v>0</v>
      </c>
      <c r="Q360" s="129">
        <v>38400</v>
      </c>
      <c r="R360" s="127" t="s">
        <v>136</v>
      </c>
      <c r="S360" s="129">
        <v>0</v>
      </c>
      <c r="T360" s="129">
        <v>0</v>
      </c>
      <c r="U360" s="129">
        <v>0</v>
      </c>
      <c r="V360" s="129" t="b">
        <v>0</v>
      </c>
      <c r="W360" s="129">
        <v>96575181</v>
      </c>
      <c r="X360" s="129">
        <v>0</v>
      </c>
      <c r="Y360" s="129">
        <v>0</v>
      </c>
      <c r="Z360" s="129"/>
      <c r="AA360" s="129">
        <v>0</v>
      </c>
      <c r="AB360" s="129" t="b">
        <v>0</v>
      </c>
      <c r="AC360" s="127" t="s">
        <v>142</v>
      </c>
      <c r="AD360" s="127" t="s">
        <v>142</v>
      </c>
      <c r="AE360" s="127" t="s">
        <v>142</v>
      </c>
      <c r="AF360" s="129">
        <v>192</v>
      </c>
      <c r="AG360" s="144">
        <v>40248</v>
      </c>
      <c r="AH360" s="129"/>
    </row>
    <row r="361" spans="1:34" x14ac:dyDescent="0.2">
      <c r="A361" s="127" t="s">
        <v>135</v>
      </c>
      <c r="B361" s="128">
        <v>40217.378483796296</v>
      </c>
      <c r="C361" s="127" t="s">
        <v>274</v>
      </c>
      <c r="D361" s="127" t="s">
        <v>135</v>
      </c>
      <c r="E361" s="127" t="s">
        <v>21</v>
      </c>
      <c r="F361" s="129">
        <v>8856</v>
      </c>
      <c r="G361" s="129">
        <v>9058</v>
      </c>
      <c r="H361" s="129">
        <v>28</v>
      </c>
      <c r="I361" s="129">
        <v>40400</v>
      </c>
      <c r="J361" s="129" t="b">
        <v>0</v>
      </c>
      <c r="K361" s="129" t="b">
        <v>0</v>
      </c>
      <c r="L361" s="129">
        <v>200</v>
      </c>
      <c r="M361" s="129">
        <v>0</v>
      </c>
      <c r="N361" s="129">
        <v>1442.86</v>
      </c>
      <c r="O361" s="129">
        <v>0</v>
      </c>
      <c r="P361" s="129">
        <v>0</v>
      </c>
      <c r="Q361" s="129">
        <v>40400</v>
      </c>
      <c r="R361" s="127" t="s">
        <v>136</v>
      </c>
      <c r="S361" s="129">
        <v>0</v>
      </c>
      <c r="T361" s="129">
        <v>0</v>
      </c>
      <c r="U361" s="129">
        <v>0</v>
      </c>
      <c r="V361" s="129" t="b">
        <v>0</v>
      </c>
      <c r="W361" s="129">
        <v>96488455</v>
      </c>
      <c r="X361" s="129">
        <v>0</v>
      </c>
      <c r="Y361" s="129">
        <v>0</v>
      </c>
      <c r="Z361" s="127" t="s">
        <v>251</v>
      </c>
      <c r="AA361" s="129">
        <v>0</v>
      </c>
      <c r="AB361" s="129" t="b">
        <v>0</v>
      </c>
      <c r="AC361" s="127" t="s">
        <v>142</v>
      </c>
      <c r="AD361" s="127" t="s">
        <v>142</v>
      </c>
      <c r="AE361" s="127" t="s">
        <v>142</v>
      </c>
      <c r="AF361" s="129">
        <v>202</v>
      </c>
      <c r="AG361" s="144">
        <v>40218</v>
      </c>
      <c r="AH361" s="129"/>
    </row>
    <row r="362" spans="1:34" x14ac:dyDescent="0.2">
      <c r="A362" s="127" t="s">
        <v>135</v>
      </c>
      <c r="B362" s="128">
        <v>40189.558634259258</v>
      </c>
      <c r="C362" s="127" t="s">
        <v>274</v>
      </c>
      <c r="D362" s="127" t="s">
        <v>135</v>
      </c>
      <c r="E362" s="127" t="s">
        <v>21</v>
      </c>
      <c r="F362" s="129">
        <v>8636</v>
      </c>
      <c r="G362" s="129">
        <v>8856</v>
      </c>
      <c r="H362" s="129">
        <v>34</v>
      </c>
      <c r="I362" s="129">
        <v>44000</v>
      </c>
      <c r="J362" s="129" t="b">
        <v>0</v>
      </c>
      <c r="K362" s="129" t="b">
        <v>0</v>
      </c>
      <c r="L362" s="129">
        <v>200</v>
      </c>
      <c r="M362" s="129">
        <v>0</v>
      </c>
      <c r="N362" s="129">
        <v>1294.1199999999999</v>
      </c>
      <c r="O362" s="129">
        <v>0</v>
      </c>
      <c r="P362" s="129">
        <v>0</v>
      </c>
      <c r="Q362" s="129">
        <v>44000</v>
      </c>
      <c r="R362" s="127" t="s">
        <v>136</v>
      </c>
      <c r="S362" s="129">
        <v>0</v>
      </c>
      <c r="T362" s="129">
        <v>0</v>
      </c>
      <c r="U362" s="129">
        <v>0</v>
      </c>
      <c r="V362" s="129" t="b">
        <v>0</v>
      </c>
      <c r="W362" s="129">
        <v>96407250</v>
      </c>
      <c r="X362" s="129">
        <v>0</v>
      </c>
      <c r="Y362" s="129">
        <v>0</v>
      </c>
      <c r="Z362" s="127" t="s">
        <v>266</v>
      </c>
      <c r="AA362" s="129">
        <v>0</v>
      </c>
      <c r="AB362" s="129" t="b">
        <v>0</v>
      </c>
      <c r="AC362" s="127" t="s">
        <v>142</v>
      </c>
      <c r="AD362" s="127" t="s">
        <v>142</v>
      </c>
      <c r="AE362" s="127" t="s">
        <v>142</v>
      </c>
      <c r="AF362" s="129">
        <v>220</v>
      </c>
      <c r="AG362" s="144">
        <v>40190</v>
      </c>
      <c r="AH362" s="129"/>
    </row>
    <row r="363" spans="1:34" x14ac:dyDescent="0.2">
      <c r="A363" s="127" t="s">
        <v>135</v>
      </c>
      <c r="B363" s="128">
        <v>40155.486608796295</v>
      </c>
      <c r="C363" s="127" t="s">
        <v>274</v>
      </c>
      <c r="D363" s="127" t="s">
        <v>135</v>
      </c>
      <c r="E363" s="127" t="s">
        <v>21</v>
      </c>
      <c r="F363" s="129">
        <v>8448</v>
      </c>
      <c r="G363" s="129">
        <v>8636</v>
      </c>
      <c r="H363" s="129">
        <v>29</v>
      </c>
      <c r="I363" s="129">
        <v>37600</v>
      </c>
      <c r="J363" s="129" t="b">
        <v>0</v>
      </c>
      <c r="K363" s="129" t="b">
        <v>0</v>
      </c>
      <c r="L363" s="129">
        <v>200</v>
      </c>
      <c r="M363" s="129">
        <v>0</v>
      </c>
      <c r="N363" s="129">
        <v>1296.55</v>
      </c>
      <c r="O363" s="129">
        <v>0</v>
      </c>
      <c r="P363" s="129">
        <v>0</v>
      </c>
      <c r="Q363" s="129">
        <v>37600</v>
      </c>
      <c r="R363" s="127" t="s">
        <v>136</v>
      </c>
      <c r="S363" s="129">
        <v>0</v>
      </c>
      <c r="T363" s="129">
        <v>0</v>
      </c>
      <c r="U363" s="129">
        <v>0</v>
      </c>
      <c r="V363" s="129" t="b">
        <v>0</v>
      </c>
      <c r="W363" s="129">
        <v>96326180</v>
      </c>
      <c r="X363" s="129">
        <v>0</v>
      </c>
      <c r="Y363" s="129">
        <v>0</v>
      </c>
      <c r="Z363" s="127" t="s">
        <v>266</v>
      </c>
      <c r="AA363" s="129">
        <v>0</v>
      </c>
      <c r="AB363" s="129" t="b">
        <v>0</v>
      </c>
      <c r="AC363" s="127" t="s">
        <v>142</v>
      </c>
      <c r="AD363" s="127" t="s">
        <v>142</v>
      </c>
      <c r="AE363" s="127" t="s">
        <v>142</v>
      </c>
      <c r="AF363" s="129">
        <v>188</v>
      </c>
      <c r="AG363" s="144">
        <v>40156</v>
      </c>
      <c r="AH363" s="129"/>
    </row>
    <row r="364" spans="1:34" x14ac:dyDescent="0.2">
      <c r="A364" s="127" t="s">
        <v>135</v>
      </c>
      <c r="B364" s="128">
        <v>40126.346238425926</v>
      </c>
      <c r="C364" s="127" t="s">
        <v>274</v>
      </c>
      <c r="D364" s="127" t="s">
        <v>135</v>
      </c>
      <c r="E364" s="127" t="s">
        <v>21</v>
      </c>
      <c r="F364" s="129">
        <v>8242</v>
      </c>
      <c r="G364" s="129">
        <v>8448</v>
      </c>
      <c r="H364" s="129">
        <v>33</v>
      </c>
      <c r="I364" s="129">
        <v>41200</v>
      </c>
      <c r="J364" s="129" t="b">
        <v>0</v>
      </c>
      <c r="K364" s="129" t="b">
        <v>0</v>
      </c>
      <c r="L364" s="129">
        <v>200</v>
      </c>
      <c r="M364" s="129">
        <v>0</v>
      </c>
      <c r="N364" s="129">
        <v>1248.48</v>
      </c>
      <c r="O364" s="129">
        <v>0</v>
      </c>
      <c r="P364" s="129">
        <v>0</v>
      </c>
      <c r="Q364" s="129">
        <v>41200</v>
      </c>
      <c r="R364" s="127" t="s">
        <v>136</v>
      </c>
      <c r="S364" s="129">
        <v>0</v>
      </c>
      <c r="T364" s="129">
        <v>0</v>
      </c>
      <c r="U364" s="129">
        <v>0</v>
      </c>
      <c r="V364" s="129" t="b">
        <v>0</v>
      </c>
      <c r="W364" s="129">
        <v>96240375</v>
      </c>
      <c r="X364" s="129">
        <v>0</v>
      </c>
      <c r="Y364" s="129">
        <v>0</v>
      </c>
      <c r="Z364" s="127" t="s">
        <v>249</v>
      </c>
      <c r="AA364" s="129">
        <v>0</v>
      </c>
      <c r="AB364" s="129" t="b">
        <v>0</v>
      </c>
      <c r="AC364" s="127" t="s">
        <v>142</v>
      </c>
      <c r="AD364" s="127" t="s">
        <v>142</v>
      </c>
      <c r="AE364" s="127" t="s">
        <v>142</v>
      </c>
      <c r="AF364" s="129">
        <v>206</v>
      </c>
      <c r="AG364" s="144">
        <v>40127</v>
      </c>
      <c r="AH364" s="129"/>
    </row>
    <row r="365" spans="1:34" x14ac:dyDescent="0.2">
      <c r="A365" s="127" t="s">
        <v>135</v>
      </c>
      <c r="B365" s="128">
        <v>40093.353738425925</v>
      </c>
      <c r="C365" s="127" t="s">
        <v>274</v>
      </c>
      <c r="D365" s="127" t="s">
        <v>135</v>
      </c>
      <c r="E365" s="127" t="s">
        <v>21</v>
      </c>
      <c r="F365" s="129">
        <v>8034</v>
      </c>
      <c r="G365" s="129">
        <v>8242</v>
      </c>
      <c r="H365" s="129">
        <v>29</v>
      </c>
      <c r="I365" s="129">
        <v>41600</v>
      </c>
      <c r="J365" s="129" t="b">
        <v>0</v>
      </c>
      <c r="K365" s="129" t="b">
        <v>0</v>
      </c>
      <c r="L365" s="129">
        <v>200</v>
      </c>
      <c r="M365" s="129">
        <v>0</v>
      </c>
      <c r="N365" s="129">
        <v>1434.48</v>
      </c>
      <c r="O365" s="129">
        <v>0</v>
      </c>
      <c r="P365" s="129">
        <v>0</v>
      </c>
      <c r="Q365" s="129">
        <v>41600</v>
      </c>
      <c r="R365" s="127" t="s">
        <v>136</v>
      </c>
      <c r="S365" s="129">
        <v>0</v>
      </c>
      <c r="T365" s="129">
        <v>0</v>
      </c>
      <c r="U365" s="129">
        <v>0</v>
      </c>
      <c r="V365" s="129" t="b">
        <v>0</v>
      </c>
      <c r="W365" s="129">
        <v>96161019</v>
      </c>
      <c r="X365" s="129">
        <v>0</v>
      </c>
      <c r="Y365" s="129">
        <v>0</v>
      </c>
      <c r="Z365" s="127" t="s">
        <v>246</v>
      </c>
      <c r="AA365" s="129">
        <v>0</v>
      </c>
      <c r="AB365" s="129" t="b">
        <v>0</v>
      </c>
      <c r="AC365" s="127" t="s">
        <v>142</v>
      </c>
      <c r="AD365" s="127" t="s">
        <v>142</v>
      </c>
      <c r="AE365" s="127" t="s">
        <v>142</v>
      </c>
      <c r="AF365" s="129">
        <v>208</v>
      </c>
      <c r="AG365" s="144">
        <v>40099</v>
      </c>
      <c r="AH365" s="129"/>
    </row>
    <row r="366" spans="1:34" x14ac:dyDescent="0.2">
      <c r="A366" s="127" t="s">
        <v>135</v>
      </c>
      <c r="B366" s="128">
        <v>40064.434641203705</v>
      </c>
      <c r="C366" s="127" t="s">
        <v>274</v>
      </c>
      <c r="D366" s="127" t="s">
        <v>135</v>
      </c>
      <c r="E366" s="127" t="s">
        <v>21</v>
      </c>
      <c r="F366" s="129">
        <v>7768</v>
      </c>
      <c r="G366" s="129">
        <v>8034</v>
      </c>
      <c r="H366" s="129">
        <v>33</v>
      </c>
      <c r="I366" s="129">
        <v>53200</v>
      </c>
      <c r="J366" s="129" t="b">
        <v>0</v>
      </c>
      <c r="K366" s="129" t="b">
        <v>0</v>
      </c>
      <c r="L366" s="129">
        <v>200</v>
      </c>
      <c r="M366" s="129">
        <v>0</v>
      </c>
      <c r="N366" s="129">
        <v>1612.12</v>
      </c>
      <c r="O366" s="129">
        <v>0</v>
      </c>
      <c r="P366" s="129">
        <v>0</v>
      </c>
      <c r="Q366" s="129">
        <v>53200</v>
      </c>
      <c r="R366" s="127" t="s">
        <v>136</v>
      </c>
      <c r="S366" s="129">
        <v>0</v>
      </c>
      <c r="T366" s="129">
        <v>0</v>
      </c>
      <c r="U366" s="129">
        <v>0</v>
      </c>
      <c r="V366" s="129" t="b">
        <v>0</v>
      </c>
      <c r="W366" s="129">
        <v>96079880</v>
      </c>
      <c r="X366" s="129">
        <v>0</v>
      </c>
      <c r="Y366" s="129">
        <v>0</v>
      </c>
      <c r="Z366" s="127" t="s">
        <v>252</v>
      </c>
      <c r="AA366" s="129">
        <v>0</v>
      </c>
      <c r="AB366" s="129" t="b">
        <v>0</v>
      </c>
      <c r="AC366" s="127" t="s">
        <v>142</v>
      </c>
      <c r="AD366" s="127" t="s">
        <v>142</v>
      </c>
      <c r="AE366" s="127" t="s">
        <v>142</v>
      </c>
      <c r="AF366" s="129">
        <v>266</v>
      </c>
      <c r="AG366" s="144">
        <v>40067</v>
      </c>
      <c r="AH366" s="129"/>
    </row>
    <row r="367" spans="1:34" x14ac:dyDescent="0.2">
      <c r="A367" s="127" t="s">
        <v>135</v>
      </c>
      <c r="B367" s="128">
        <v>40031.393703703703</v>
      </c>
      <c r="C367" s="127" t="s">
        <v>274</v>
      </c>
      <c r="D367" s="127" t="s">
        <v>135</v>
      </c>
      <c r="E367" s="127" t="s">
        <v>21</v>
      </c>
      <c r="F367" s="129">
        <v>7520</v>
      </c>
      <c r="G367" s="129">
        <v>7768</v>
      </c>
      <c r="H367" s="129">
        <v>29</v>
      </c>
      <c r="I367" s="129">
        <v>49600</v>
      </c>
      <c r="J367" s="129" t="b">
        <v>0</v>
      </c>
      <c r="K367" s="129" t="b">
        <v>0</v>
      </c>
      <c r="L367" s="129">
        <v>200</v>
      </c>
      <c r="M367" s="129">
        <v>0</v>
      </c>
      <c r="N367" s="129">
        <v>1710.34</v>
      </c>
      <c r="O367" s="129">
        <v>0</v>
      </c>
      <c r="P367" s="129">
        <v>0</v>
      </c>
      <c r="Q367" s="129">
        <v>49600</v>
      </c>
      <c r="R367" s="127" t="s">
        <v>136</v>
      </c>
      <c r="S367" s="129">
        <v>0</v>
      </c>
      <c r="T367" s="129">
        <v>0</v>
      </c>
      <c r="U367" s="129">
        <v>0</v>
      </c>
      <c r="V367" s="129" t="b">
        <v>0</v>
      </c>
      <c r="W367" s="129">
        <v>95999225</v>
      </c>
      <c r="X367" s="129">
        <v>0</v>
      </c>
      <c r="Y367" s="129">
        <v>0</v>
      </c>
      <c r="Z367" s="127" t="s">
        <v>266</v>
      </c>
      <c r="AA367" s="129">
        <v>0</v>
      </c>
      <c r="AB367" s="129" t="b">
        <v>0</v>
      </c>
      <c r="AC367" s="127" t="s">
        <v>142</v>
      </c>
      <c r="AD367" s="127" t="s">
        <v>142</v>
      </c>
      <c r="AE367" s="127" t="s">
        <v>142</v>
      </c>
      <c r="AF367" s="129">
        <v>248</v>
      </c>
      <c r="AG367" s="144">
        <v>40037</v>
      </c>
      <c r="AH367" s="129"/>
    </row>
    <row r="368" spans="1:34" x14ac:dyDescent="0.2">
      <c r="A368" s="127" t="s">
        <v>135</v>
      </c>
      <c r="B368" s="128">
        <v>40002.423159722224</v>
      </c>
      <c r="C368" s="127" t="s">
        <v>274</v>
      </c>
      <c r="D368" s="127" t="s">
        <v>135</v>
      </c>
      <c r="E368" s="127" t="s">
        <v>21</v>
      </c>
      <c r="F368" s="129">
        <v>7254</v>
      </c>
      <c r="G368" s="129">
        <v>7520</v>
      </c>
      <c r="H368" s="129">
        <v>30</v>
      </c>
      <c r="I368" s="129">
        <v>53200</v>
      </c>
      <c r="J368" s="129" t="b">
        <v>0</v>
      </c>
      <c r="K368" s="129" t="b">
        <v>0</v>
      </c>
      <c r="L368" s="129">
        <v>200</v>
      </c>
      <c r="M368" s="129">
        <v>0</v>
      </c>
      <c r="N368" s="129">
        <v>1773.33</v>
      </c>
      <c r="O368" s="129">
        <v>0</v>
      </c>
      <c r="P368" s="129">
        <v>0</v>
      </c>
      <c r="Q368" s="129">
        <v>53200</v>
      </c>
      <c r="R368" s="127" t="s">
        <v>136</v>
      </c>
      <c r="S368" s="129">
        <v>0</v>
      </c>
      <c r="T368" s="129">
        <v>0</v>
      </c>
      <c r="U368" s="129">
        <v>0</v>
      </c>
      <c r="V368" s="129" t="b">
        <v>0</v>
      </c>
      <c r="W368" s="129">
        <v>95919879</v>
      </c>
      <c r="X368" s="129">
        <v>0</v>
      </c>
      <c r="Y368" s="129">
        <v>0</v>
      </c>
      <c r="Z368" s="127" t="s">
        <v>266</v>
      </c>
      <c r="AA368" s="129">
        <v>0</v>
      </c>
      <c r="AB368" s="129" t="b">
        <v>0</v>
      </c>
      <c r="AC368" s="127" t="s">
        <v>142</v>
      </c>
      <c r="AD368" s="127" t="s">
        <v>142</v>
      </c>
      <c r="AE368" s="127" t="s">
        <v>142</v>
      </c>
      <c r="AF368" s="129">
        <v>266</v>
      </c>
      <c r="AG368" s="144">
        <v>40004</v>
      </c>
      <c r="AH368" s="129"/>
    </row>
    <row r="369" spans="1:34" x14ac:dyDescent="0.2">
      <c r="A369" s="127" t="s">
        <v>135</v>
      </c>
      <c r="B369" s="128">
        <v>39972.346539351849</v>
      </c>
      <c r="C369" s="127" t="s">
        <v>274</v>
      </c>
      <c r="D369" s="127" t="s">
        <v>135</v>
      </c>
      <c r="E369" s="127" t="s">
        <v>21</v>
      </c>
      <c r="F369" s="129">
        <v>7034</v>
      </c>
      <c r="G369" s="129">
        <v>7254</v>
      </c>
      <c r="H369" s="129">
        <v>31</v>
      </c>
      <c r="I369" s="129">
        <v>44000</v>
      </c>
      <c r="J369" s="129" t="b">
        <v>0</v>
      </c>
      <c r="K369" s="129" t="b">
        <v>0</v>
      </c>
      <c r="L369" s="129">
        <v>200</v>
      </c>
      <c r="M369" s="129">
        <v>0</v>
      </c>
      <c r="N369" s="129">
        <v>1419.35</v>
      </c>
      <c r="O369" s="129">
        <v>0</v>
      </c>
      <c r="P369" s="129">
        <v>0</v>
      </c>
      <c r="Q369" s="129">
        <v>44000</v>
      </c>
      <c r="R369" s="127" t="s">
        <v>136</v>
      </c>
      <c r="S369" s="129">
        <v>0</v>
      </c>
      <c r="T369" s="129">
        <v>0</v>
      </c>
      <c r="U369" s="129">
        <v>0</v>
      </c>
      <c r="V369" s="129" t="b">
        <v>0</v>
      </c>
      <c r="W369" s="129">
        <v>95841612</v>
      </c>
      <c r="X369" s="129">
        <v>0</v>
      </c>
      <c r="Y369" s="129">
        <v>0</v>
      </c>
      <c r="Z369" s="127" t="s">
        <v>267</v>
      </c>
      <c r="AA369" s="129">
        <v>0</v>
      </c>
      <c r="AB369" s="129" t="b">
        <v>0</v>
      </c>
      <c r="AC369" s="127" t="s">
        <v>142</v>
      </c>
      <c r="AD369" s="127" t="s">
        <v>142</v>
      </c>
      <c r="AE369" s="127" t="s">
        <v>142</v>
      </c>
      <c r="AF369" s="129">
        <v>220</v>
      </c>
      <c r="AG369" s="144">
        <v>39975</v>
      </c>
      <c r="AH369" s="129"/>
    </row>
    <row r="370" spans="1:34" x14ac:dyDescent="0.2">
      <c r="A370" s="127" t="s">
        <v>135</v>
      </c>
      <c r="B370" s="128">
        <v>39941.638854166667</v>
      </c>
      <c r="C370" s="127" t="s">
        <v>274</v>
      </c>
      <c r="D370" s="127" t="s">
        <v>135</v>
      </c>
      <c r="E370" s="127" t="s">
        <v>21</v>
      </c>
      <c r="F370" s="129">
        <v>6831</v>
      </c>
      <c r="G370" s="129">
        <v>7034</v>
      </c>
      <c r="H370" s="129">
        <v>29</v>
      </c>
      <c r="I370" s="129">
        <v>40600</v>
      </c>
      <c r="J370" s="129" t="b">
        <v>0</v>
      </c>
      <c r="K370" s="129" t="b">
        <v>0</v>
      </c>
      <c r="L370" s="129">
        <v>200</v>
      </c>
      <c r="M370" s="129">
        <v>0</v>
      </c>
      <c r="N370" s="129">
        <v>1400</v>
      </c>
      <c r="O370" s="129">
        <v>0</v>
      </c>
      <c r="P370" s="129">
        <v>0</v>
      </c>
      <c r="Q370" s="129">
        <v>40600</v>
      </c>
      <c r="R370" s="127" t="s">
        <v>136</v>
      </c>
      <c r="S370" s="129">
        <v>0</v>
      </c>
      <c r="T370" s="129">
        <v>0</v>
      </c>
      <c r="U370" s="129">
        <v>0</v>
      </c>
      <c r="V370" s="129" t="b">
        <v>0</v>
      </c>
      <c r="W370" s="129">
        <v>95757903</v>
      </c>
      <c r="X370" s="129">
        <v>0</v>
      </c>
      <c r="Y370" s="129">
        <v>0</v>
      </c>
      <c r="Z370" s="127" t="s">
        <v>266</v>
      </c>
      <c r="AA370" s="129">
        <v>0</v>
      </c>
      <c r="AB370" s="129" t="b">
        <v>0</v>
      </c>
      <c r="AC370" s="127" t="s">
        <v>142</v>
      </c>
      <c r="AD370" s="127" t="s">
        <v>142</v>
      </c>
      <c r="AE370" s="127" t="s">
        <v>142</v>
      </c>
      <c r="AF370" s="129">
        <v>203</v>
      </c>
      <c r="AG370" s="144">
        <v>39944</v>
      </c>
      <c r="AH370" s="129"/>
    </row>
    <row r="371" spans="1:34" x14ac:dyDescent="0.2">
      <c r="A371" s="127" t="s">
        <v>135</v>
      </c>
      <c r="B371" s="128">
        <v>39912.516076388885</v>
      </c>
      <c r="C371" s="127" t="s">
        <v>274</v>
      </c>
      <c r="D371" s="127" t="s">
        <v>135</v>
      </c>
      <c r="E371" s="127" t="s">
        <v>21</v>
      </c>
      <c r="F371" s="129">
        <v>6622</v>
      </c>
      <c r="G371" s="129">
        <v>6831</v>
      </c>
      <c r="H371" s="129">
        <v>30</v>
      </c>
      <c r="I371" s="129">
        <v>41800</v>
      </c>
      <c r="J371" s="129" t="b">
        <v>0</v>
      </c>
      <c r="K371" s="129" t="b">
        <v>0</v>
      </c>
      <c r="L371" s="129">
        <v>200</v>
      </c>
      <c r="M371" s="129">
        <v>0</v>
      </c>
      <c r="N371" s="129">
        <v>1393.33</v>
      </c>
      <c r="O371" s="129">
        <v>0</v>
      </c>
      <c r="P371" s="129">
        <v>0</v>
      </c>
      <c r="Q371" s="129">
        <v>41800</v>
      </c>
      <c r="R371" s="127" t="s">
        <v>136</v>
      </c>
      <c r="S371" s="129">
        <v>0</v>
      </c>
      <c r="T371" s="129">
        <v>0</v>
      </c>
      <c r="U371" s="129">
        <v>0</v>
      </c>
      <c r="V371" s="129" t="b">
        <v>0</v>
      </c>
      <c r="W371" s="129">
        <v>95678315</v>
      </c>
      <c r="X371" s="129">
        <v>0</v>
      </c>
      <c r="Y371" s="129">
        <v>0</v>
      </c>
      <c r="Z371" s="127" t="s">
        <v>266</v>
      </c>
      <c r="AA371" s="129">
        <v>0</v>
      </c>
      <c r="AB371" s="129" t="b">
        <v>0</v>
      </c>
      <c r="AC371" s="127" t="s">
        <v>142</v>
      </c>
      <c r="AD371" s="127" t="s">
        <v>142</v>
      </c>
      <c r="AE371" s="127" t="s">
        <v>142</v>
      </c>
      <c r="AF371" s="129">
        <v>209</v>
      </c>
      <c r="AG371" s="144">
        <v>39916</v>
      </c>
      <c r="AH371" s="129"/>
    </row>
    <row r="372" spans="1:34" x14ac:dyDescent="0.2">
      <c r="A372" s="127" t="s">
        <v>135</v>
      </c>
      <c r="B372" s="128">
        <v>39882.41479166667</v>
      </c>
      <c r="C372" s="127" t="s">
        <v>274</v>
      </c>
      <c r="D372" s="127" t="s">
        <v>135</v>
      </c>
      <c r="E372" s="127" t="s">
        <v>21</v>
      </c>
      <c r="F372" s="129">
        <v>6382</v>
      </c>
      <c r="G372" s="129">
        <v>6622</v>
      </c>
      <c r="H372" s="129">
        <v>35</v>
      </c>
      <c r="I372" s="129">
        <v>48000</v>
      </c>
      <c r="J372" s="129" t="b">
        <v>0</v>
      </c>
      <c r="K372" s="129" t="b">
        <v>0</v>
      </c>
      <c r="L372" s="129">
        <v>200</v>
      </c>
      <c r="M372" s="129">
        <v>0</v>
      </c>
      <c r="N372" s="129">
        <v>1371.43</v>
      </c>
      <c r="O372" s="129">
        <v>0</v>
      </c>
      <c r="P372" s="129">
        <v>0</v>
      </c>
      <c r="Q372" s="129">
        <v>48000</v>
      </c>
      <c r="R372" s="127" t="s">
        <v>136</v>
      </c>
      <c r="S372" s="129">
        <v>0</v>
      </c>
      <c r="T372" s="129">
        <v>0</v>
      </c>
      <c r="U372" s="129">
        <v>0</v>
      </c>
      <c r="V372" s="129" t="b">
        <v>0</v>
      </c>
      <c r="W372" s="129">
        <v>95590310</v>
      </c>
      <c r="X372" s="129">
        <v>0</v>
      </c>
      <c r="Y372" s="129">
        <v>0</v>
      </c>
      <c r="Z372" s="127" t="s">
        <v>266</v>
      </c>
      <c r="AA372" s="129">
        <v>0</v>
      </c>
      <c r="AB372" s="129" t="b">
        <v>0</v>
      </c>
      <c r="AC372" s="127" t="s">
        <v>142</v>
      </c>
      <c r="AD372" s="127" t="s">
        <v>142</v>
      </c>
      <c r="AE372" s="127" t="s">
        <v>142</v>
      </c>
      <c r="AF372" s="129">
        <v>240</v>
      </c>
      <c r="AG372" s="144">
        <v>39884</v>
      </c>
      <c r="AH372" s="129"/>
    </row>
    <row r="373" spans="1:34" x14ac:dyDescent="0.2">
      <c r="A373" s="127" t="s">
        <v>135</v>
      </c>
      <c r="B373" s="128">
        <v>39847</v>
      </c>
      <c r="C373" s="127" t="s">
        <v>274</v>
      </c>
      <c r="D373" s="127" t="s">
        <v>135</v>
      </c>
      <c r="E373" s="127" t="s">
        <v>75</v>
      </c>
      <c r="F373" s="129">
        <v>6196</v>
      </c>
      <c r="G373" s="129">
        <v>6382</v>
      </c>
      <c r="H373" s="129">
        <v>26</v>
      </c>
      <c r="I373" s="129">
        <v>37200</v>
      </c>
      <c r="J373" s="129" t="b">
        <v>0</v>
      </c>
      <c r="K373" s="129" t="b">
        <v>0</v>
      </c>
      <c r="L373" s="129">
        <v>200</v>
      </c>
      <c r="M373" s="129">
        <v>0</v>
      </c>
      <c r="N373" s="129">
        <v>1430.77</v>
      </c>
      <c r="O373" s="129">
        <v>0</v>
      </c>
      <c r="P373" s="129">
        <v>0</v>
      </c>
      <c r="Q373" s="129">
        <v>37200</v>
      </c>
      <c r="R373" s="127" t="s">
        <v>136</v>
      </c>
      <c r="S373" s="129">
        <v>0</v>
      </c>
      <c r="T373" s="129">
        <v>0</v>
      </c>
      <c r="U373" s="129">
        <v>0</v>
      </c>
      <c r="V373" s="129" t="b">
        <v>0</v>
      </c>
      <c r="W373" s="129">
        <v>95503732</v>
      </c>
      <c r="X373" s="129">
        <v>0</v>
      </c>
      <c r="Y373" s="129">
        <v>0</v>
      </c>
      <c r="Z373" s="129"/>
      <c r="AA373" s="129">
        <v>0</v>
      </c>
      <c r="AB373" s="129" t="b">
        <v>0</v>
      </c>
      <c r="AC373" s="127" t="s">
        <v>142</v>
      </c>
      <c r="AD373" s="127" t="s">
        <v>142</v>
      </c>
      <c r="AE373" s="127" t="s">
        <v>142</v>
      </c>
      <c r="AF373" s="129">
        <v>186</v>
      </c>
      <c r="AG373" s="144">
        <v>39853</v>
      </c>
      <c r="AH373" s="129"/>
    </row>
    <row r="374" spans="1:34" x14ac:dyDescent="0.2">
      <c r="A374" s="127" t="s">
        <v>135</v>
      </c>
      <c r="B374" s="128">
        <v>39821.447453703702</v>
      </c>
      <c r="C374" s="127" t="s">
        <v>274</v>
      </c>
      <c r="D374" s="127" t="s">
        <v>135</v>
      </c>
      <c r="E374" s="127" t="s">
        <v>21</v>
      </c>
      <c r="F374" s="129">
        <v>6001</v>
      </c>
      <c r="G374" s="129">
        <v>6196</v>
      </c>
      <c r="H374" s="129">
        <v>31</v>
      </c>
      <c r="I374" s="129">
        <v>39000</v>
      </c>
      <c r="J374" s="129" t="b">
        <v>0</v>
      </c>
      <c r="K374" s="129" t="b">
        <v>0</v>
      </c>
      <c r="L374" s="129">
        <v>200</v>
      </c>
      <c r="M374" s="129">
        <v>0</v>
      </c>
      <c r="N374" s="129">
        <v>1258.06</v>
      </c>
      <c r="O374" s="129">
        <v>0</v>
      </c>
      <c r="P374" s="129">
        <v>0</v>
      </c>
      <c r="Q374" s="129">
        <v>39000</v>
      </c>
      <c r="R374" s="127" t="s">
        <v>136</v>
      </c>
      <c r="S374" s="129">
        <v>0</v>
      </c>
      <c r="T374" s="129">
        <v>0</v>
      </c>
      <c r="U374" s="129">
        <v>0</v>
      </c>
      <c r="V374" s="129" t="b">
        <v>0</v>
      </c>
      <c r="W374" s="129">
        <v>95420644</v>
      </c>
      <c r="X374" s="129">
        <v>0</v>
      </c>
      <c r="Y374" s="129">
        <v>0</v>
      </c>
      <c r="Z374" s="127" t="s">
        <v>266</v>
      </c>
      <c r="AA374" s="129">
        <v>0</v>
      </c>
      <c r="AB374" s="129" t="b">
        <v>0</v>
      </c>
      <c r="AC374" s="127" t="s">
        <v>142</v>
      </c>
      <c r="AD374" s="127" t="s">
        <v>142</v>
      </c>
      <c r="AE374" s="127" t="s">
        <v>142</v>
      </c>
      <c r="AF374" s="129">
        <v>195</v>
      </c>
      <c r="AG374" s="144">
        <v>39825</v>
      </c>
      <c r="AH374" s="129"/>
    </row>
    <row r="375" spans="1:34" x14ac:dyDescent="0.2">
      <c r="A375" s="127" t="s">
        <v>135</v>
      </c>
      <c r="B375" s="128">
        <v>39790.406863425924</v>
      </c>
      <c r="C375" s="127" t="s">
        <v>274</v>
      </c>
      <c r="D375" s="127" t="s">
        <v>135</v>
      </c>
      <c r="E375" s="127" t="s">
        <v>21</v>
      </c>
      <c r="F375" s="129">
        <v>5809</v>
      </c>
      <c r="G375" s="129">
        <v>6001</v>
      </c>
      <c r="H375" s="129">
        <v>31</v>
      </c>
      <c r="I375" s="129">
        <v>38400</v>
      </c>
      <c r="J375" s="129" t="b">
        <v>0</v>
      </c>
      <c r="K375" s="129" t="b">
        <v>0</v>
      </c>
      <c r="L375" s="129">
        <v>200</v>
      </c>
      <c r="M375" s="129">
        <v>0</v>
      </c>
      <c r="N375" s="129">
        <v>1238.71</v>
      </c>
      <c r="O375" s="129">
        <v>0</v>
      </c>
      <c r="P375" s="129">
        <v>0</v>
      </c>
      <c r="Q375" s="129">
        <v>38400</v>
      </c>
      <c r="R375" s="127" t="s">
        <v>136</v>
      </c>
      <c r="S375" s="129">
        <v>0</v>
      </c>
      <c r="T375" s="129">
        <v>0</v>
      </c>
      <c r="U375" s="129">
        <v>0</v>
      </c>
      <c r="V375" s="129" t="b">
        <v>0</v>
      </c>
      <c r="W375" s="129">
        <v>95339276</v>
      </c>
      <c r="X375" s="129">
        <v>0</v>
      </c>
      <c r="Y375" s="129">
        <v>0</v>
      </c>
      <c r="Z375" s="127" t="s">
        <v>266</v>
      </c>
      <c r="AA375" s="129">
        <v>0</v>
      </c>
      <c r="AB375" s="129" t="b">
        <v>0</v>
      </c>
      <c r="AC375" s="127" t="s">
        <v>142</v>
      </c>
      <c r="AD375" s="127" t="s">
        <v>142</v>
      </c>
      <c r="AE375" s="127" t="s">
        <v>142</v>
      </c>
      <c r="AF375" s="129">
        <v>192</v>
      </c>
      <c r="AG375" s="144">
        <v>39791</v>
      </c>
      <c r="AH375" s="129"/>
    </row>
    <row r="376" spans="1:34" x14ac:dyDescent="0.2">
      <c r="A376" s="127" t="s">
        <v>135</v>
      </c>
      <c r="B376" s="128">
        <v>39759.407152777778</v>
      </c>
      <c r="C376" s="127" t="s">
        <v>274</v>
      </c>
      <c r="D376" s="127" t="s">
        <v>135</v>
      </c>
      <c r="E376" s="127" t="s">
        <v>21</v>
      </c>
      <c r="F376" s="129">
        <v>5627</v>
      </c>
      <c r="G376" s="129">
        <v>5809</v>
      </c>
      <c r="H376" s="129">
        <v>28</v>
      </c>
      <c r="I376" s="129">
        <v>36400</v>
      </c>
      <c r="J376" s="129" t="b">
        <v>0</v>
      </c>
      <c r="K376" s="129" t="b">
        <v>0</v>
      </c>
      <c r="L376" s="129">
        <v>200</v>
      </c>
      <c r="M376" s="129">
        <v>0</v>
      </c>
      <c r="N376" s="129">
        <v>1300</v>
      </c>
      <c r="O376" s="129">
        <v>0</v>
      </c>
      <c r="P376" s="129">
        <v>0</v>
      </c>
      <c r="Q376" s="129">
        <v>36400</v>
      </c>
      <c r="R376" s="127" t="s">
        <v>136</v>
      </c>
      <c r="S376" s="129">
        <v>0</v>
      </c>
      <c r="T376" s="129">
        <v>0</v>
      </c>
      <c r="U376" s="129">
        <v>0</v>
      </c>
      <c r="V376" s="129" t="b">
        <v>0</v>
      </c>
      <c r="W376" s="129">
        <v>95258066</v>
      </c>
      <c r="X376" s="129">
        <v>0</v>
      </c>
      <c r="Y376" s="129">
        <v>0</v>
      </c>
      <c r="Z376" s="127" t="s">
        <v>266</v>
      </c>
      <c r="AA376" s="129">
        <v>0</v>
      </c>
      <c r="AB376" s="129" t="b">
        <v>0</v>
      </c>
      <c r="AC376" s="127" t="s">
        <v>142</v>
      </c>
      <c r="AD376" s="127" t="s">
        <v>142</v>
      </c>
      <c r="AE376" s="127" t="s">
        <v>142</v>
      </c>
      <c r="AF376" s="129">
        <v>182</v>
      </c>
      <c r="AG376" s="144">
        <v>39764</v>
      </c>
      <c r="AH376" s="129"/>
    </row>
    <row r="377" spans="1:34" x14ac:dyDescent="0.2">
      <c r="A377" s="127" t="s">
        <v>135</v>
      </c>
      <c r="B377" s="128">
        <v>39731.403981481482</v>
      </c>
      <c r="C377" s="127" t="s">
        <v>274</v>
      </c>
      <c r="D377" s="127" t="s">
        <v>135</v>
      </c>
      <c r="E377" s="127" t="s">
        <v>21</v>
      </c>
      <c r="F377" s="129">
        <v>5407</v>
      </c>
      <c r="G377" s="129">
        <v>5627</v>
      </c>
      <c r="H377" s="129">
        <v>31</v>
      </c>
      <c r="I377" s="129">
        <v>44000</v>
      </c>
      <c r="J377" s="129" t="b">
        <v>0</v>
      </c>
      <c r="K377" s="129" t="b">
        <v>0</v>
      </c>
      <c r="L377" s="129">
        <v>200</v>
      </c>
      <c r="M377" s="129">
        <v>0</v>
      </c>
      <c r="N377" s="129">
        <v>1419.35</v>
      </c>
      <c r="O377" s="129">
        <v>0</v>
      </c>
      <c r="P377" s="129">
        <v>0</v>
      </c>
      <c r="Q377" s="129">
        <v>44000</v>
      </c>
      <c r="R377" s="127" t="s">
        <v>136</v>
      </c>
      <c r="S377" s="129">
        <v>0</v>
      </c>
      <c r="T377" s="129">
        <v>0</v>
      </c>
      <c r="U377" s="129">
        <v>0</v>
      </c>
      <c r="V377" s="129" t="b">
        <v>0</v>
      </c>
      <c r="W377" s="129">
        <v>95175741</v>
      </c>
      <c r="X377" s="129">
        <v>0</v>
      </c>
      <c r="Y377" s="129">
        <v>0</v>
      </c>
      <c r="Z377" s="127" t="s">
        <v>266</v>
      </c>
      <c r="AA377" s="129">
        <v>0</v>
      </c>
      <c r="AB377" s="129" t="b">
        <v>0</v>
      </c>
      <c r="AC377" s="127" t="s">
        <v>142</v>
      </c>
      <c r="AD377" s="127" t="s">
        <v>142</v>
      </c>
      <c r="AE377" s="127" t="s">
        <v>142</v>
      </c>
      <c r="AF377" s="129">
        <v>220</v>
      </c>
      <c r="AG377" s="144">
        <v>39735</v>
      </c>
      <c r="AH377" s="129"/>
    </row>
    <row r="378" spans="1:34" x14ac:dyDescent="0.2">
      <c r="A378" s="127" t="s">
        <v>135</v>
      </c>
      <c r="B378" s="128">
        <v>39700.475057870368</v>
      </c>
      <c r="C378" s="127" t="s">
        <v>274</v>
      </c>
      <c r="D378" s="127" t="s">
        <v>135</v>
      </c>
      <c r="E378" s="127" t="s">
        <v>21</v>
      </c>
      <c r="F378" s="129">
        <v>5135</v>
      </c>
      <c r="G378" s="129">
        <v>5407</v>
      </c>
      <c r="H378" s="129">
        <v>35</v>
      </c>
      <c r="I378" s="129">
        <v>54400</v>
      </c>
      <c r="J378" s="129" t="b">
        <v>0</v>
      </c>
      <c r="K378" s="129" t="b">
        <v>0</v>
      </c>
      <c r="L378" s="129">
        <v>200</v>
      </c>
      <c r="M378" s="129">
        <v>0</v>
      </c>
      <c r="N378" s="129">
        <v>1554.29</v>
      </c>
      <c r="O378" s="129">
        <v>0</v>
      </c>
      <c r="P378" s="129">
        <v>0</v>
      </c>
      <c r="Q378" s="129">
        <v>54400</v>
      </c>
      <c r="R378" s="127" t="s">
        <v>136</v>
      </c>
      <c r="S378" s="129">
        <v>0</v>
      </c>
      <c r="T378" s="129">
        <v>0</v>
      </c>
      <c r="U378" s="129">
        <v>0</v>
      </c>
      <c r="V378" s="129" t="b">
        <v>0</v>
      </c>
      <c r="W378" s="129">
        <v>95084984</v>
      </c>
      <c r="X378" s="129">
        <v>0</v>
      </c>
      <c r="Y378" s="129">
        <v>0</v>
      </c>
      <c r="Z378" s="127" t="s">
        <v>266</v>
      </c>
      <c r="AA378" s="129">
        <v>0</v>
      </c>
      <c r="AB378" s="129" t="b">
        <v>0</v>
      </c>
      <c r="AC378" s="127" t="s">
        <v>142</v>
      </c>
      <c r="AD378" s="127" t="s">
        <v>142</v>
      </c>
      <c r="AE378" s="127" t="s">
        <v>142</v>
      </c>
      <c r="AF378" s="129">
        <v>272</v>
      </c>
      <c r="AG378" s="144">
        <v>39702</v>
      </c>
      <c r="AH378" s="129"/>
    </row>
    <row r="379" spans="1:34" x14ac:dyDescent="0.2">
      <c r="A379" s="127" t="s">
        <v>135</v>
      </c>
      <c r="B379" s="128">
        <v>39665.413969907408</v>
      </c>
      <c r="C379" s="127" t="s">
        <v>274</v>
      </c>
      <c r="D379" s="127" t="s">
        <v>135</v>
      </c>
      <c r="E379" s="127" t="s">
        <v>21</v>
      </c>
      <c r="F379" s="129">
        <v>4864</v>
      </c>
      <c r="G379" s="129">
        <v>5135</v>
      </c>
      <c r="H379" s="129">
        <v>33</v>
      </c>
      <c r="I379" s="129">
        <v>54200</v>
      </c>
      <c r="J379" s="129" t="b">
        <v>0</v>
      </c>
      <c r="K379" s="129" t="b">
        <v>0</v>
      </c>
      <c r="L379" s="129">
        <v>200</v>
      </c>
      <c r="M379" s="129">
        <v>0</v>
      </c>
      <c r="N379" s="129">
        <v>1642.42</v>
      </c>
      <c r="O379" s="129">
        <v>0</v>
      </c>
      <c r="P379" s="129">
        <v>0</v>
      </c>
      <c r="Q379" s="129">
        <v>54200</v>
      </c>
      <c r="R379" s="127" t="s">
        <v>136</v>
      </c>
      <c r="S379" s="129">
        <v>0</v>
      </c>
      <c r="T379" s="129">
        <v>0</v>
      </c>
      <c r="U379" s="129">
        <v>0</v>
      </c>
      <c r="V379" s="129" t="b">
        <v>0</v>
      </c>
      <c r="W379" s="129">
        <v>95003069</v>
      </c>
      <c r="X379" s="129">
        <v>0</v>
      </c>
      <c r="Y379" s="129">
        <v>0</v>
      </c>
      <c r="Z379" s="127" t="s">
        <v>266</v>
      </c>
      <c r="AA379" s="129">
        <v>0</v>
      </c>
      <c r="AB379" s="129" t="b">
        <v>0</v>
      </c>
      <c r="AC379" s="127" t="s">
        <v>142</v>
      </c>
      <c r="AD379" s="127" t="s">
        <v>142</v>
      </c>
      <c r="AE379" s="127" t="s">
        <v>142</v>
      </c>
      <c r="AF379" s="129">
        <v>271</v>
      </c>
      <c r="AG379" s="144">
        <v>39671</v>
      </c>
      <c r="AH379" s="129"/>
    </row>
    <row r="380" spans="1:34" x14ac:dyDescent="0.2">
      <c r="A380" s="127" t="s">
        <v>135</v>
      </c>
      <c r="B380" s="128">
        <v>39632.599363425928</v>
      </c>
      <c r="C380" s="127" t="s">
        <v>274</v>
      </c>
      <c r="D380" s="127" t="s">
        <v>135</v>
      </c>
      <c r="E380" s="127" t="s">
        <v>21</v>
      </c>
      <c r="F380" s="129">
        <v>4617</v>
      </c>
      <c r="G380" s="129">
        <v>4864</v>
      </c>
      <c r="H380" s="129">
        <v>30</v>
      </c>
      <c r="I380" s="129">
        <v>49400</v>
      </c>
      <c r="J380" s="129" t="b">
        <v>0</v>
      </c>
      <c r="K380" s="129" t="b">
        <v>0</v>
      </c>
      <c r="L380" s="129">
        <v>200</v>
      </c>
      <c r="M380" s="129">
        <v>0</v>
      </c>
      <c r="N380" s="129">
        <v>1646.67</v>
      </c>
      <c r="O380" s="129">
        <v>0</v>
      </c>
      <c r="P380" s="129">
        <v>0</v>
      </c>
      <c r="Q380" s="129">
        <v>49400</v>
      </c>
      <c r="R380" s="127" t="s">
        <v>136</v>
      </c>
      <c r="S380" s="129">
        <v>0</v>
      </c>
      <c r="T380" s="129">
        <v>0</v>
      </c>
      <c r="U380" s="129">
        <v>0</v>
      </c>
      <c r="V380" s="129" t="b">
        <v>0</v>
      </c>
      <c r="W380" s="129">
        <v>94916674</v>
      </c>
      <c r="X380" s="129">
        <v>0</v>
      </c>
      <c r="Y380" s="129">
        <v>0</v>
      </c>
      <c r="Z380" s="127" t="s">
        <v>266</v>
      </c>
      <c r="AA380" s="129">
        <v>0</v>
      </c>
      <c r="AB380" s="129" t="b">
        <v>0</v>
      </c>
      <c r="AC380" s="127" t="s">
        <v>142</v>
      </c>
      <c r="AD380" s="127" t="s">
        <v>142</v>
      </c>
      <c r="AE380" s="127" t="s">
        <v>142</v>
      </c>
      <c r="AF380" s="129">
        <v>247</v>
      </c>
      <c r="AG380" s="144">
        <v>39639</v>
      </c>
      <c r="AH380" s="129"/>
    </row>
    <row r="381" spans="1:34" x14ac:dyDescent="0.2">
      <c r="A381" s="127" t="s">
        <v>135</v>
      </c>
      <c r="B381" s="128">
        <v>39602.345254629632</v>
      </c>
      <c r="C381" s="127" t="s">
        <v>274</v>
      </c>
      <c r="D381" s="127" t="s">
        <v>135</v>
      </c>
      <c r="E381" s="127" t="s">
        <v>21</v>
      </c>
      <c r="F381" s="129">
        <v>4430</v>
      </c>
      <c r="G381" s="129">
        <v>4617</v>
      </c>
      <c r="H381" s="129">
        <v>29</v>
      </c>
      <c r="I381" s="129">
        <v>37400</v>
      </c>
      <c r="J381" s="129" t="b">
        <v>0</v>
      </c>
      <c r="K381" s="129" t="b">
        <v>0</v>
      </c>
      <c r="L381" s="129">
        <v>200</v>
      </c>
      <c r="M381" s="129">
        <v>0</v>
      </c>
      <c r="N381" s="129">
        <v>1289.6600000000001</v>
      </c>
      <c r="O381" s="129">
        <v>0</v>
      </c>
      <c r="P381" s="129">
        <v>0</v>
      </c>
      <c r="Q381" s="129">
        <v>37400</v>
      </c>
      <c r="R381" s="127" t="s">
        <v>136</v>
      </c>
      <c r="S381" s="129">
        <v>0</v>
      </c>
      <c r="T381" s="129">
        <v>0</v>
      </c>
      <c r="U381" s="129">
        <v>0</v>
      </c>
      <c r="V381" s="129" t="b">
        <v>0</v>
      </c>
      <c r="W381" s="129">
        <v>94837818</v>
      </c>
      <c r="X381" s="129">
        <v>0</v>
      </c>
      <c r="Y381" s="129">
        <v>0</v>
      </c>
      <c r="Z381" s="127" t="s">
        <v>256</v>
      </c>
      <c r="AA381" s="129">
        <v>0</v>
      </c>
      <c r="AB381" s="129" t="b">
        <v>0</v>
      </c>
      <c r="AC381" s="127" t="s">
        <v>142</v>
      </c>
      <c r="AD381" s="127" t="s">
        <v>142</v>
      </c>
      <c r="AE381" s="127" t="s">
        <v>142</v>
      </c>
      <c r="AF381" s="129">
        <v>187</v>
      </c>
      <c r="AG381" s="144">
        <v>39609</v>
      </c>
      <c r="AH381" s="129"/>
    </row>
    <row r="382" spans="1:34" x14ac:dyDescent="0.2">
      <c r="A382" s="127" t="s">
        <v>135</v>
      </c>
      <c r="B382" s="128">
        <v>39573.452233796299</v>
      </c>
      <c r="C382" s="127" t="s">
        <v>274</v>
      </c>
      <c r="D382" s="127" t="s">
        <v>135</v>
      </c>
      <c r="E382" s="127" t="s">
        <v>21</v>
      </c>
      <c r="F382" s="129">
        <v>4255</v>
      </c>
      <c r="G382" s="129">
        <v>4430</v>
      </c>
      <c r="H382" s="129">
        <v>27</v>
      </c>
      <c r="I382" s="129">
        <v>35000</v>
      </c>
      <c r="J382" s="129" t="b">
        <v>0</v>
      </c>
      <c r="K382" s="129" t="b">
        <v>0</v>
      </c>
      <c r="L382" s="129">
        <v>200</v>
      </c>
      <c r="M382" s="129">
        <v>0</v>
      </c>
      <c r="N382" s="129">
        <v>1296.3</v>
      </c>
      <c r="O382" s="129">
        <v>0</v>
      </c>
      <c r="P382" s="129">
        <v>0</v>
      </c>
      <c r="Q382" s="129">
        <v>35000</v>
      </c>
      <c r="R382" s="127" t="s">
        <v>136</v>
      </c>
      <c r="S382" s="129">
        <v>0</v>
      </c>
      <c r="T382" s="129">
        <v>0</v>
      </c>
      <c r="U382" s="129">
        <v>0</v>
      </c>
      <c r="V382" s="129" t="b">
        <v>0</v>
      </c>
      <c r="W382" s="129">
        <v>94758820</v>
      </c>
      <c r="X382" s="129">
        <v>0</v>
      </c>
      <c r="Y382" s="129">
        <v>0</v>
      </c>
      <c r="Z382" s="127" t="s">
        <v>266</v>
      </c>
      <c r="AA382" s="129">
        <v>0</v>
      </c>
      <c r="AB382" s="129" t="b">
        <v>0</v>
      </c>
      <c r="AC382" s="127" t="s">
        <v>142</v>
      </c>
      <c r="AD382" s="127" t="s">
        <v>142</v>
      </c>
      <c r="AE382" s="127" t="s">
        <v>142</v>
      </c>
      <c r="AF382" s="129">
        <v>175</v>
      </c>
      <c r="AG382" s="144">
        <v>39577</v>
      </c>
      <c r="AH382" s="129"/>
    </row>
    <row r="383" spans="1:34" x14ac:dyDescent="0.2">
      <c r="A383" s="127" t="s">
        <v>135</v>
      </c>
      <c r="B383" s="128">
        <v>39546.430763888886</v>
      </c>
      <c r="C383" s="127" t="s">
        <v>274</v>
      </c>
      <c r="D383" s="127" t="s">
        <v>135</v>
      </c>
      <c r="E383" s="127" t="s">
        <v>21</v>
      </c>
      <c r="F383" s="129">
        <v>4052</v>
      </c>
      <c r="G383" s="129">
        <v>4255</v>
      </c>
      <c r="H383" s="129">
        <v>32</v>
      </c>
      <c r="I383" s="129">
        <v>40600</v>
      </c>
      <c r="J383" s="129" t="b">
        <v>0</v>
      </c>
      <c r="K383" s="129" t="b">
        <v>0</v>
      </c>
      <c r="L383" s="129">
        <v>200</v>
      </c>
      <c r="M383" s="129">
        <v>0</v>
      </c>
      <c r="N383" s="129">
        <v>1268.75</v>
      </c>
      <c r="O383" s="129">
        <v>0</v>
      </c>
      <c r="P383" s="129">
        <v>0</v>
      </c>
      <c r="Q383" s="129">
        <v>40600</v>
      </c>
      <c r="R383" s="127" t="s">
        <v>136</v>
      </c>
      <c r="S383" s="129">
        <v>0</v>
      </c>
      <c r="T383" s="129">
        <v>0</v>
      </c>
      <c r="U383" s="129">
        <v>0</v>
      </c>
      <c r="V383" s="129" t="b">
        <v>0</v>
      </c>
      <c r="W383" s="129">
        <v>94677398</v>
      </c>
      <c r="X383" s="129">
        <v>0</v>
      </c>
      <c r="Y383" s="129">
        <v>0</v>
      </c>
      <c r="Z383" s="127" t="s">
        <v>266</v>
      </c>
      <c r="AA383" s="129">
        <v>0</v>
      </c>
      <c r="AB383" s="129" t="b">
        <v>0</v>
      </c>
      <c r="AC383" s="127" t="s">
        <v>142</v>
      </c>
      <c r="AD383" s="127" t="s">
        <v>142</v>
      </c>
      <c r="AE383" s="127" t="s">
        <v>142</v>
      </c>
      <c r="AF383" s="129">
        <v>203</v>
      </c>
      <c r="AG383" s="144">
        <v>39548</v>
      </c>
      <c r="AH383" s="129"/>
    </row>
    <row r="384" spans="1:34" x14ac:dyDescent="0.2">
      <c r="A384" s="127" t="s">
        <v>135</v>
      </c>
      <c r="B384" s="128">
        <v>39514.424826388888</v>
      </c>
      <c r="C384" s="127" t="s">
        <v>274</v>
      </c>
      <c r="D384" s="127" t="s">
        <v>135</v>
      </c>
      <c r="E384" s="127" t="s">
        <v>21</v>
      </c>
      <c r="F384" s="129">
        <v>3861</v>
      </c>
      <c r="G384" s="129">
        <v>4052</v>
      </c>
      <c r="H384" s="129">
        <v>28</v>
      </c>
      <c r="I384" s="129">
        <v>38200</v>
      </c>
      <c r="J384" s="129" t="b">
        <v>0</v>
      </c>
      <c r="K384" s="129" t="b">
        <v>0</v>
      </c>
      <c r="L384" s="129">
        <v>200</v>
      </c>
      <c r="M384" s="129">
        <v>0</v>
      </c>
      <c r="N384" s="129">
        <v>1364.29</v>
      </c>
      <c r="O384" s="129">
        <v>0</v>
      </c>
      <c r="P384" s="129">
        <v>0</v>
      </c>
      <c r="Q384" s="129">
        <v>38200</v>
      </c>
      <c r="R384" s="127" t="s">
        <v>136</v>
      </c>
      <c r="S384" s="129">
        <v>0</v>
      </c>
      <c r="T384" s="129">
        <v>0</v>
      </c>
      <c r="U384" s="129">
        <v>0</v>
      </c>
      <c r="V384" s="129" t="b">
        <v>0</v>
      </c>
      <c r="W384" s="129">
        <v>94588820</v>
      </c>
      <c r="X384" s="129">
        <v>0</v>
      </c>
      <c r="Y384" s="129">
        <v>0</v>
      </c>
      <c r="Z384" s="127" t="s">
        <v>266</v>
      </c>
      <c r="AA384" s="129">
        <v>0</v>
      </c>
      <c r="AB384" s="129" t="b">
        <v>0</v>
      </c>
      <c r="AC384" s="127" t="s">
        <v>142</v>
      </c>
      <c r="AD384" s="127" t="s">
        <v>142</v>
      </c>
      <c r="AE384" s="127" t="s">
        <v>142</v>
      </c>
      <c r="AF384" s="129">
        <v>191</v>
      </c>
      <c r="AG384" s="144">
        <v>39518</v>
      </c>
      <c r="AH384" s="129"/>
    </row>
    <row r="385" spans="1:34" x14ac:dyDescent="0.2">
      <c r="A385" s="127" t="s">
        <v>135</v>
      </c>
      <c r="B385" s="128">
        <v>39486.413935185185</v>
      </c>
      <c r="C385" s="127" t="s">
        <v>274</v>
      </c>
      <c r="D385" s="127" t="s">
        <v>135</v>
      </c>
      <c r="E385" s="127" t="s">
        <v>21</v>
      </c>
      <c r="F385" s="129">
        <v>3639</v>
      </c>
      <c r="G385" s="129">
        <v>3861</v>
      </c>
      <c r="H385" s="129">
        <v>31</v>
      </c>
      <c r="I385" s="129">
        <v>44400</v>
      </c>
      <c r="J385" s="129" t="b">
        <v>0</v>
      </c>
      <c r="K385" s="129" t="b">
        <v>0</v>
      </c>
      <c r="L385" s="129">
        <v>200</v>
      </c>
      <c r="M385" s="129">
        <v>0</v>
      </c>
      <c r="N385" s="129">
        <v>1432.26</v>
      </c>
      <c r="O385" s="129">
        <v>0</v>
      </c>
      <c r="P385" s="129">
        <v>0</v>
      </c>
      <c r="Q385" s="129">
        <v>44400</v>
      </c>
      <c r="R385" s="127" t="s">
        <v>136</v>
      </c>
      <c r="S385" s="129">
        <v>0</v>
      </c>
      <c r="T385" s="129">
        <v>0</v>
      </c>
      <c r="U385" s="129">
        <v>0</v>
      </c>
      <c r="V385" s="129" t="b">
        <v>0</v>
      </c>
      <c r="W385" s="129">
        <v>94504695</v>
      </c>
      <c r="X385" s="129">
        <v>0</v>
      </c>
      <c r="Y385" s="129">
        <v>0</v>
      </c>
      <c r="Z385" s="127" t="s">
        <v>266</v>
      </c>
      <c r="AA385" s="129">
        <v>0</v>
      </c>
      <c r="AB385" s="129" t="b">
        <v>0</v>
      </c>
      <c r="AC385" s="127" t="s">
        <v>142</v>
      </c>
      <c r="AD385" s="127" t="s">
        <v>142</v>
      </c>
      <c r="AE385" s="127" t="s">
        <v>142</v>
      </c>
      <c r="AF385" s="129">
        <v>222</v>
      </c>
      <c r="AG385" s="144">
        <v>39489</v>
      </c>
      <c r="AH385" s="129"/>
    </row>
    <row r="386" spans="1:34" x14ac:dyDescent="0.2">
      <c r="A386" s="127" t="s">
        <v>135</v>
      </c>
      <c r="B386" s="128">
        <v>39455.534675925926</v>
      </c>
      <c r="C386" s="127" t="s">
        <v>274</v>
      </c>
      <c r="D386" s="127" t="s">
        <v>135</v>
      </c>
      <c r="E386" s="127" t="s">
        <v>21</v>
      </c>
      <c r="F386" s="129">
        <v>3434</v>
      </c>
      <c r="G386" s="129">
        <v>3639</v>
      </c>
      <c r="H386" s="129">
        <v>34</v>
      </c>
      <c r="I386" s="129">
        <v>41000</v>
      </c>
      <c r="J386" s="129" t="b">
        <v>0</v>
      </c>
      <c r="K386" s="129" t="b">
        <v>0</v>
      </c>
      <c r="L386" s="129">
        <v>200</v>
      </c>
      <c r="M386" s="129">
        <v>0</v>
      </c>
      <c r="N386" s="129">
        <v>1205.8800000000001</v>
      </c>
      <c r="O386" s="129">
        <v>0</v>
      </c>
      <c r="P386" s="129">
        <v>0</v>
      </c>
      <c r="Q386" s="129">
        <v>41000</v>
      </c>
      <c r="R386" s="127" t="s">
        <v>136</v>
      </c>
      <c r="S386" s="129">
        <v>0</v>
      </c>
      <c r="T386" s="129">
        <v>0</v>
      </c>
      <c r="U386" s="129">
        <v>0</v>
      </c>
      <c r="V386" s="129" t="b">
        <v>0</v>
      </c>
      <c r="W386" s="129">
        <v>94422289</v>
      </c>
      <c r="X386" s="129">
        <v>0</v>
      </c>
      <c r="Y386" s="129">
        <v>0</v>
      </c>
      <c r="Z386" s="127" t="s">
        <v>266</v>
      </c>
      <c r="AA386" s="129">
        <v>0</v>
      </c>
      <c r="AB386" s="129" t="b">
        <v>0</v>
      </c>
      <c r="AC386" s="127" t="s">
        <v>142</v>
      </c>
      <c r="AD386" s="127" t="s">
        <v>142</v>
      </c>
      <c r="AE386" s="127" t="s">
        <v>142</v>
      </c>
      <c r="AF386" s="129">
        <v>205</v>
      </c>
      <c r="AG386" s="144">
        <v>39457</v>
      </c>
      <c r="AH386" s="129"/>
    </row>
    <row r="387" spans="1:34" x14ac:dyDescent="0.2">
      <c r="A387" s="127" t="s">
        <v>135</v>
      </c>
      <c r="B387" s="128">
        <v>39421.533993055556</v>
      </c>
      <c r="C387" s="127" t="s">
        <v>274</v>
      </c>
      <c r="D387" s="127" t="s">
        <v>135</v>
      </c>
      <c r="E387" s="127" t="s">
        <v>21</v>
      </c>
      <c r="F387" s="129">
        <v>3234</v>
      </c>
      <c r="G387" s="129">
        <v>3434</v>
      </c>
      <c r="H387" s="129">
        <v>33</v>
      </c>
      <c r="I387" s="129">
        <v>40000</v>
      </c>
      <c r="J387" s="129" t="b">
        <v>0</v>
      </c>
      <c r="K387" s="129" t="b">
        <v>0</v>
      </c>
      <c r="L387" s="129">
        <v>200</v>
      </c>
      <c r="M387" s="129">
        <v>0</v>
      </c>
      <c r="N387" s="129">
        <v>1212.1199999999999</v>
      </c>
      <c r="O387" s="129">
        <v>0</v>
      </c>
      <c r="P387" s="129">
        <v>0</v>
      </c>
      <c r="Q387" s="129">
        <v>40000</v>
      </c>
      <c r="R387" s="127" t="s">
        <v>136</v>
      </c>
      <c r="S387" s="129">
        <v>0</v>
      </c>
      <c r="T387" s="129">
        <v>0</v>
      </c>
      <c r="U387" s="129">
        <v>0</v>
      </c>
      <c r="V387" s="129" t="b">
        <v>0</v>
      </c>
      <c r="W387" s="129">
        <v>94341513</v>
      </c>
      <c r="X387" s="129">
        <v>0</v>
      </c>
      <c r="Y387" s="129">
        <v>0</v>
      </c>
      <c r="Z387" s="127" t="s">
        <v>266</v>
      </c>
      <c r="AA387" s="129">
        <v>0</v>
      </c>
      <c r="AB387" s="129" t="b">
        <v>0</v>
      </c>
      <c r="AC387" s="127" t="s">
        <v>142</v>
      </c>
      <c r="AD387" s="127" t="s">
        <v>142</v>
      </c>
      <c r="AE387" s="127" t="s">
        <v>142</v>
      </c>
      <c r="AF387" s="129">
        <v>200</v>
      </c>
      <c r="AG387" s="144">
        <v>39427</v>
      </c>
      <c r="AH387" s="129"/>
    </row>
    <row r="388" spans="1:34" x14ac:dyDescent="0.2">
      <c r="A388" s="127" t="s">
        <v>135</v>
      </c>
      <c r="B388" s="128">
        <v>39388</v>
      </c>
      <c r="C388" s="127" t="s">
        <v>274</v>
      </c>
      <c r="D388" s="127" t="s">
        <v>135</v>
      </c>
      <c r="E388" s="127" t="s">
        <v>75</v>
      </c>
      <c r="F388" s="129">
        <v>3010</v>
      </c>
      <c r="G388" s="129">
        <v>3234</v>
      </c>
      <c r="H388" s="129">
        <v>30</v>
      </c>
      <c r="I388" s="129">
        <v>44800</v>
      </c>
      <c r="J388" s="129" t="b">
        <v>0</v>
      </c>
      <c r="K388" s="129" t="b">
        <v>0</v>
      </c>
      <c r="L388" s="129">
        <v>200</v>
      </c>
      <c r="M388" s="129">
        <v>0</v>
      </c>
      <c r="N388" s="129">
        <v>1493.33</v>
      </c>
      <c r="O388" s="129">
        <v>0</v>
      </c>
      <c r="P388" s="129">
        <v>0</v>
      </c>
      <c r="Q388" s="129">
        <v>44800</v>
      </c>
      <c r="R388" s="127" t="s">
        <v>136</v>
      </c>
      <c r="S388" s="129">
        <v>0</v>
      </c>
      <c r="T388" s="129">
        <v>0</v>
      </c>
      <c r="U388" s="129">
        <v>0</v>
      </c>
      <c r="V388" s="129" t="b">
        <v>0</v>
      </c>
      <c r="W388" s="129">
        <v>94259168</v>
      </c>
      <c r="X388" s="129">
        <v>0</v>
      </c>
      <c r="Y388" s="129">
        <v>0</v>
      </c>
      <c r="Z388" s="129"/>
      <c r="AA388" s="129">
        <v>0</v>
      </c>
      <c r="AB388" s="129" t="b">
        <v>0</v>
      </c>
      <c r="AC388" s="127" t="s">
        <v>142</v>
      </c>
      <c r="AD388" s="127" t="s">
        <v>142</v>
      </c>
      <c r="AE388" s="127" t="s">
        <v>142</v>
      </c>
      <c r="AF388" s="129">
        <v>224</v>
      </c>
      <c r="AG388" s="144">
        <v>39394</v>
      </c>
      <c r="AH388" s="129"/>
    </row>
    <row r="389" spans="1:34" x14ac:dyDescent="0.2">
      <c r="A389" s="127" t="s">
        <v>135</v>
      </c>
      <c r="B389" s="128">
        <v>39358.404664351852</v>
      </c>
      <c r="C389" s="127" t="s">
        <v>274</v>
      </c>
      <c r="D389" s="127" t="s">
        <v>135</v>
      </c>
      <c r="E389" s="127" t="s">
        <v>21</v>
      </c>
      <c r="F389" s="129">
        <v>2755</v>
      </c>
      <c r="G389" s="129">
        <v>3010</v>
      </c>
      <c r="H389" s="129">
        <v>28</v>
      </c>
      <c r="I389" s="129">
        <v>51000</v>
      </c>
      <c r="J389" s="129" t="b">
        <v>0</v>
      </c>
      <c r="K389" s="129" t="b">
        <v>0</v>
      </c>
      <c r="L389" s="129">
        <v>200</v>
      </c>
      <c r="M389" s="129">
        <v>0</v>
      </c>
      <c r="N389" s="129">
        <v>1821.43</v>
      </c>
      <c r="O389" s="129">
        <v>0</v>
      </c>
      <c r="P389" s="129">
        <v>0</v>
      </c>
      <c r="Q389" s="129">
        <v>51000</v>
      </c>
      <c r="R389" s="127" t="s">
        <v>136</v>
      </c>
      <c r="S389" s="129">
        <v>0</v>
      </c>
      <c r="T389" s="129">
        <v>0</v>
      </c>
      <c r="U389" s="129">
        <v>0</v>
      </c>
      <c r="V389" s="129" t="b">
        <v>0</v>
      </c>
      <c r="W389" s="129">
        <v>94173235</v>
      </c>
      <c r="X389" s="129">
        <v>0</v>
      </c>
      <c r="Y389" s="129">
        <v>0</v>
      </c>
      <c r="Z389" s="127" t="s">
        <v>266</v>
      </c>
      <c r="AA389" s="129">
        <v>0</v>
      </c>
      <c r="AB389" s="129" t="b">
        <v>0</v>
      </c>
      <c r="AC389" s="127" t="s">
        <v>142</v>
      </c>
      <c r="AD389" s="127" t="s">
        <v>142</v>
      </c>
      <c r="AE389" s="127" t="s">
        <v>142</v>
      </c>
      <c r="AF389" s="129">
        <v>255</v>
      </c>
      <c r="AG389" s="144">
        <v>39364</v>
      </c>
      <c r="AH389" s="129"/>
    </row>
    <row r="390" spans="1:34" x14ac:dyDescent="0.2">
      <c r="A390" s="127" t="s">
        <v>135</v>
      </c>
      <c r="B390" s="128">
        <v>39330.453368055554</v>
      </c>
      <c r="C390" s="127" t="s">
        <v>274</v>
      </c>
      <c r="D390" s="127" t="s">
        <v>135</v>
      </c>
      <c r="E390" s="127" t="s">
        <v>21</v>
      </c>
      <c r="F390" s="129">
        <v>2391</v>
      </c>
      <c r="G390" s="129">
        <v>2755</v>
      </c>
      <c r="H390" s="129">
        <v>33</v>
      </c>
      <c r="I390" s="129">
        <v>72800</v>
      </c>
      <c r="J390" s="129" t="b">
        <v>0</v>
      </c>
      <c r="K390" s="129" t="b">
        <v>0</v>
      </c>
      <c r="L390" s="129">
        <v>200</v>
      </c>
      <c r="M390" s="129">
        <v>0</v>
      </c>
      <c r="N390" s="129">
        <v>2206.06</v>
      </c>
      <c r="O390" s="129">
        <v>0</v>
      </c>
      <c r="P390" s="129">
        <v>0</v>
      </c>
      <c r="Q390" s="129">
        <v>72800</v>
      </c>
      <c r="R390" s="127" t="s">
        <v>136</v>
      </c>
      <c r="S390" s="129">
        <v>0</v>
      </c>
      <c r="T390" s="129">
        <v>0</v>
      </c>
      <c r="U390" s="129">
        <v>0</v>
      </c>
      <c r="V390" s="129" t="b">
        <v>0</v>
      </c>
      <c r="W390" s="129">
        <v>94095851</v>
      </c>
      <c r="X390" s="129">
        <v>0</v>
      </c>
      <c r="Y390" s="129">
        <v>0</v>
      </c>
      <c r="Z390" s="127" t="s">
        <v>266</v>
      </c>
      <c r="AA390" s="129">
        <v>0</v>
      </c>
      <c r="AB390" s="129" t="b">
        <v>0</v>
      </c>
      <c r="AC390" s="127" t="s">
        <v>142</v>
      </c>
      <c r="AD390" s="127" t="s">
        <v>142</v>
      </c>
      <c r="AE390" s="127" t="s">
        <v>142</v>
      </c>
      <c r="AF390" s="129">
        <v>364</v>
      </c>
      <c r="AG390" s="144">
        <v>39337</v>
      </c>
      <c r="AH390" s="129"/>
    </row>
    <row r="391" spans="1:34" x14ac:dyDescent="0.2">
      <c r="A391" s="127" t="s">
        <v>135</v>
      </c>
      <c r="B391" s="128">
        <v>39297.385057870371</v>
      </c>
      <c r="C391" s="127" t="s">
        <v>274</v>
      </c>
      <c r="D391" s="127" t="s">
        <v>135</v>
      </c>
      <c r="E391" s="127" t="s">
        <v>21</v>
      </c>
      <c r="F391" s="129">
        <v>2117</v>
      </c>
      <c r="G391" s="129">
        <v>2391</v>
      </c>
      <c r="H391" s="129">
        <v>31</v>
      </c>
      <c r="I391" s="129">
        <v>54800</v>
      </c>
      <c r="J391" s="129" t="b">
        <v>0</v>
      </c>
      <c r="K391" s="129" t="b">
        <v>0</v>
      </c>
      <c r="L391" s="129">
        <v>200</v>
      </c>
      <c r="M391" s="129">
        <v>0</v>
      </c>
      <c r="N391" s="129">
        <v>1767.74</v>
      </c>
      <c r="O391" s="129">
        <v>0</v>
      </c>
      <c r="P391" s="129">
        <v>0</v>
      </c>
      <c r="Q391" s="129">
        <v>54800</v>
      </c>
      <c r="R391" s="127" t="s">
        <v>136</v>
      </c>
      <c r="S391" s="129">
        <v>0</v>
      </c>
      <c r="T391" s="129">
        <v>0</v>
      </c>
      <c r="U391" s="129">
        <v>0</v>
      </c>
      <c r="V391" s="129" t="b">
        <v>0</v>
      </c>
      <c r="W391" s="129">
        <v>94014231</v>
      </c>
      <c r="X391" s="129">
        <v>0</v>
      </c>
      <c r="Y391" s="129">
        <v>0</v>
      </c>
      <c r="Z391" s="127" t="s">
        <v>266</v>
      </c>
      <c r="AA391" s="129">
        <v>0</v>
      </c>
      <c r="AB391" s="129" t="b">
        <v>0</v>
      </c>
      <c r="AC391" s="127" t="s">
        <v>142</v>
      </c>
      <c r="AD391" s="127" t="s">
        <v>142</v>
      </c>
      <c r="AE391" s="127" t="s">
        <v>142</v>
      </c>
      <c r="AF391" s="129">
        <v>274</v>
      </c>
      <c r="AG391" s="144">
        <v>39303</v>
      </c>
      <c r="AH391" s="129"/>
    </row>
    <row r="392" spans="1:34" x14ac:dyDescent="0.2">
      <c r="A392" s="127" t="s">
        <v>135</v>
      </c>
      <c r="B392" s="128">
        <v>39266.608819444446</v>
      </c>
      <c r="C392" s="127" t="s">
        <v>274</v>
      </c>
      <c r="D392" s="127" t="s">
        <v>135</v>
      </c>
      <c r="E392" s="127" t="s">
        <v>21</v>
      </c>
      <c r="F392" s="129">
        <v>1872</v>
      </c>
      <c r="G392" s="129">
        <v>2117</v>
      </c>
      <c r="H392" s="129">
        <v>28</v>
      </c>
      <c r="I392" s="129">
        <v>49000</v>
      </c>
      <c r="J392" s="129" t="b">
        <v>0</v>
      </c>
      <c r="K392" s="129" t="b">
        <v>0</v>
      </c>
      <c r="L392" s="129">
        <v>200</v>
      </c>
      <c r="M392" s="129">
        <v>0</v>
      </c>
      <c r="N392" s="129">
        <v>1750</v>
      </c>
      <c r="O392" s="129">
        <v>0</v>
      </c>
      <c r="P392" s="129">
        <v>0</v>
      </c>
      <c r="Q392" s="129">
        <v>49000</v>
      </c>
      <c r="R392" s="127" t="s">
        <v>136</v>
      </c>
      <c r="S392" s="129">
        <v>0</v>
      </c>
      <c r="T392" s="129">
        <v>0</v>
      </c>
      <c r="U392" s="129">
        <v>0</v>
      </c>
      <c r="V392" s="129" t="b">
        <v>0</v>
      </c>
      <c r="W392" s="129">
        <v>93932722</v>
      </c>
      <c r="X392" s="129">
        <v>0</v>
      </c>
      <c r="Y392" s="129">
        <v>0</v>
      </c>
      <c r="Z392" s="127" t="s">
        <v>267</v>
      </c>
      <c r="AA392" s="129">
        <v>0</v>
      </c>
      <c r="AB392" s="129" t="b">
        <v>0</v>
      </c>
      <c r="AC392" s="127" t="s">
        <v>142</v>
      </c>
      <c r="AD392" s="127" t="s">
        <v>142</v>
      </c>
      <c r="AE392" s="127" t="s">
        <v>142</v>
      </c>
      <c r="AF392" s="129">
        <v>245</v>
      </c>
      <c r="AG392" s="144">
        <v>39274</v>
      </c>
      <c r="AH392" s="129"/>
    </row>
    <row r="393" spans="1:34" x14ac:dyDescent="0.2">
      <c r="A393" s="127" t="s">
        <v>135</v>
      </c>
      <c r="B393" s="128">
        <v>39238.449791666666</v>
      </c>
      <c r="C393" s="127" t="s">
        <v>274</v>
      </c>
      <c r="D393" s="127" t="s">
        <v>135</v>
      </c>
      <c r="E393" s="127" t="s">
        <v>21</v>
      </c>
      <c r="F393" s="129">
        <v>1646</v>
      </c>
      <c r="G393" s="129">
        <v>1872</v>
      </c>
      <c r="H393" s="129">
        <v>29</v>
      </c>
      <c r="I393" s="129">
        <v>45200</v>
      </c>
      <c r="J393" s="129" t="b">
        <v>0</v>
      </c>
      <c r="K393" s="129" t="b">
        <v>0</v>
      </c>
      <c r="L393" s="129">
        <v>200</v>
      </c>
      <c r="M393" s="129">
        <v>0</v>
      </c>
      <c r="N393" s="129">
        <v>1558.62</v>
      </c>
      <c r="O393" s="129">
        <v>0</v>
      </c>
      <c r="P393" s="129">
        <v>0</v>
      </c>
      <c r="Q393" s="129">
        <v>45200</v>
      </c>
      <c r="R393" s="127" t="s">
        <v>136</v>
      </c>
      <c r="S393" s="129">
        <v>0</v>
      </c>
      <c r="T393" s="129">
        <v>0</v>
      </c>
      <c r="U393" s="129">
        <v>0</v>
      </c>
      <c r="V393" s="129" t="b">
        <v>0</v>
      </c>
      <c r="W393" s="129">
        <v>93853543</v>
      </c>
      <c r="X393" s="129">
        <v>0</v>
      </c>
      <c r="Y393" s="129">
        <v>0</v>
      </c>
      <c r="Z393" s="129"/>
      <c r="AA393" s="129">
        <v>0</v>
      </c>
      <c r="AB393" s="129" t="b">
        <v>0</v>
      </c>
      <c r="AC393" s="127" t="s">
        <v>142</v>
      </c>
      <c r="AD393" s="127" t="s">
        <v>142</v>
      </c>
      <c r="AE393" s="127" t="s">
        <v>142</v>
      </c>
      <c r="AF393" s="129">
        <v>226</v>
      </c>
      <c r="AG393" s="144">
        <v>39244</v>
      </c>
      <c r="AH393" s="129"/>
    </row>
    <row r="394" spans="1:34" x14ac:dyDescent="0.2">
      <c r="A394" s="127" t="s">
        <v>135</v>
      </c>
      <c r="B394" s="128">
        <v>39209.446562500001</v>
      </c>
      <c r="C394" s="127" t="s">
        <v>274</v>
      </c>
      <c r="D394" s="127" t="s">
        <v>135</v>
      </c>
      <c r="E394" s="127" t="s">
        <v>21</v>
      </c>
      <c r="F394" s="129">
        <v>1431</v>
      </c>
      <c r="G394" s="129">
        <v>1646</v>
      </c>
      <c r="H394" s="129">
        <v>33</v>
      </c>
      <c r="I394" s="129">
        <v>43000</v>
      </c>
      <c r="J394" s="129" t="b">
        <v>0</v>
      </c>
      <c r="K394" s="129" t="b">
        <v>0</v>
      </c>
      <c r="L394" s="129">
        <v>200</v>
      </c>
      <c r="M394" s="129">
        <v>0</v>
      </c>
      <c r="N394" s="129">
        <v>1303.03</v>
      </c>
      <c r="O394" s="129">
        <v>0</v>
      </c>
      <c r="P394" s="129">
        <v>0</v>
      </c>
      <c r="Q394" s="129">
        <v>43000</v>
      </c>
      <c r="R394" s="127" t="s">
        <v>136</v>
      </c>
      <c r="S394" s="129">
        <v>0</v>
      </c>
      <c r="T394" s="129">
        <v>0</v>
      </c>
      <c r="U394" s="129">
        <v>0</v>
      </c>
      <c r="V394" s="129" t="b">
        <v>0</v>
      </c>
      <c r="W394" s="129">
        <v>93765213</v>
      </c>
      <c r="X394" s="129">
        <v>0</v>
      </c>
      <c r="Y394" s="129">
        <v>0</v>
      </c>
      <c r="Z394" s="129"/>
      <c r="AA394" s="129">
        <v>0</v>
      </c>
      <c r="AB394" s="129" t="b">
        <v>0</v>
      </c>
      <c r="AC394" s="127" t="s">
        <v>142</v>
      </c>
      <c r="AD394" s="127" t="s">
        <v>142</v>
      </c>
      <c r="AE394" s="127" t="s">
        <v>142</v>
      </c>
      <c r="AF394" s="129">
        <v>215</v>
      </c>
      <c r="AG394" s="144">
        <v>39212</v>
      </c>
      <c r="AH394" s="129"/>
    </row>
    <row r="395" spans="1:34" x14ac:dyDescent="0.2">
      <c r="A395" s="127" t="s">
        <v>135</v>
      </c>
      <c r="B395" s="128">
        <v>39176.569120370368</v>
      </c>
      <c r="C395" s="127" t="s">
        <v>274</v>
      </c>
      <c r="D395" s="127" t="s">
        <v>135</v>
      </c>
      <c r="E395" s="127" t="s">
        <v>21</v>
      </c>
      <c r="F395" s="129">
        <v>1252</v>
      </c>
      <c r="G395" s="129">
        <v>1431</v>
      </c>
      <c r="H395" s="129">
        <v>27</v>
      </c>
      <c r="I395" s="129">
        <v>35800</v>
      </c>
      <c r="J395" s="129" t="b">
        <v>0</v>
      </c>
      <c r="K395" s="129" t="b">
        <v>0</v>
      </c>
      <c r="L395" s="129">
        <v>200</v>
      </c>
      <c r="M395" s="129">
        <v>0</v>
      </c>
      <c r="N395" s="129">
        <v>1325.93</v>
      </c>
      <c r="O395" s="129">
        <v>0</v>
      </c>
      <c r="P395" s="129">
        <v>0</v>
      </c>
      <c r="Q395" s="129">
        <v>35800</v>
      </c>
      <c r="R395" s="127" t="s">
        <v>136</v>
      </c>
      <c r="S395" s="129">
        <v>0</v>
      </c>
      <c r="T395" s="129">
        <v>0</v>
      </c>
      <c r="U395" s="129">
        <v>0</v>
      </c>
      <c r="V395" s="129" t="b">
        <v>0</v>
      </c>
      <c r="W395" s="129">
        <v>93682519</v>
      </c>
      <c r="X395" s="129">
        <v>0</v>
      </c>
      <c r="Y395" s="129">
        <v>0</v>
      </c>
      <c r="Z395" s="129"/>
      <c r="AA395" s="129">
        <v>0</v>
      </c>
      <c r="AB395" s="129" t="b">
        <v>0</v>
      </c>
      <c r="AC395" s="127" t="s">
        <v>142</v>
      </c>
      <c r="AD395" s="127" t="s">
        <v>142</v>
      </c>
      <c r="AE395" s="127" t="s">
        <v>142</v>
      </c>
      <c r="AF395" s="129">
        <v>179</v>
      </c>
      <c r="AG395" s="144">
        <v>39183</v>
      </c>
      <c r="AH395" s="129"/>
    </row>
    <row r="396" spans="1:34" x14ac:dyDescent="0.2">
      <c r="A396" s="127" t="s">
        <v>135</v>
      </c>
      <c r="B396" s="128">
        <v>39149.440960648149</v>
      </c>
      <c r="C396" s="127" t="s">
        <v>274</v>
      </c>
      <c r="D396" s="127" t="s">
        <v>135</v>
      </c>
      <c r="E396" s="127" t="s">
        <v>21</v>
      </c>
      <c r="F396" s="129">
        <v>1052</v>
      </c>
      <c r="G396" s="129">
        <v>1252</v>
      </c>
      <c r="H396" s="129">
        <v>29</v>
      </c>
      <c r="I396" s="129">
        <v>40000</v>
      </c>
      <c r="J396" s="129" t="b">
        <v>0</v>
      </c>
      <c r="K396" s="129" t="b">
        <v>0</v>
      </c>
      <c r="L396" s="129">
        <v>200</v>
      </c>
      <c r="M396" s="129">
        <v>0</v>
      </c>
      <c r="N396" s="129">
        <v>1379.31</v>
      </c>
      <c r="O396" s="129">
        <v>0</v>
      </c>
      <c r="P396" s="129">
        <v>0</v>
      </c>
      <c r="Q396" s="129">
        <v>40000</v>
      </c>
      <c r="R396" s="127" t="s">
        <v>136</v>
      </c>
      <c r="S396" s="129">
        <v>0</v>
      </c>
      <c r="T396" s="129">
        <v>0</v>
      </c>
      <c r="U396" s="129">
        <v>0</v>
      </c>
      <c r="V396" s="129" t="b">
        <v>0</v>
      </c>
      <c r="W396" s="129">
        <v>93597209</v>
      </c>
      <c r="X396" s="129">
        <v>0</v>
      </c>
      <c r="Y396" s="129">
        <v>0</v>
      </c>
      <c r="Z396" s="129"/>
      <c r="AA396" s="129">
        <v>0</v>
      </c>
      <c r="AB396" s="129" t="b">
        <v>0</v>
      </c>
      <c r="AC396" s="127" t="s">
        <v>142</v>
      </c>
      <c r="AD396" s="127" t="s">
        <v>142</v>
      </c>
      <c r="AE396" s="127" t="s">
        <v>142</v>
      </c>
      <c r="AF396" s="129">
        <v>200</v>
      </c>
      <c r="AG396" s="144">
        <v>39153</v>
      </c>
      <c r="AH396" s="129"/>
    </row>
    <row r="397" spans="1:34" x14ac:dyDescent="0.2">
      <c r="A397" s="127" t="s">
        <v>135</v>
      </c>
      <c r="B397" s="128">
        <v>39120.439166666663</v>
      </c>
      <c r="C397" s="127" t="s">
        <v>274</v>
      </c>
      <c r="D397" s="127" t="s">
        <v>135</v>
      </c>
      <c r="E397" s="127" t="s">
        <v>21</v>
      </c>
      <c r="F397" s="129">
        <v>846</v>
      </c>
      <c r="G397" s="129">
        <v>1052</v>
      </c>
      <c r="H397" s="129">
        <v>29</v>
      </c>
      <c r="I397" s="129">
        <v>41200</v>
      </c>
      <c r="J397" s="129" t="b">
        <v>0</v>
      </c>
      <c r="K397" s="129" t="b">
        <v>0</v>
      </c>
      <c r="L397" s="129">
        <v>200</v>
      </c>
      <c r="M397" s="129">
        <v>0</v>
      </c>
      <c r="N397" s="129">
        <v>1420.69</v>
      </c>
      <c r="O397" s="129">
        <v>0</v>
      </c>
      <c r="P397" s="129">
        <v>0</v>
      </c>
      <c r="Q397" s="129">
        <v>41200</v>
      </c>
      <c r="R397" s="127" t="s">
        <v>136</v>
      </c>
      <c r="S397" s="129">
        <v>0</v>
      </c>
      <c r="T397" s="129">
        <v>0</v>
      </c>
      <c r="U397" s="129">
        <v>0</v>
      </c>
      <c r="V397" s="129" t="b">
        <v>0</v>
      </c>
      <c r="W397" s="129">
        <v>93512333</v>
      </c>
      <c r="X397" s="129">
        <v>0</v>
      </c>
      <c r="Y397" s="129">
        <v>0</v>
      </c>
      <c r="Z397" s="129"/>
      <c r="AA397" s="129">
        <v>0</v>
      </c>
      <c r="AB397" s="129" t="b">
        <v>0</v>
      </c>
      <c r="AC397" s="127" t="s">
        <v>142</v>
      </c>
      <c r="AD397" s="127" t="s">
        <v>142</v>
      </c>
      <c r="AE397" s="127" t="s">
        <v>142</v>
      </c>
      <c r="AF397" s="129">
        <v>206</v>
      </c>
      <c r="AG397" s="144">
        <v>39122</v>
      </c>
      <c r="AH397" s="129"/>
    </row>
    <row r="398" spans="1:34" x14ac:dyDescent="0.2">
      <c r="A398" s="127" t="s">
        <v>135</v>
      </c>
      <c r="B398" s="128">
        <v>39091.465405092589</v>
      </c>
      <c r="C398" s="127" t="s">
        <v>274</v>
      </c>
      <c r="D398" s="127" t="s">
        <v>135</v>
      </c>
      <c r="E398" s="127" t="s">
        <v>21</v>
      </c>
      <c r="F398" s="129">
        <v>628</v>
      </c>
      <c r="G398" s="129">
        <v>846</v>
      </c>
      <c r="H398" s="129">
        <v>35</v>
      </c>
      <c r="I398" s="129">
        <v>43600</v>
      </c>
      <c r="J398" s="129" t="b">
        <v>0</v>
      </c>
      <c r="K398" s="129" t="b">
        <v>0</v>
      </c>
      <c r="L398" s="129">
        <v>200</v>
      </c>
      <c r="M398" s="129">
        <v>0</v>
      </c>
      <c r="N398" s="129">
        <v>1245.71</v>
      </c>
      <c r="O398" s="129">
        <v>0</v>
      </c>
      <c r="P398" s="129">
        <v>0</v>
      </c>
      <c r="Q398" s="129">
        <v>43600</v>
      </c>
      <c r="R398" s="127" t="s">
        <v>136</v>
      </c>
      <c r="S398" s="129">
        <v>0</v>
      </c>
      <c r="T398" s="129">
        <v>0</v>
      </c>
      <c r="U398" s="129">
        <v>0</v>
      </c>
      <c r="V398" s="129" t="b">
        <v>0</v>
      </c>
      <c r="W398" s="129">
        <v>93423364</v>
      </c>
      <c r="X398" s="129">
        <v>0</v>
      </c>
      <c r="Y398" s="129">
        <v>0</v>
      </c>
      <c r="Z398" s="129"/>
      <c r="AA398" s="129">
        <v>0</v>
      </c>
      <c r="AB398" s="129" t="b">
        <v>0</v>
      </c>
      <c r="AC398" s="127" t="s">
        <v>142</v>
      </c>
      <c r="AD398" s="127" t="s">
        <v>142</v>
      </c>
      <c r="AE398" s="127" t="s">
        <v>142</v>
      </c>
      <c r="AF398" s="129">
        <v>218</v>
      </c>
      <c r="AG398" s="144">
        <v>39093</v>
      </c>
      <c r="AH398" s="129"/>
    </row>
    <row r="399" spans="1:34" x14ac:dyDescent="0.2">
      <c r="A399" s="127" t="s">
        <v>135</v>
      </c>
      <c r="B399" s="128">
        <v>39056.388043981482</v>
      </c>
      <c r="C399" s="127" t="s">
        <v>274</v>
      </c>
      <c r="D399" s="127" t="s">
        <v>135</v>
      </c>
      <c r="E399" s="127" t="s">
        <v>21</v>
      </c>
      <c r="F399" s="129">
        <v>444</v>
      </c>
      <c r="G399" s="129">
        <v>628</v>
      </c>
      <c r="H399" s="129">
        <v>29</v>
      </c>
      <c r="I399" s="129">
        <v>36800</v>
      </c>
      <c r="J399" s="129" t="b">
        <v>0</v>
      </c>
      <c r="K399" s="129" t="b">
        <v>0</v>
      </c>
      <c r="L399" s="129">
        <v>200</v>
      </c>
      <c r="M399" s="129">
        <v>0</v>
      </c>
      <c r="N399" s="129">
        <v>1268.97</v>
      </c>
      <c r="O399" s="129">
        <v>0</v>
      </c>
      <c r="P399" s="129">
        <v>0</v>
      </c>
      <c r="Q399" s="129">
        <v>36800</v>
      </c>
      <c r="R399" s="127" t="s">
        <v>136</v>
      </c>
      <c r="S399" s="129">
        <v>0</v>
      </c>
      <c r="T399" s="129">
        <v>0</v>
      </c>
      <c r="U399" s="129">
        <v>0</v>
      </c>
      <c r="V399" s="129" t="b">
        <v>0</v>
      </c>
      <c r="W399" s="129">
        <v>93336096</v>
      </c>
      <c r="X399" s="129">
        <v>0</v>
      </c>
      <c r="Y399" s="129">
        <v>0</v>
      </c>
      <c r="Z399" s="129"/>
      <c r="AA399" s="129">
        <v>0</v>
      </c>
      <c r="AB399" s="129" t="b">
        <v>0</v>
      </c>
      <c r="AC399" s="127" t="s">
        <v>142</v>
      </c>
      <c r="AD399" s="127" t="s">
        <v>142</v>
      </c>
      <c r="AE399" s="127" t="s">
        <v>142</v>
      </c>
      <c r="AF399" s="129">
        <v>184</v>
      </c>
      <c r="AG399" s="144">
        <v>39062</v>
      </c>
      <c r="AH399" s="129"/>
    </row>
    <row r="400" spans="1:34" x14ac:dyDescent="0.2">
      <c r="A400" s="127" t="s">
        <v>135</v>
      </c>
      <c r="B400" s="128">
        <v>39027.359189814815</v>
      </c>
      <c r="C400" s="127" t="s">
        <v>274</v>
      </c>
      <c r="D400" s="127" t="s">
        <v>135</v>
      </c>
      <c r="E400" s="127" t="s">
        <v>21</v>
      </c>
      <c r="F400" s="129">
        <v>205</v>
      </c>
      <c r="G400" s="129">
        <v>444</v>
      </c>
      <c r="H400" s="129">
        <v>32</v>
      </c>
      <c r="I400" s="129">
        <v>47800</v>
      </c>
      <c r="J400" s="129" t="b">
        <v>0</v>
      </c>
      <c r="K400" s="129" t="b">
        <v>0</v>
      </c>
      <c r="L400" s="129">
        <v>200</v>
      </c>
      <c r="M400" s="129">
        <v>0</v>
      </c>
      <c r="N400" s="129">
        <v>1493.75</v>
      </c>
      <c r="O400" s="129">
        <v>0</v>
      </c>
      <c r="P400" s="129">
        <v>0</v>
      </c>
      <c r="Q400" s="129">
        <v>47800</v>
      </c>
      <c r="R400" s="127" t="s">
        <v>136</v>
      </c>
      <c r="S400" s="129">
        <v>0</v>
      </c>
      <c r="T400" s="129">
        <v>0</v>
      </c>
      <c r="U400" s="129">
        <v>0</v>
      </c>
      <c r="V400" s="129" t="b">
        <v>0</v>
      </c>
      <c r="W400" s="129">
        <v>93259922</v>
      </c>
      <c r="X400" s="129">
        <v>0</v>
      </c>
      <c r="Y400" s="129">
        <v>0</v>
      </c>
      <c r="Z400" s="129"/>
      <c r="AA400" s="129">
        <v>0</v>
      </c>
      <c r="AB400" s="129" t="b">
        <v>0</v>
      </c>
      <c r="AC400" s="127" t="s">
        <v>142</v>
      </c>
      <c r="AD400" s="127" t="s">
        <v>142</v>
      </c>
      <c r="AE400" s="127" t="s">
        <v>142</v>
      </c>
      <c r="AF400" s="129">
        <v>239</v>
      </c>
      <c r="AG400" s="144">
        <v>39030</v>
      </c>
      <c r="AH400" s="129"/>
    </row>
    <row r="401" spans="1:34" x14ac:dyDescent="0.2">
      <c r="A401" s="127" t="s">
        <v>135</v>
      </c>
      <c r="B401" s="128">
        <v>38995.413136574076</v>
      </c>
      <c r="C401" s="127" t="s">
        <v>274</v>
      </c>
      <c r="D401" s="127" t="s">
        <v>135</v>
      </c>
      <c r="E401" s="127" t="s">
        <v>21</v>
      </c>
      <c r="F401" s="129">
        <v>9984</v>
      </c>
      <c r="G401" s="129">
        <v>205</v>
      </c>
      <c r="H401" s="129">
        <v>27</v>
      </c>
      <c r="I401" s="129">
        <v>44200</v>
      </c>
      <c r="J401" s="129" t="b">
        <v>0</v>
      </c>
      <c r="K401" s="129" t="b">
        <v>0</v>
      </c>
      <c r="L401" s="129">
        <v>200</v>
      </c>
      <c r="M401" s="129">
        <v>0</v>
      </c>
      <c r="N401" s="129">
        <v>1637.04</v>
      </c>
      <c r="O401" s="129">
        <v>0</v>
      </c>
      <c r="P401" s="129">
        <v>0</v>
      </c>
      <c r="Q401" s="129">
        <v>44200</v>
      </c>
      <c r="R401" s="127" t="s">
        <v>136</v>
      </c>
      <c r="S401" s="129">
        <v>0</v>
      </c>
      <c r="T401" s="129">
        <v>0</v>
      </c>
      <c r="U401" s="129">
        <v>0</v>
      </c>
      <c r="V401" s="129" t="b">
        <v>0</v>
      </c>
      <c r="W401" s="129">
        <v>93174831</v>
      </c>
      <c r="X401" s="129">
        <v>0</v>
      </c>
      <c r="Y401" s="129">
        <v>0</v>
      </c>
      <c r="Z401" s="129"/>
      <c r="AA401" s="129">
        <v>0</v>
      </c>
      <c r="AB401" s="129" t="b">
        <v>0</v>
      </c>
      <c r="AC401" s="127" t="s">
        <v>142</v>
      </c>
      <c r="AD401" s="127" t="s">
        <v>142</v>
      </c>
      <c r="AE401" s="127" t="s">
        <v>142</v>
      </c>
      <c r="AF401" s="129">
        <v>221</v>
      </c>
      <c r="AG401" s="144">
        <v>39000</v>
      </c>
      <c r="AH401" s="129"/>
    </row>
    <row r="402" spans="1:34" x14ac:dyDescent="0.2">
      <c r="A402" s="127" t="s">
        <v>135</v>
      </c>
      <c r="B402" s="128">
        <v>38968.373923611114</v>
      </c>
      <c r="C402" s="127" t="s">
        <v>274</v>
      </c>
      <c r="D402" s="127" t="s">
        <v>135</v>
      </c>
      <c r="E402" s="127" t="s">
        <v>21</v>
      </c>
      <c r="F402" s="129">
        <v>9707</v>
      </c>
      <c r="G402" s="129">
        <v>9984</v>
      </c>
      <c r="H402" s="129">
        <v>30</v>
      </c>
      <c r="I402" s="129">
        <v>55400</v>
      </c>
      <c r="J402" s="129" t="b">
        <v>0</v>
      </c>
      <c r="K402" s="129" t="b">
        <v>0</v>
      </c>
      <c r="L402" s="129">
        <v>200</v>
      </c>
      <c r="M402" s="129">
        <v>0</v>
      </c>
      <c r="N402" s="129">
        <v>1846.67</v>
      </c>
      <c r="O402" s="129">
        <v>0</v>
      </c>
      <c r="P402" s="129">
        <v>0</v>
      </c>
      <c r="Q402" s="129">
        <v>55400</v>
      </c>
      <c r="R402" s="127" t="s">
        <v>136</v>
      </c>
      <c r="S402" s="129">
        <v>0</v>
      </c>
      <c r="T402" s="129">
        <v>0</v>
      </c>
      <c r="U402" s="129">
        <v>0</v>
      </c>
      <c r="V402" s="129" t="b">
        <v>0</v>
      </c>
      <c r="W402" s="129">
        <v>93094772</v>
      </c>
      <c r="X402" s="129">
        <v>0</v>
      </c>
      <c r="Y402" s="129">
        <v>0</v>
      </c>
      <c r="Z402" s="129"/>
      <c r="AA402" s="129">
        <v>0</v>
      </c>
      <c r="AB402" s="129" t="b">
        <v>0</v>
      </c>
      <c r="AC402" s="127" t="s">
        <v>142</v>
      </c>
      <c r="AD402" s="127" t="s">
        <v>142</v>
      </c>
      <c r="AE402" s="127" t="s">
        <v>142</v>
      </c>
      <c r="AF402" s="129">
        <v>277</v>
      </c>
      <c r="AG402" s="144">
        <v>38972</v>
      </c>
      <c r="AH402" s="129"/>
    </row>
    <row r="403" spans="1:34" x14ac:dyDescent="0.2">
      <c r="A403" s="127" t="s">
        <v>135</v>
      </c>
      <c r="B403" s="128">
        <v>38938.363726851851</v>
      </c>
      <c r="C403" s="127" t="s">
        <v>274</v>
      </c>
      <c r="D403" s="127" t="s">
        <v>135</v>
      </c>
      <c r="E403" s="127" t="s">
        <v>21</v>
      </c>
      <c r="F403" s="129">
        <v>9397</v>
      </c>
      <c r="G403" s="129">
        <v>9707</v>
      </c>
      <c r="H403" s="129">
        <v>29</v>
      </c>
      <c r="I403" s="129">
        <v>62000</v>
      </c>
      <c r="J403" s="129" t="b">
        <v>0</v>
      </c>
      <c r="K403" s="129" t="b">
        <v>0</v>
      </c>
      <c r="L403" s="129">
        <v>200</v>
      </c>
      <c r="M403" s="129">
        <v>0</v>
      </c>
      <c r="N403" s="129">
        <v>2137.9299999999998</v>
      </c>
      <c r="O403" s="129">
        <v>0</v>
      </c>
      <c r="P403" s="129">
        <v>0</v>
      </c>
      <c r="Q403" s="129">
        <v>62000</v>
      </c>
      <c r="R403" s="127" t="s">
        <v>136</v>
      </c>
      <c r="S403" s="129">
        <v>0</v>
      </c>
      <c r="T403" s="129">
        <v>0</v>
      </c>
      <c r="U403" s="129">
        <v>0</v>
      </c>
      <c r="V403" s="129" t="b">
        <v>0</v>
      </c>
      <c r="W403" s="129">
        <v>93012980</v>
      </c>
      <c r="X403" s="129">
        <v>0</v>
      </c>
      <c r="Y403" s="129">
        <v>0</v>
      </c>
      <c r="Z403" s="129"/>
      <c r="AA403" s="129">
        <v>0</v>
      </c>
      <c r="AB403" s="129" t="b">
        <v>0</v>
      </c>
      <c r="AC403" s="127" t="s">
        <v>142</v>
      </c>
      <c r="AD403" s="127" t="s">
        <v>142</v>
      </c>
      <c r="AE403" s="127" t="s">
        <v>142</v>
      </c>
      <c r="AF403" s="129">
        <v>310</v>
      </c>
      <c r="AG403" s="144">
        <v>38939</v>
      </c>
      <c r="AH403" s="129"/>
    </row>
    <row r="404" spans="1:34" x14ac:dyDescent="0.2">
      <c r="A404" s="127" t="s">
        <v>135</v>
      </c>
      <c r="B404" s="128">
        <v>38909.438402777778</v>
      </c>
      <c r="C404" s="127" t="s">
        <v>274</v>
      </c>
      <c r="D404" s="127" t="s">
        <v>135</v>
      </c>
      <c r="E404" s="127" t="s">
        <v>21</v>
      </c>
      <c r="F404" s="129">
        <v>9091</v>
      </c>
      <c r="G404" s="129">
        <v>9397</v>
      </c>
      <c r="H404" s="129">
        <v>32</v>
      </c>
      <c r="I404" s="129">
        <v>61200</v>
      </c>
      <c r="J404" s="129" t="b">
        <v>0</v>
      </c>
      <c r="K404" s="129" t="b">
        <v>0</v>
      </c>
      <c r="L404" s="129">
        <v>200</v>
      </c>
      <c r="M404" s="129">
        <v>0</v>
      </c>
      <c r="N404" s="129">
        <v>1912.5</v>
      </c>
      <c r="O404" s="129">
        <v>0</v>
      </c>
      <c r="P404" s="129">
        <v>0</v>
      </c>
      <c r="Q404" s="129">
        <v>61200</v>
      </c>
      <c r="R404" s="127" t="s">
        <v>136</v>
      </c>
      <c r="S404" s="129">
        <v>0</v>
      </c>
      <c r="T404" s="129">
        <v>0</v>
      </c>
      <c r="U404" s="129">
        <v>0</v>
      </c>
      <c r="V404" s="129" t="b">
        <v>0</v>
      </c>
      <c r="W404" s="129">
        <v>92931560</v>
      </c>
      <c r="X404" s="129">
        <v>0</v>
      </c>
      <c r="Y404" s="129">
        <v>0</v>
      </c>
      <c r="Z404" s="129"/>
      <c r="AA404" s="129">
        <v>0</v>
      </c>
      <c r="AB404" s="129" t="b">
        <v>0</v>
      </c>
      <c r="AC404" s="127" t="s">
        <v>142</v>
      </c>
      <c r="AD404" s="127" t="s">
        <v>142</v>
      </c>
      <c r="AE404" s="127" t="s">
        <v>142</v>
      </c>
      <c r="AF404" s="129">
        <v>306</v>
      </c>
      <c r="AG404" s="144">
        <v>38911</v>
      </c>
      <c r="AH404" s="129"/>
    </row>
    <row r="405" spans="1:34" x14ac:dyDescent="0.2">
      <c r="A405" s="127" t="s">
        <v>135</v>
      </c>
      <c r="B405" s="128">
        <v>38877.356689814813</v>
      </c>
      <c r="C405" s="127" t="s">
        <v>274</v>
      </c>
      <c r="D405" s="127" t="s">
        <v>135</v>
      </c>
      <c r="E405" s="127" t="s">
        <v>21</v>
      </c>
      <c r="F405" s="129">
        <v>8807</v>
      </c>
      <c r="G405" s="129">
        <v>9091</v>
      </c>
      <c r="H405" s="129">
        <v>31</v>
      </c>
      <c r="I405" s="129">
        <v>56800</v>
      </c>
      <c r="J405" s="129" t="b">
        <v>0</v>
      </c>
      <c r="K405" s="129" t="b">
        <v>0</v>
      </c>
      <c r="L405" s="129">
        <v>200</v>
      </c>
      <c r="M405" s="129">
        <v>0</v>
      </c>
      <c r="N405" s="129">
        <v>1832.26</v>
      </c>
      <c r="O405" s="129">
        <v>0</v>
      </c>
      <c r="P405" s="129">
        <v>0</v>
      </c>
      <c r="Q405" s="129">
        <v>56800</v>
      </c>
      <c r="R405" s="127" t="s">
        <v>136</v>
      </c>
      <c r="S405" s="129">
        <v>0</v>
      </c>
      <c r="T405" s="129">
        <v>0</v>
      </c>
      <c r="U405" s="129">
        <v>0</v>
      </c>
      <c r="V405" s="129" t="b">
        <v>0</v>
      </c>
      <c r="W405" s="129">
        <v>92846815</v>
      </c>
      <c r="X405" s="129">
        <v>0</v>
      </c>
      <c r="Y405" s="129">
        <v>0</v>
      </c>
      <c r="Z405" s="129"/>
      <c r="AA405" s="129">
        <v>0</v>
      </c>
      <c r="AB405" s="129" t="b">
        <v>0</v>
      </c>
      <c r="AC405" s="127" t="s">
        <v>142</v>
      </c>
      <c r="AD405" s="127" t="s">
        <v>142</v>
      </c>
      <c r="AE405" s="127" t="s">
        <v>142</v>
      </c>
      <c r="AF405" s="129">
        <v>284</v>
      </c>
      <c r="AG405" s="144">
        <v>38880</v>
      </c>
      <c r="AH405" s="129"/>
    </row>
    <row r="406" spans="1:34" x14ac:dyDescent="0.2">
      <c r="A406" s="127" t="s">
        <v>135</v>
      </c>
      <c r="B406" s="128">
        <v>38846.35050925926</v>
      </c>
      <c r="C406" s="127" t="s">
        <v>274</v>
      </c>
      <c r="D406" s="127" t="s">
        <v>135</v>
      </c>
      <c r="E406" s="127" t="s">
        <v>21</v>
      </c>
      <c r="F406" s="129">
        <v>8536</v>
      </c>
      <c r="G406" s="129">
        <v>8807</v>
      </c>
      <c r="H406" s="129">
        <v>32</v>
      </c>
      <c r="I406" s="129">
        <v>54200</v>
      </c>
      <c r="J406" s="129" t="b">
        <v>0</v>
      </c>
      <c r="K406" s="129" t="b">
        <v>0</v>
      </c>
      <c r="L406" s="129">
        <v>200</v>
      </c>
      <c r="M406" s="129">
        <v>0</v>
      </c>
      <c r="N406" s="129">
        <v>1693.75</v>
      </c>
      <c r="O406" s="129">
        <v>0</v>
      </c>
      <c r="P406" s="129">
        <v>0</v>
      </c>
      <c r="Q406" s="129">
        <v>54200</v>
      </c>
      <c r="R406" s="127" t="s">
        <v>136</v>
      </c>
      <c r="S406" s="129">
        <v>0</v>
      </c>
      <c r="T406" s="129">
        <v>0</v>
      </c>
      <c r="U406" s="129">
        <v>0</v>
      </c>
      <c r="V406" s="129" t="b">
        <v>0</v>
      </c>
      <c r="W406" s="129">
        <v>92757759</v>
      </c>
      <c r="X406" s="129">
        <v>0</v>
      </c>
      <c r="Y406" s="129">
        <v>0</v>
      </c>
      <c r="Z406" s="129"/>
      <c r="AA406" s="129">
        <v>0</v>
      </c>
      <c r="AB406" s="129" t="b">
        <v>0</v>
      </c>
      <c r="AC406" s="127" t="s">
        <v>142</v>
      </c>
      <c r="AD406" s="127" t="s">
        <v>142</v>
      </c>
      <c r="AE406" s="127" t="s">
        <v>142</v>
      </c>
      <c r="AF406" s="129">
        <v>271</v>
      </c>
      <c r="AG406" s="144">
        <v>38847</v>
      </c>
      <c r="AH406" s="129"/>
    </row>
    <row r="407" spans="1:34" x14ac:dyDescent="0.2">
      <c r="A407" s="127" t="s">
        <v>135</v>
      </c>
      <c r="B407" s="128">
        <v>38814.354826388888</v>
      </c>
      <c r="C407" s="127" t="s">
        <v>274</v>
      </c>
      <c r="D407" s="127" t="s">
        <v>135</v>
      </c>
      <c r="E407" s="127" t="s">
        <v>21</v>
      </c>
      <c r="F407" s="129">
        <v>8299</v>
      </c>
      <c r="G407" s="129">
        <v>8536</v>
      </c>
      <c r="H407" s="129">
        <v>34</v>
      </c>
      <c r="I407" s="129">
        <v>47400</v>
      </c>
      <c r="J407" s="129" t="b">
        <v>0</v>
      </c>
      <c r="K407" s="129" t="b">
        <v>0</v>
      </c>
      <c r="L407" s="129">
        <v>200</v>
      </c>
      <c r="M407" s="129">
        <v>0</v>
      </c>
      <c r="N407" s="129">
        <v>1394.12</v>
      </c>
      <c r="O407" s="129">
        <v>0</v>
      </c>
      <c r="P407" s="129">
        <v>0</v>
      </c>
      <c r="Q407" s="129">
        <v>47400</v>
      </c>
      <c r="R407" s="127" t="s">
        <v>136</v>
      </c>
      <c r="S407" s="129">
        <v>0</v>
      </c>
      <c r="T407" s="129">
        <v>0</v>
      </c>
      <c r="U407" s="129">
        <v>0</v>
      </c>
      <c r="V407" s="129" t="b">
        <v>0</v>
      </c>
      <c r="W407" s="129">
        <v>92675646</v>
      </c>
      <c r="X407" s="129">
        <v>0</v>
      </c>
      <c r="Y407" s="129">
        <v>0</v>
      </c>
      <c r="Z407" s="129"/>
      <c r="AA407" s="129">
        <v>0</v>
      </c>
      <c r="AB407" s="129" t="b">
        <v>0</v>
      </c>
      <c r="AC407" s="127" t="s">
        <v>142</v>
      </c>
      <c r="AD407" s="127" t="s">
        <v>142</v>
      </c>
      <c r="AE407" s="127" t="s">
        <v>142</v>
      </c>
      <c r="AF407" s="129">
        <v>237</v>
      </c>
      <c r="AG407" s="144">
        <v>38818</v>
      </c>
      <c r="AH407" s="129"/>
    </row>
    <row r="408" spans="1:34" x14ac:dyDescent="0.2">
      <c r="A408" s="127" t="s">
        <v>135</v>
      </c>
      <c r="B408" s="128">
        <v>38780</v>
      </c>
      <c r="C408" s="127" t="s">
        <v>274</v>
      </c>
      <c r="D408" s="127" t="s">
        <v>135</v>
      </c>
      <c r="E408" s="127" t="s">
        <v>75</v>
      </c>
      <c r="F408" s="129">
        <v>8067</v>
      </c>
      <c r="G408" s="129">
        <v>8299</v>
      </c>
      <c r="H408" s="129">
        <v>24</v>
      </c>
      <c r="I408" s="129">
        <v>46400</v>
      </c>
      <c r="J408" s="129" t="b">
        <v>0</v>
      </c>
      <c r="K408" s="129" t="b">
        <v>0</v>
      </c>
      <c r="L408" s="129">
        <v>200</v>
      </c>
      <c r="M408" s="129">
        <v>0</v>
      </c>
      <c r="N408" s="129">
        <v>1933.33</v>
      </c>
      <c r="O408" s="129">
        <v>0</v>
      </c>
      <c r="P408" s="129">
        <v>0</v>
      </c>
      <c r="Q408" s="129">
        <v>46400</v>
      </c>
      <c r="R408" s="127" t="s">
        <v>136</v>
      </c>
      <c r="S408" s="129">
        <v>0</v>
      </c>
      <c r="T408" s="129">
        <v>0</v>
      </c>
      <c r="U408" s="129">
        <v>0</v>
      </c>
      <c r="V408" s="129" t="b">
        <v>0</v>
      </c>
      <c r="W408" s="129">
        <v>92576773</v>
      </c>
      <c r="X408" s="129">
        <v>0</v>
      </c>
      <c r="Y408" s="129">
        <v>0</v>
      </c>
      <c r="Z408" s="129"/>
      <c r="AA408" s="129">
        <v>0</v>
      </c>
      <c r="AB408" s="129" t="b">
        <v>0</v>
      </c>
      <c r="AC408" s="127" t="s">
        <v>142</v>
      </c>
      <c r="AD408" s="127" t="s">
        <v>142</v>
      </c>
      <c r="AE408" s="127" t="s">
        <v>142</v>
      </c>
      <c r="AF408" s="129">
        <v>232</v>
      </c>
      <c r="AG408" s="144">
        <v>38789</v>
      </c>
      <c r="AH408" s="129"/>
    </row>
    <row r="409" spans="1:34" x14ac:dyDescent="0.2">
      <c r="A409" s="127" t="s">
        <v>135</v>
      </c>
      <c r="B409" s="128">
        <v>38756.415208333332</v>
      </c>
      <c r="C409" s="127" t="s">
        <v>274</v>
      </c>
      <c r="D409" s="127" t="s">
        <v>135</v>
      </c>
      <c r="E409" s="127" t="s">
        <v>21</v>
      </c>
      <c r="F409" s="129">
        <v>7819</v>
      </c>
      <c r="G409" s="129">
        <v>8067</v>
      </c>
      <c r="H409" s="129">
        <v>30</v>
      </c>
      <c r="I409" s="129">
        <v>49600</v>
      </c>
      <c r="J409" s="129" t="b">
        <v>0</v>
      </c>
      <c r="K409" s="129" t="b">
        <v>0</v>
      </c>
      <c r="L409" s="129">
        <v>200</v>
      </c>
      <c r="M409" s="129">
        <v>0</v>
      </c>
      <c r="N409" s="129">
        <v>1653.33</v>
      </c>
      <c r="O409" s="129">
        <v>0</v>
      </c>
      <c r="P409" s="129">
        <v>0</v>
      </c>
      <c r="Q409" s="129">
        <v>49600</v>
      </c>
      <c r="R409" s="127" t="s">
        <v>136</v>
      </c>
      <c r="S409" s="129">
        <v>0</v>
      </c>
      <c r="T409" s="129">
        <v>0</v>
      </c>
      <c r="U409" s="129">
        <v>0</v>
      </c>
      <c r="V409" s="129" t="b">
        <v>0</v>
      </c>
      <c r="W409" s="129">
        <v>92497250</v>
      </c>
      <c r="X409" s="129">
        <v>0</v>
      </c>
      <c r="Y409" s="129">
        <v>0</v>
      </c>
      <c r="Z409" s="129"/>
      <c r="AA409" s="129">
        <v>0</v>
      </c>
      <c r="AB409" s="129" t="b">
        <v>0</v>
      </c>
      <c r="AC409" s="127" t="s">
        <v>142</v>
      </c>
      <c r="AD409" s="127" t="s">
        <v>142</v>
      </c>
      <c r="AE409" s="127" t="s">
        <v>142</v>
      </c>
      <c r="AF409" s="129">
        <v>248</v>
      </c>
      <c r="AG409" s="144">
        <v>38757</v>
      </c>
      <c r="AH409" s="129"/>
    </row>
    <row r="410" spans="1:34" x14ac:dyDescent="0.2">
      <c r="A410" s="127" t="s">
        <v>135</v>
      </c>
      <c r="B410" s="128">
        <v>38726.372361111113</v>
      </c>
      <c r="C410" s="127" t="s">
        <v>274</v>
      </c>
      <c r="D410" s="127" t="s">
        <v>135</v>
      </c>
      <c r="E410" s="127" t="s">
        <v>21</v>
      </c>
      <c r="F410" s="129">
        <v>7569</v>
      </c>
      <c r="G410" s="129">
        <v>7819</v>
      </c>
      <c r="H410" s="129">
        <v>34</v>
      </c>
      <c r="I410" s="129">
        <v>50000</v>
      </c>
      <c r="J410" s="129" t="b">
        <v>0</v>
      </c>
      <c r="K410" s="129" t="b">
        <v>0</v>
      </c>
      <c r="L410" s="129">
        <v>200</v>
      </c>
      <c r="M410" s="129">
        <v>0</v>
      </c>
      <c r="N410" s="129">
        <v>1470.59</v>
      </c>
      <c r="O410" s="129">
        <v>0</v>
      </c>
      <c r="P410" s="129">
        <v>0</v>
      </c>
      <c r="Q410" s="129">
        <v>50000</v>
      </c>
      <c r="R410" s="127" t="s">
        <v>136</v>
      </c>
      <c r="S410" s="129">
        <v>0</v>
      </c>
      <c r="T410" s="129">
        <v>0</v>
      </c>
      <c r="U410" s="129">
        <v>0</v>
      </c>
      <c r="V410" s="129" t="b">
        <v>0</v>
      </c>
      <c r="W410" s="129">
        <v>92410435</v>
      </c>
      <c r="X410" s="129">
        <v>0</v>
      </c>
      <c r="Y410" s="129">
        <v>0</v>
      </c>
      <c r="Z410" s="129"/>
      <c r="AA410" s="129">
        <v>0</v>
      </c>
      <c r="AB410" s="129" t="b">
        <v>0</v>
      </c>
      <c r="AC410" s="127" t="s">
        <v>142</v>
      </c>
      <c r="AD410" s="127" t="s">
        <v>142</v>
      </c>
      <c r="AE410" s="127" t="s">
        <v>142</v>
      </c>
      <c r="AF410" s="129">
        <v>250</v>
      </c>
      <c r="AG410" s="144">
        <v>38728</v>
      </c>
      <c r="AH410" s="129"/>
    </row>
    <row r="411" spans="1:34" x14ac:dyDescent="0.2">
      <c r="A411" s="127" t="s">
        <v>135</v>
      </c>
      <c r="B411" s="128">
        <v>38692.37128472222</v>
      </c>
      <c r="C411" s="127" t="s">
        <v>274</v>
      </c>
      <c r="D411" s="127" t="s">
        <v>135</v>
      </c>
      <c r="E411" s="127" t="s">
        <v>21</v>
      </c>
      <c r="F411" s="129">
        <v>7318</v>
      </c>
      <c r="G411" s="129">
        <v>7569</v>
      </c>
      <c r="H411" s="129">
        <v>33</v>
      </c>
      <c r="I411" s="129">
        <v>50200</v>
      </c>
      <c r="J411" s="129" t="b">
        <v>0</v>
      </c>
      <c r="K411" s="129" t="b">
        <v>0</v>
      </c>
      <c r="L411" s="129">
        <v>200</v>
      </c>
      <c r="M411" s="129">
        <v>0</v>
      </c>
      <c r="N411" s="129">
        <v>1521.21</v>
      </c>
      <c r="O411" s="129">
        <v>0</v>
      </c>
      <c r="P411" s="129">
        <v>0</v>
      </c>
      <c r="Q411" s="129">
        <v>50200</v>
      </c>
      <c r="R411" s="127" t="s">
        <v>136</v>
      </c>
      <c r="S411" s="129">
        <v>0</v>
      </c>
      <c r="T411" s="129">
        <v>0</v>
      </c>
      <c r="U411" s="129">
        <v>0</v>
      </c>
      <c r="V411" s="129" t="b">
        <v>0</v>
      </c>
      <c r="W411" s="129">
        <v>92328562</v>
      </c>
      <c r="X411" s="129">
        <v>0</v>
      </c>
      <c r="Y411" s="129">
        <v>0</v>
      </c>
      <c r="Z411" s="129"/>
      <c r="AA411" s="129">
        <v>0</v>
      </c>
      <c r="AB411" s="129" t="b">
        <v>0</v>
      </c>
      <c r="AC411" s="127" t="s">
        <v>142</v>
      </c>
      <c r="AD411" s="127" t="s">
        <v>142</v>
      </c>
      <c r="AE411" s="127" t="s">
        <v>142</v>
      </c>
      <c r="AF411" s="129">
        <v>251</v>
      </c>
      <c r="AG411" s="144">
        <v>38694</v>
      </c>
      <c r="AH411" s="129"/>
    </row>
    <row r="412" spans="1:34" x14ac:dyDescent="0.2">
      <c r="A412" s="127" t="s">
        <v>135</v>
      </c>
      <c r="B412" s="128">
        <v>38659.357638888891</v>
      </c>
      <c r="C412" s="127" t="s">
        <v>274</v>
      </c>
      <c r="D412" s="127" t="s">
        <v>135</v>
      </c>
      <c r="E412" s="127" t="s">
        <v>21</v>
      </c>
      <c r="F412" s="129">
        <v>7077</v>
      </c>
      <c r="G412" s="129">
        <v>7318</v>
      </c>
      <c r="H412" s="129">
        <v>29</v>
      </c>
      <c r="I412" s="129">
        <v>48200</v>
      </c>
      <c r="J412" s="129" t="b">
        <v>0</v>
      </c>
      <c r="K412" s="129" t="b">
        <v>0</v>
      </c>
      <c r="L412" s="129">
        <v>200</v>
      </c>
      <c r="M412" s="129">
        <v>0</v>
      </c>
      <c r="N412" s="129">
        <v>1662.07</v>
      </c>
      <c r="O412" s="129">
        <v>0</v>
      </c>
      <c r="P412" s="129">
        <v>0</v>
      </c>
      <c r="Q412" s="129">
        <v>48200</v>
      </c>
      <c r="R412" s="127" t="s">
        <v>136</v>
      </c>
      <c r="S412" s="129">
        <v>0</v>
      </c>
      <c r="T412" s="129">
        <v>0</v>
      </c>
      <c r="U412" s="129">
        <v>0</v>
      </c>
      <c r="V412" s="129" t="b">
        <v>0</v>
      </c>
      <c r="W412" s="129">
        <v>92250401</v>
      </c>
      <c r="X412" s="129">
        <v>0</v>
      </c>
      <c r="Y412" s="129">
        <v>0</v>
      </c>
      <c r="Z412" s="129"/>
      <c r="AA412" s="129">
        <v>0</v>
      </c>
      <c r="AB412" s="129" t="b">
        <v>0</v>
      </c>
      <c r="AC412" s="127" t="s">
        <v>142</v>
      </c>
      <c r="AD412" s="127" t="s">
        <v>142</v>
      </c>
      <c r="AE412" s="127" t="s">
        <v>142</v>
      </c>
      <c r="AF412" s="129">
        <v>241</v>
      </c>
      <c r="AG412" s="144">
        <v>38665</v>
      </c>
      <c r="AH412" s="129"/>
    </row>
    <row r="413" spans="1:34" x14ac:dyDescent="0.2">
      <c r="A413" s="127" t="s">
        <v>135</v>
      </c>
      <c r="B413" s="128">
        <v>38630.354039351849</v>
      </c>
      <c r="C413" s="127" t="s">
        <v>274</v>
      </c>
      <c r="D413" s="127" t="s">
        <v>135</v>
      </c>
      <c r="E413" s="127" t="s">
        <v>21</v>
      </c>
      <c r="F413" s="129">
        <v>6730</v>
      </c>
      <c r="G413" s="129">
        <v>7077</v>
      </c>
      <c r="H413" s="129">
        <v>34</v>
      </c>
      <c r="I413" s="129">
        <v>69400</v>
      </c>
      <c r="J413" s="129" t="b">
        <v>0</v>
      </c>
      <c r="K413" s="129" t="b">
        <v>0</v>
      </c>
      <c r="L413" s="129">
        <v>200</v>
      </c>
      <c r="M413" s="129">
        <v>0</v>
      </c>
      <c r="N413" s="129">
        <v>2041.18</v>
      </c>
      <c r="O413" s="129">
        <v>0</v>
      </c>
      <c r="P413" s="129">
        <v>0</v>
      </c>
      <c r="Q413" s="129">
        <v>69400</v>
      </c>
      <c r="R413" s="127" t="s">
        <v>136</v>
      </c>
      <c r="S413" s="129">
        <v>0</v>
      </c>
      <c r="T413" s="129">
        <v>0</v>
      </c>
      <c r="U413" s="129">
        <v>0</v>
      </c>
      <c r="V413" s="129" t="b">
        <v>0</v>
      </c>
      <c r="W413" s="129">
        <v>92158991</v>
      </c>
      <c r="X413" s="129">
        <v>0</v>
      </c>
      <c r="Y413" s="129">
        <v>0</v>
      </c>
      <c r="Z413" s="129"/>
      <c r="AA413" s="129">
        <v>0</v>
      </c>
      <c r="AB413" s="129" t="b">
        <v>0</v>
      </c>
      <c r="AC413" s="127" t="s">
        <v>142</v>
      </c>
      <c r="AD413" s="127" t="s">
        <v>142</v>
      </c>
      <c r="AE413" s="127" t="s">
        <v>142</v>
      </c>
      <c r="AF413" s="129">
        <v>347</v>
      </c>
      <c r="AG413" s="144">
        <v>38637</v>
      </c>
      <c r="AH413" s="129"/>
    </row>
    <row r="414" spans="1:34" x14ac:dyDescent="0.2">
      <c r="A414" s="127" t="s">
        <v>135</v>
      </c>
      <c r="B414" s="128">
        <v>38596.360474537039</v>
      </c>
      <c r="C414" s="127" t="s">
        <v>274</v>
      </c>
      <c r="D414" s="127" t="s">
        <v>135</v>
      </c>
      <c r="E414" s="127" t="s">
        <v>21</v>
      </c>
      <c r="F414" s="129">
        <v>6386</v>
      </c>
      <c r="G414" s="129">
        <v>6730</v>
      </c>
      <c r="H414" s="129">
        <v>30</v>
      </c>
      <c r="I414" s="129">
        <v>68800</v>
      </c>
      <c r="J414" s="129" t="b">
        <v>0</v>
      </c>
      <c r="K414" s="129" t="b">
        <v>0</v>
      </c>
      <c r="L414" s="129">
        <v>200</v>
      </c>
      <c r="M414" s="129">
        <v>0</v>
      </c>
      <c r="N414" s="129">
        <v>2293.33</v>
      </c>
      <c r="O414" s="129">
        <v>0</v>
      </c>
      <c r="P414" s="129">
        <v>0</v>
      </c>
      <c r="Q414" s="129">
        <v>68800</v>
      </c>
      <c r="R414" s="127" t="s">
        <v>136</v>
      </c>
      <c r="S414" s="129">
        <v>0</v>
      </c>
      <c r="T414" s="129">
        <v>0</v>
      </c>
      <c r="U414" s="129">
        <v>0</v>
      </c>
      <c r="V414" s="129" t="b">
        <v>0</v>
      </c>
      <c r="W414" s="129">
        <v>92080301</v>
      </c>
      <c r="X414" s="129">
        <v>0</v>
      </c>
      <c r="Y414" s="129">
        <v>0</v>
      </c>
      <c r="Z414" s="129"/>
      <c r="AA414" s="129">
        <v>0</v>
      </c>
      <c r="AB414" s="129" t="b">
        <v>0</v>
      </c>
      <c r="AC414" s="127" t="s">
        <v>142</v>
      </c>
      <c r="AD414" s="127" t="s">
        <v>142</v>
      </c>
      <c r="AE414" s="127" t="s">
        <v>142</v>
      </c>
      <c r="AF414" s="129">
        <v>344</v>
      </c>
      <c r="AG414" s="144">
        <v>38607</v>
      </c>
      <c r="AH414" s="129"/>
    </row>
    <row r="415" spans="1:34" x14ac:dyDescent="0.2">
      <c r="A415" s="127" t="s">
        <v>135</v>
      </c>
      <c r="B415" s="128">
        <v>38566.354675925926</v>
      </c>
      <c r="C415" s="127" t="s">
        <v>274</v>
      </c>
      <c r="D415" s="127" t="s">
        <v>135</v>
      </c>
      <c r="E415" s="127" t="s">
        <v>21</v>
      </c>
      <c r="F415" s="129">
        <v>6089</v>
      </c>
      <c r="G415" s="129">
        <v>6386</v>
      </c>
      <c r="H415" s="129">
        <v>27</v>
      </c>
      <c r="I415" s="129">
        <v>59400</v>
      </c>
      <c r="J415" s="129" t="b">
        <v>0</v>
      </c>
      <c r="K415" s="129" t="b">
        <v>0</v>
      </c>
      <c r="L415" s="129">
        <v>200</v>
      </c>
      <c r="M415" s="129">
        <v>0</v>
      </c>
      <c r="N415" s="129">
        <v>2200</v>
      </c>
      <c r="O415" s="129">
        <v>0</v>
      </c>
      <c r="P415" s="129">
        <v>0</v>
      </c>
      <c r="Q415" s="129">
        <v>59400</v>
      </c>
      <c r="R415" s="127" t="s">
        <v>136</v>
      </c>
      <c r="S415" s="129">
        <v>0</v>
      </c>
      <c r="T415" s="129">
        <v>0</v>
      </c>
      <c r="U415" s="129">
        <v>0</v>
      </c>
      <c r="V415" s="129" t="b">
        <v>0</v>
      </c>
      <c r="W415" s="129">
        <v>91998266</v>
      </c>
      <c r="X415" s="129">
        <v>0</v>
      </c>
      <c r="Y415" s="129">
        <v>0</v>
      </c>
      <c r="Z415" s="129"/>
      <c r="AA415" s="129">
        <v>0</v>
      </c>
      <c r="AB415" s="129" t="b">
        <v>0</v>
      </c>
      <c r="AC415" s="127" t="s">
        <v>142</v>
      </c>
      <c r="AD415" s="127" t="s">
        <v>142</v>
      </c>
      <c r="AE415" s="127" t="s">
        <v>142</v>
      </c>
      <c r="AF415" s="129">
        <v>297</v>
      </c>
      <c r="AG415" s="144">
        <v>38573</v>
      </c>
      <c r="AH415" s="129"/>
    </row>
    <row r="416" spans="1:34" x14ac:dyDescent="0.2">
      <c r="A416" s="127" t="s">
        <v>135</v>
      </c>
      <c r="B416" s="128">
        <v>38539.348773148151</v>
      </c>
      <c r="C416" s="127" t="s">
        <v>274</v>
      </c>
      <c r="D416" s="127" t="s">
        <v>135</v>
      </c>
      <c r="E416" s="127" t="s">
        <v>21</v>
      </c>
      <c r="F416" s="129">
        <v>5723</v>
      </c>
      <c r="G416" s="129">
        <v>6089</v>
      </c>
      <c r="H416" s="129">
        <v>34</v>
      </c>
      <c r="I416" s="129">
        <v>73200</v>
      </c>
      <c r="J416" s="129" t="b">
        <v>0</v>
      </c>
      <c r="K416" s="129" t="b">
        <v>0</v>
      </c>
      <c r="L416" s="129">
        <v>200</v>
      </c>
      <c r="M416" s="129">
        <v>0</v>
      </c>
      <c r="N416" s="129">
        <v>2152.94</v>
      </c>
      <c r="O416" s="129">
        <v>0</v>
      </c>
      <c r="P416" s="129">
        <v>0</v>
      </c>
      <c r="Q416" s="129">
        <v>73200</v>
      </c>
      <c r="R416" s="127" t="s">
        <v>136</v>
      </c>
      <c r="S416" s="129">
        <v>0</v>
      </c>
      <c r="T416" s="129">
        <v>0</v>
      </c>
      <c r="U416" s="129">
        <v>0</v>
      </c>
      <c r="V416" s="129" t="b">
        <v>0</v>
      </c>
      <c r="W416" s="129">
        <v>91916703</v>
      </c>
      <c r="X416" s="129">
        <v>0</v>
      </c>
      <c r="Y416" s="129">
        <v>0</v>
      </c>
      <c r="Z416" s="129"/>
      <c r="AA416" s="129">
        <v>0</v>
      </c>
      <c r="AB416" s="129" t="b">
        <v>0</v>
      </c>
      <c r="AC416" s="127" t="s">
        <v>142</v>
      </c>
      <c r="AD416" s="127" t="s">
        <v>142</v>
      </c>
      <c r="AE416" s="127" t="s">
        <v>142</v>
      </c>
      <c r="AF416" s="129">
        <v>366</v>
      </c>
      <c r="AG416" s="144">
        <v>38545</v>
      </c>
      <c r="AH416" s="129"/>
    </row>
    <row r="417" spans="1:34" x14ac:dyDescent="0.2">
      <c r="A417" s="127" t="s">
        <v>135</v>
      </c>
      <c r="B417" s="128">
        <v>38505.382175925923</v>
      </c>
      <c r="C417" s="127" t="s">
        <v>274</v>
      </c>
      <c r="D417" s="127" t="s">
        <v>135</v>
      </c>
      <c r="E417" s="127" t="s">
        <v>21</v>
      </c>
      <c r="F417" s="129">
        <v>5435</v>
      </c>
      <c r="G417" s="129">
        <v>5723</v>
      </c>
      <c r="H417" s="129">
        <v>30</v>
      </c>
      <c r="I417" s="129">
        <v>57600</v>
      </c>
      <c r="J417" s="129" t="b">
        <v>0</v>
      </c>
      <c r="K417" s="129" t="b">
        <v>0</v>
      </c>
      <c r="L417" s="129">
        <v>200</v>
      </c>
      <c r="M417" s="129">
        <v>0</v>
      </c>
      <c r="N417" s="129">
        <v>1920</v>
      </c>
      <c r="O417" s="129">
        <v>0</v>
      </c>
      <c r="P417" s="129">
        <v>0</v>
      </c>
      <c r="Q417" s="129">
        <v>57600</v>
      </c>
      <c r="R417" s="127" t="s">
        <v>136</v>
      </c>
      <c r="S417" s="129">
        <v>0</v>
      </c>
      <c r="T417" s="129">
        <v>0</v>
      </c>
      <c r="U417" s="129">
        <v>0</v>
      </c>
      <c r="V417" s="129" t="b">
        <v>0</v>
      </c>
      <c r="W417" s="129">
        <v>91833435</v>
      </c>
      <c r="X417" s="129">
        <v>0</v>
      </c>
      <c r="Y417" s="129">
        <v>0</v>
      </c>
      <c r="Z417" s="129"/>
      <c r="AA417" s="129">
        <v>0</v>
      </c>
      <c r="AB417" s="129" t="b">
        <v>0</v>
      </c>
      <c r="AC417" s="127" t="s">
        <v>142</v>
      </c>
      <c r="AD417" s="127" t="s">
        <v>142</v>
      </c>
      <c r="AE417" s="127" t="s">
        <v>142</v>
      </c>
      <c r="AF417" s="129">
        <v>288</v>
      </c>
      <c r="AG417" s="144">
        <v>38512</v>
      </c>
      <c r="AH417" s="129"/>
    </row>
    <row r="418" spans="1:34" x14ac:dyDescent="0.2">
      <c r="A418" s="127" t="s">
        <v>135</v>
      </c>
      <c r="B418" s="128">
        <v>38475.519247685188</v>
      </c>
      <c r="C418" s="127" t="s">
        <v>274</v>
      </c>
      <c r="D418" s="127" t="s">
        <v>135</v>
      </c>
      <c r="E418" s="127" t="s">
        <v>21</v>
      </c>
      <c r="F418" s="129">
        <v>5175</v>
      </c>
      <c r="G418" s="129">
        <v>5435</v>
      </c>
      <c r="H418" s="129">
        <v>29</v>
      </c>
      <c r="I418" s="129">
        <v>52000</v>
      </c>
      <c r="J418" s="129" t="b">
        <v>0</v>
      </c>
      <c r="K418" s="129" t="b">
        <v>0</v>
      </c>
      <c r="L418" s="129">
        <v>200</v>
      </c>
      <c r="M418" s="129">
        <v>0</v>
      </c>
      <c r="N418" s="129">
        <v>1793.1</v>
      </c>
      <c r="O418" s="129">
        <v>0</v>
      </c>
      <c r="P418" s="129">
        <v>0</v>
      </c>
      <c r="Q418" s="129">
        <v>52000</v>
      </c>
      <c r="R418" s="127" t="s">
        <v>136</v>
      </c>
      <c r="S418" s="129">
        <v>0</v>
      </c>
      <c r="T418" s="129">
        <v>0</v>
      </c>
      <c r="U418" s="129">
        <v>0</v>
      </c>
      <c r="V418" s="129" t="b">
        <v>0</v>
      </c>
      <c r="W418" s="129">
        <v>91750794</v>
      </c>
      <c r="X418" s="129">
        <v>0</v>
      </c>
      <c r="Y418" s="129">
        <v>0</v>
      </c>
      <c r="Z418" s="129"/>
      <c r="AA418" s="129">
        <v>0</v>
      </c>
      <c r="AB418" s="129" t="b">
        <v>0</v>
      </c>
      <c r="AC418" s="127" t="s">
        <v>142</v>
      </c>
      <c r="AD418" s="127" t="s">
        <v>142</v>
      </c>
      <c r="AE418" s="127" t="s">
        <v>142</v>
      </c>
      <c r="AF418" s="129">
        <v>260</v>
      </c>
      <c r="AG418" s="144">
        <v>38482</v>
      </c>
      <c r="AH418" s="129"/>
    </row>
    <row r="419" spans="1:34" x14ac:dyDescent="0.2">
      <c r="A419" s="127" t="s">
        <v>135</v>
      </c>
      <c r="B419" s="128">
        <v>38446.371979166666</v>
      </c>
      <c r="C419" s="127" t="s">
        <v>274</v>
      </c>
      <c r="D419" s="127" t="s">
        <v>135</v>
      </c>
      <c r="E419" s="127" t="s">
        <v>21</v>
      </c>
      <c r="F419" s="129">
        <v>5008</v>
      </c>
      <c r="G419" s="129">
        <v>5175</v>
      </c>
      <c r="H419" s="129">
        <v>27</v>
      </c>
      <c r="I419" s="129">
        <v>33400</v>
      </c>
      <c r="J419" s="129" t="b">
        <v>0</v>
      </c>
      <c r="K419" s="129" t="b">
        <v>0</v>
      </c>
      <c r="L419" s="129">
        <v>200</v>
      </c>
      <c r="M419" s="129">
        <v>0</v>
      </c>
      <c r="N419" s="129">
        <v>1237.04</v>
      </c>
      <c r="O419" s="129">
        <v>0</v>
      </c>
      <c r="P419" s="129">
        <v>0</v>
      </c>
      <c r="Q419" s="129">
        <v>33400</v>
      </c>
      <c r="R419" s="127" t="s">
        <v>136</v>
      </c>
      <c r="S419" s="129">
        <v>0</v>
      </c>
      <c r="T419" s="129">
        <v>0</v>
      </c>
      <c r="U419" s="129">
        <v>0</v>
      </c>
      <c r="V419" s="129" t="b">
        <v>0</v>
      </c>
      <c r="W419" s="129">
        <v>91666488</v>
      </c>
      <c r="X419" s="129">
        <v>0</v>
      </c>
      <c r="Y419" s="129">
        <v>0</v>
      </c>
      <c r="Z419" s="129"/>
      <c r="AA419" s="129">
        <v>0</v>
      </c>
      <c r="AB419" s="129" t="b">
        <v>0</v>
      </c>
      <c r="AC419" s="127" t="s">
        <v>142</v>
      </c>
      <c r="AD419" s="127" t="s">
        <v>142</v>
      </c>
      <c r="AE419" s="127" t="s">
        <v>142</v>
      </c>
      <c r="AF419" s="129">
        <v>167</v>
      </c>
      <c r="AG419" s="144">
        <v>38453</v>
      </c>
      <c r="AH419" s="129"/>
    </row>
    <row r="420" spans="1:34" x14ac:dyDescent="0.2">
      <c r="A420" s="127" t="s">
        <v>135</v>
      </c>
      <c r="B420" s="128">
        <v>38419</v>
      </c>
      <c r="C420" s="127" t="s">
        <v>274</v>
      </c>
      <c r="D420" s="127" t="s">
        <v>135</v>
      </c>
      <c r="E420" s="127" t="s">
        <v>75</v>
      </c>
      <c r="F420" s="129">
        <v>4728</v>
      </c>
      <c r="G420" s="129">
        <v>5008</v>
      </c>
      <c r="H420" s="129">
        <v>29</v>
      </c>
      <c r="I420" s="129">
        <v>56000</v>
      </c>
      <c r="J420" s="129" t="b">
        <v>0</v>
      </c>
      <c r="K420" s="129" t="b">
        <v>0</v>
      </c>
      <c r="L420" s="129">
        <v>200</v>
      </c>
      <c r="M420" s="129">
        <v>0</v>
      </c>
      <c r="N420" s="129">
        <v>1931.03</v>
      </c>
      <c r="O420" s="129">
        <v>0</v>
      </c>
      <c r="P420" s="129">
        <v>0</v>
      </c>
      <c r="Q420" s="129">
        <v>56000</v>
      </c>
      <c r="R420" s="127" t="s">
        <v>136</v>
      </c>
      <c r="S420" s="129">
        <v>0</v>
      </c>
      <c r="T420" s="129">
        <v>0</v>
      </c>
      <c r="U420" s="129">
        <v>0</v>
      </c>
      <c r="V420" s="129" t="b">
        <v>0</v>
      </c>
      <c r="W420" s="129">
        <v>91583080</v>
      </c>
      <c r="X420" s="129">
        <v>0</v>
      </c>
      <c r="Y420" s="129">
        <v>0</v>
      </c>
      <c r="Z420" s="129"/>
      <c r="AA420" s="129">
        <v>0</v>
      </c>
      <c r="AB420" s="129" t="b">
        <v>0</v>
      </c>
      <c r="AC420" s="127" t="s">
        <v>142</v>
      </c>
      <c r="AD420" s="127" t="s">
        <v>142</v>
      </c>
      <c r="AE420" s="127" t="s">
        <v>142</v>
      </c>
      <c r="AF420" s="129">
        <v>280</v>
      </c>
      <c r="AG420" s="144">
        <v>38420</v>
      </c>
      <c r="AH420" s="129"/>
    </row>
    <row r="421" spans="1:34" x14ac:dyDescent="0.2">
      <c r="A421" s="127" t="s">
        <v>135</v>
      </c>
      <c r="B421" s="128">
        <v>38390</v>
      </c>
      <c r="C421" s="127" t="s">
        <v>274</v>
      </c>
      <c r="D421" s="127" t="s">
        <v>135</v>
      </c>
      <c r="E421" s="127" t="s">
        <v>75</v>
      </c>
      <c r="F421" s="129">
        <v>4451</v>
      </c>
      <c r="G421" s="129">
        <v>4728</v>
      </c>
      <c r="H421" s="129">
        <v>30</v>
      </c>
      <c r="I421" s="129">
        <v>55400</v>
      </c>
      <c r="J421" s="129" t="b">
        <v>0</v>
      </c>
      <c r="K421" s="129" t="b">
        <v>0</v>
      </c>
      <c r="L421" s="129">
        <v>200</v>
      </c>
      <c r="M421" s="129">
        <v>0</v>
      </c>
      <c r="N421" s="129">
        <v>1846.67</v>
      </c>
      <c r="O421" s="129">
        <v>0</v>
      </c>
      <c r="P421" s="129">
        <v>0</v>
      </c>
      <c r="Q421" s="129">
        <v>55400</v>
      </c>
      <c r="R421" s="127" t="s">
        <v>136</v>
      </c>
      <c r="S421" s="129">
        <v>0</v>
      </c>
      <c r="T421" s="129">
        <v>0</v>
      </c>
      <c r="U421" s="129">
        <v>0</v>
      </c>
      <c r="V421" s="129" t="b">
        <v>0</v>
      </c>
      <c r="W421" s="129">
        <v>91500571</v>
      </c>
      <c r="X421" s="129">
        <v>0</v>
      </c>
      <c r="Y421" s="129">
        <v>0</v>
      </c>
      <c r="Z421" s="129"/>
      <c r="AA421" s="129">
        <v>0</v>
      </c>
      <c r="AB421" s="129" t="b">
        <v>0</v>
      </c>
      <c r="AC421" s="127" t="s">
        <v>142</v>
      </c>
      <c r="AD421" s="127" t="s">
        <v>142</v>
      </c>
      <c r="AE421" s="127" t="s">
        <v>142</v>
      </c>
      <c r="AF421" s="129">
        <v>277</v>
      </c>
      <c r="AG421" s="144">
        <v>38392</v>
      </c>
      <c r="AH421" s="129"/>
    </row>
    <row r="422" spans="1:34" x14ac:dyDescent="0.2">
      <c r="A422" s="127" t="s">
        <v>135</v>
      </c>
      <c r="B422" s="128">
        <v>38360</v>
      </c>
      <c r="C422" s="127" t="s">
        <v>274</v>
      </c>
      <c r="D422" s="127" t="s">
        <v>135</v>
      </c>
      <c r="E422" s="127" t="s">
        <v>75</v>
      </c>
      <c r="F422" s="129">
        <v>4192</v>
      </c>
      <c r="G422" s="129">
        <v>4451</v>
      </c>
      <c r="H422" s="129">
        <v>32</v>
      </c>
      <c r="I422" s="129">
        <v>51800</v>
      </c>
      <c r="J422" s="129" t="b">
        <v>0</v>
      </c>
      <c r="K422" s="129" t="b">
        <v>0</v>
      </c>
      <c r="L422" s="129">
        <v>200</v>
      </c>
      <c r="M422" s="129">
        <v>0</v>
      </c>
      <c r="N422" s="129">
        <v>1618.75</v>
      </c>
      <c r="O422" s="129">
        <v>0</v>
      </c>
      <c r="P422" s="129">
        <v>0</v>
      </c>
      <c r="Q422" s="129">
        <v>51800</v>
      </c>
      <c r="R422" s="127" t="s">
        <v>136</v>
      </c>
      <c r="S422" s="129">
        <v>0</v>
      </c>
      <c r="T422" s="129">
        <v>0</v>
      </c>
      <c r="U422" s="129">
        <v>0</v>
      </c>
      <c r="V422" s="129" t="b">
        <v>0</v>
      </c>
      <c r="W422" s="129">
        <v>91414464</v>
      </c>
      <c r="X422" s="129">
        <v>0</v>
      </c>
      <c r="Y422" s="129">
        <v>0</v>
      </c>
      <c r="Z422" s="129"/>
      <c r="AA422" s="129">
        <v>0</v>
      </c>
      <c r="AB422" s="129" t="b">
        <v>0</v>
      </c>
      <c r="AC422" s="127" t="s">
        <v>142</v>
      </c>
      <c r="AD422" s="127" t="s">
        <v>142</v>
      </c>
      <c r="AE422" s="127" t="s">
        <v>142</v>
      </c>
      <c r="AF422" s="129">
        <v>259</v>
      </c>
      <c r="AG422" s="144">
        <v>38363</v>
      </c>
      <c r="AH422" s="129"/>
    </row>
    <row r="423" spans="1:34" x14ac:dyDescent="0.2">
      <c r="A423" s="127" t="s">
        <v>135</v>
      </c>
      <c r="B423" s="128">
        <v>38328.399050925924</v>
      </c>
      <c r="C423" s="127" t="s">
        <v>274</v>
      </c>
      <c r="D423" s="127" t="s">
        <v>135</v>
      </c>
      <c r="E423" s="127" t="s">
        <v>21</v>
      </c>
      <c r="F423" s="129">
        <v>4041</v>
      </c>
      <c r="G423" s="129">
        <v>4192</v>
      </c>
      <c r="H423" s="129">
        <v>20</v>
      </c>
      <c r="I423" s="129">
        <v>30200</v>
      </c>
      <c r="J423" s="129" t="b">
        <v>0</v>
      </c>
      <c r="K423" s="129" t="b">
        <v>0</v>
      </c>
      <c r="L423" s="129">
        <v>200</v>
      </c>
      <c r="M423" s="129">
        <v>0</v>
      </c>
      <c r="N423" s="129">
        <v>1510</v>
      </c>
      <c r="O423" s="129">
        <v>0</v>
      </c>
      <c r="P423" s="129">
        <v>0</v>
      </c>
      <c r="Q423" s="129">
        <v>30200</v>
      </c>
      <c r="R423" s="127" t="s">
        <v>136</v>
      </c>
      <c r="S423" s="129">
        <v>0</v>
      </c>
      <c r="T423" s="129">
        <v>0</v>
      </c>
      <c r="U423" s="129">
        <v>0</v>
      </c>
      <c r="V423" s="129" t="b">
        <v>0</v>
      </c>
      <c r="W423" s="129">
        <v>91326913</v>
      </c>
      <c r="X423" s="129">
        <v>0</v>
      </c>
      <c r="Y423" s="129">
        <v>0</v>
      </c>
      <c r="Z423" s="129"/>
      <c r="AA423" s="129">
        <v>0</v>
      </c>
      <c r="AB423" s="129" t="b">
        <v>0</v>
      </c>
      <c r="AC423" s="127" t="s">
        <v>142</v>
      </c>
      <c r="AD423" s="127" t="s">
        <v>142</v>
      </c>
      <c r="AE423" s="127" t="s">
        <v>142</v>
      </c>
      <c r="AF423" s="129">
        <v>151</v>
      </c>
      <c r="AG423" s="144">
        <v>38330</v>
      </c>
      <c r="AH423" s="129"/>
    </row>
    <row r="424" spans="1:34" x14ac:dyDescent="0.2">
      <c r="A424" s="127" t="s">
        <v>135</v>
      </c>
      <c r="B424" s="128">
        <v>38308.590821759259</v>
      </c>
      <c r="C424" s="127" t="s">
        <v>274</v>
      </c>
      <c r="D424" s="127" t="s">
        <v>135</v>
      </c>
      <c r="E424" s="127" t="s">
        <v>21</v>
      </c>
      <c r="F424" s="129">
        <v>3863</v>
      </c>
      <c r="G424" s="129">
        <v>4041</v>
      </c>
      <c r="H424" s="129">
        <v>22</v>
      </c>
      <c r="I424" s="129">
        <v>35600</v>
      </c>
      <c r="J424" s="129" t="b">
        <v>0</v>
      </c>
      <c r="K424" s="129" t="b">
        <v>0</v>
      </c>
      <c r="L424" s="129">
        <v>200</v>
      </c>
      <c r="M424" s="129">
        <v>0</v>
      </c>
      <c r="N424" s="129">
        <v>1618.18</v>
      </c>
      <c r="O424" s="129">
        <v>0</v>
      </c>
      <c r="P424" s="129">
        <v>0</v>
      </c>
      <c r="Q424" s="129">
        <v>35600</v>
      </c>
      <c r="R424" s="127" t="s">
        <v>136</v>
      </c>
      <c r="S424" s="129">
        <v>0</v>
      </c>
      <c r="T424" s="129">
        <v>0</v>
      </c>
      <c r="U424" s="129">
        <v>0</v>
      </c>
      <c r="V424" s="129" t="b">
        <v>0</v>
      </c>
      <c r="W424" s="129">
        <v>91291367</v>
      </c>
      <c r="X424" s="129">
        <v>0</v>
      </c>
      <c r="Y424" s="129">
        <v>0</v>
      </c>
      <c r="Z424" s="129"/>
      <c r="AA424" s="129">
        <v>0</v>
      </c>
      <c r="AB424" s="129" t="b">
        <v>0</v>
      </c>
      <c r="AC424" s="127" t="s">
        <v>142</v>
      </c>
      <c r="AD424" s="127" t="s">
        <v>142</v>
      </c>
      <c r="AE424" s="127" t="s">
        <v>142</v>
      </c>
      <c r="AF424" s="129">
        <v>178</v>
      </c>
      <c r="AG424" s="144">
        <v>38313</v>
      </c>
      <c r="AH424" s="129"/>
    </row>
    <row r="425" spans="1:34" x14ac:dyDescent="0.2">
      <c r="A425" s="127" t="s">
        <v>135</v>
      </c>
      <c r="B425" s="128">
        <v>38286</v>
      </c>
      <c r="C425" s="127" t="s">
        <v>274</v>
      </c>
      <c r="D425" s="127" t="s">
        <v>135</v>
      </c>
      <c r="E425" s="127" t="s">
        <v>75</v>
      </c>
      <c r="F425" s="129">
        <v>3607</v>
      </c>
      <c r="G425" s="129">
        <v>3863</v>
      </c>
      <c r="H425" s="129">
        <v>28</v>
      </c>
      <c r="I425" s="129">
        <v>51200</v>
      </c>
      <c r="J425" s="129" t="b">
        <v>0</v>
      </c>
      <c r="K425" s="129" t="b">
        <v>0</v>
      </c>
      <c r="L425" s="129">
        <v>200</v>
      </c>
      <c r="M425" s="129">
        <v>0</v>
      </c>
      <c r="N425" s="129">
        <v>1828.57</v>
      </c>
      <c r="O425" s="129">
        <v>0</v>
      </c>
      <c r="P425" s="129">
        <v>0</v>
      </c>
      <c r="Q425" s="129">
        <v>51200</v>
      </c>
      <c r="R425" s="127" t="s">
        <v>136</v>
      </c>
      <c r="S425" s="129">
        <v>0</v>
      </c>
      <c r="T425" s="129">
        <v>0</v>
      </c>
      <c r="U425" s="129">
        <v>0</v>
      </c>
      <c r="V425" s="129" t="b">
        <v>0</v>
      </c>
      <c r="W425" s="129">
        <v>91184158</v>
      </c>
      <c r="X425" s="129">
        <v>0</v>
      </c>
      <c r="Y425" s="129">
        <v>0</v>
      </c>
      <c r="Z425" s="129"/>
      <c r="AA425" s="129">
        <v>0</v>
      </c>
      <c r="AB425" s="129" t="b">
        <v>0</v>
      </c>
      <c r="AC425" s="127" t="s">
        <v>142</v>
      </c>
      <c r="AD425" s="127" t="s">
        <v>142</v>
      </c>
      <c r="AE425" s="127" t="s">
        <v>142</v>
      </c>
      <c r="AF425" s="129">
        <v>256</v>
      </c>
      <c r="AG425" s="144">
        <v>38287</v>
      </c>
      <c r="AH425" s="129"/>
    </row>
    <row r="426" spans="1:34" x14ac:dyDescent="0.2">
      <c r="A426" s="127" t="s">
        <v>135</v>
      </c>
      <c r="B426" s="128">
        <v>38258.515543981484</v>
      </c>
      <c r="C426" s="127" t="s">
        <v>274</v>
      </c>
      <c r="D426" s="127" t="s">
        <v>135</v>
      </c>
      <c r="E426" s="127" t="s">
        <v>21</v>
      </c>
      <c r="F426" s="129">
        <v>3279</v>
      </c>
      <c r="G426" s="129">
        <v>3607</v>
      </c>
      <c r="H426" s="129">
        <v>32</v>
      </c>
      <c r="I426" s="129">
        <v>65600</v>
      </c>
      <c r="J426" s="129" t="b">
        <v>0</v>
      </c>
      <c r="K426" s="129" t="b">
        <v>0</v>
      </c>
      <c r="L426" s="129">
        <v>200</v>
      </c>
      <c r="M426" s="129">
        <v>0</v>
      </c>
      <c r="N426" s="129">
        <v>2050</v>
      </c>
      <c r="O426" s="129">
        <v>0</v>
      </c>
      <c r="P426" s="129">
        <v>0</v>
      </c>
      <c r="Q426" s="129">
        <v>65600</v>
      </c>
      <c r="R426" s="127" t="s">
        <v>136</v>
      </c>
      <c r="S426" s="129">
        <v>0</v>
      </c>
      <c r="T426" s="129">
        <v>0</v>
      </c>
      <c r="U426" s="129">
        <v>0</v>
      </c>
      <c r="V426" s="129" t="b">
        <v>0</v>
      </c>
      <c r="W426" s="129">
        <v>91110882</v>
      </c>
      <c r="X426" s="129">
        <v>0</v>
      </c>
      <c r="Y426" s="129">
        <v>0</v>
      </c>
      <c r="Z426" s="129"/>
      <c r="AA426" s="129">
        <v>0</v>
      </c>
      <c r="AB426" s="129" t="b">
        <v>0</v>
      </c>
      <c r="AC426" s="127" t="s">
        <v>142</v>
      </c>
      <c r="AD426" s="127" t="s">
        <v>142</v>
      </c>
      <c r="AE426" s="127" t="s">
        <v>142</v>
      </c>
      <c r="AF426" s="129">
        <v>328</v>
      </c>
      <c r="AG426" s="144">
        <v>38259</v>
      </c>
      <c r="AH426" s="129"/>
    </row>
    <row r="427" spans="1:34" x14ac:dyDescent="0.2">
      <c r="A427" s="127" t="s">
        <v>135</v>
      </c>
      <c r="B427" s="128">
        <v>38226</v>
      </c>
      <c r="C427" s="127" t="s">
        <v>274</v>
      </c>
      <c r="D427" s="127" t="s">
        <v>135</v>
      </c>
      <c r="E427" s="127" t="s">
        <v>75</v>
      </c>
      <c r="F427" s="129">
        <v>2902</v>
      </c>
      <c r="G427" s="129">
        <v>3279</v>
      </c>
      <c r="H427" s="129">
        <v>30</v>
      </c>
      <c r="I427" s="129">
        <v>75400</v>
      </c>
      <c r="J427" s="129" t="b">
        <v>0</v>
      </c>
      <c r="K427" s="129" t="b">
        <v>0</v>
      </c>
      <c r="L427" s="129">
        <v>200</v>
      </c>
      <c r="M427" s="129">
        <v>0</v>
      </c>
      <c r="N427" s="129">
        <v>2513.33</v>
      </c>
      <c r="O427" s="129">
        <v>0</v>
      </c>
      <c r="P427" s="129">
        <v>0</v>
      </c>
      <c r="Q427" s="129">
        <v>75400</v>
      </c>
      <c r="R427" s="127" t="s">
        <v>136</v>
      </c>
      <c r="S427" s="129">
        <v>0</v>
      </c>
      <c r="T427" s="129">
        <v>0</v>
      </c>
      <c r="U427" s="129">
        <v>0</v>
      </c>
      <c r="V427" s="129" t="b">
        <v>0</v>
      </c>
      <c r="W427" s="129">
        <v>91018893</v>
      </c>
      <c r="X427" s="129">
        <v>0</v>
      </c>
      <c r="Y427" s="129">
        <v>0</v>
      </c>
      <c r="Z427" s="129"/>
      <c r="AA427" s="129">
        <v>0</v>
      </c>
      <c r="AB427" s="129" t="b">
        <v>0</v>
      </c>
      <c r="AC427" s="127" t="s">
        <v>142</v>
      </c>
      <c r="AD427" s="127" t="s">
        <v>142</v>
      </c>
      <c r="AE427" s="127" t="s">
        <v>142</v>
      </c>
      <c r="AF427" s="129">
        <v>377</v>
      </c>
      <c r="AG427" s="144">
        <v>38229</v>
      </c>
      <c r="AH427" s="129"/>
    </row>
    <row r="428" spans="1:34" x14ac:dyDescent="0.2">
      <c r="A428" s="127" t="s">
        <v>135</v>
      </c>
      <c r="B428" s="128">
        <v>38196</v>
      </c>
      <c r="C428" s="127" t="s">
        <v>274</v>
      </c>
      <c r="D428" s="127" t="s">
        <v>135</v>
      </c>
      <c r="E428" s="127" t="s">
        <v>75</v>
      </c>
      <c r="F428" s="129">
        <v>2525</v>
      </c>
      <c r="G428" s="129">
        <v>2902</v>
      </c>
      <c r="H428" s="129">
        <v>30</v>
      </c>
      <c r="I428" s="129">
        <v>75400</v>
      </c>
      <c r="J428" s="129" t="b">
        <v>0</v>
      </c>
      <c r="K428" s="129" t="b">
        <v>0</v>
      </c>
      <c r="L428" s="129">
        <v>200</v>
      </c>
      <c r="M428" s="129">
        <v>0</v>
      </c>
      <c r="N428" s="129">
        <v>2513.33</v>
      </c>
      <c r="O428" s="129">
        <v>0</v>
      </c>
      <c r="P428" s="129">
        <v>0</v>
      </c>
      <c r="Q428" s="129">
        <v>75400</v>
      </c>
      <c r="R428" s="127" t="s">
        <v>136</v>
      </c>
      <c r="S428" s="129">
        <v>0</v>
      </c>
      <c r="T428" s="129">
        <v>0</v>
      </c>
      <c r="U428" s="129">
        <v>0</v>
      </c>
      <c r="V428" s="129" t="b">
        <v>0</v>
      </c>
      <c r="W428" s="129">
        <v>90934012</v>
      </c>
      <c r="X428" s="129">
        <v>0</v>
      </c>
      <c r="Y428" s="129">
        <v>0</v>
      </c>
      <c r="Z428" s="129"/>
      <c r="AA428" s="129">
        <v>0</v>
      </c>
      <c r="AB428" s="129" t="b">
        <v>0</v>
      </c>
      <c r="AC428" s="127" t="s">
        <v>142</v>
      </c>
      <c r="AD428" s="127" t="s">
        <v>142</v>
      </c>
      <c r="AE428" s="127" t="s">
        <v>142</v>
      </c>
      <c r="AF428" s="129">
        <v>377</v>
      </c>
      <c r="AG428" s="144">
        <v>38197</v>
      </c>
      <c r="AH428" s="129"/>
    </row>
    <row r="429" spans="1:34" x14ac:dyDescent="0.2">
      <c r="A429" s="127" t="s">
        <v>135</v>
      </c>
      <c r="B429" s="128">
        <v>38166.422453703701</v>
      </c>
      <c r="C429" s="127" t="s">
        <v>274</v>
      </c>
      <c r="D429" s="127" t="s">
        <v>135</v>
      </c>
      <c r="E429" s="127" t="s">
        <v>21</v>
      </c>
      <c r="F429" s="129">
        <v>2180</v>
      </c>
      <c r="G429" s="129">
        <v>2525</v>
      </c>
      <c r="H429" s="129">
        <v>33</v>
      </c>
      <c r="I429" s="129">
        <v>69000</v>
      </c>
      <c r="J429" s="129" t="b">
        <v>0</v>
      </c>
      <c r="K429" s="129" t="b">
        <v>0</v>
      </c>
      <c r="L429" s="129">
        <v>200</v>
      </c>
      <c r="M429" s="129">
        <v>0</v>
      </c>
      <c r="N429" s="129">
        <v>2090.91</v>
      </c>
      <c r="O429" s="129">
        <v>0</v>
      </c>
      <c r="P429" s="129">
        <v>0</v>
      </c>
      <c r="Q429" s="129">
        <v>69000</v>
      </c>
      <c r="R429" s="127" t="s">
        <v>136</v>
      </c>
      <c r="S429" s="129">
        <v>0</v>
      </c>
      <c r="T429" s="129">
        <v>0</v>
      </c>
      <c r="U429" s="129">
        <v>0</v>
      </c>
      <c r="V429" s="129" t="b">
        <v>0</v>
      </c>
      <c r="W429" s="129">
        <v>90850881</v>
      </c>
      <c r="X429" s="129">
        <v>0</v>
      </c>
      <c r="Y429" s="129">
        <v>0</v>
      </c>
      <c r="Z429" s="129"/>
      <c r="AA429" s="129">
        <v>0</v>
      </c>
      <c r="AB429" s="129" t="b">
        <v>0</v>
      </c>
      <c r="AC429" s="127" t="s">
        <v>142</v>
      </c>
      <c r="AD429" s="127" t="s">
        <v>142</v>
      </c>
      <c r="AE429" s="127" t="s">
        <v>142</v>
      </c>
      <c r="AF429" s="129">
        <v>345</v>
      </c>
      <c r="AG429" s="144">
        <v>38167</v>
      </c>
      <c r="AH429" s="129"/>
    </row>
    <row r="430" spans="1:34" x14ac:dyDescent="0.2">
      <c r="A430" s="127" t="s">
        <v>135</v>
      </c>
      <c r="B430" s="128">
        <v>38133.473171296297</v>
      </c>
      <c r="C430" s="127" t="s">
        <v>274</v>
      </c>
      <c r="D430" s="127" t="s">
        <v>135</v>
      </c>
      <c r="E430" s="127" t="s">
        <v>21</v>
      </c>
      <c r="F430" s="129">
        <v>1887</v>
      </c>
      <c r="G430" s="129">
        <v>2180</v>
      </c>
      <c r="H430" s="129">
        <v>28</v>
      </c>
      <c r="I430" s="129">
        <v>58600</v>
      </c>
      <c r="J430" s="129" t="b">
        <v>0</v>
      </c>
      <c r="K430" s="129" t="b">
        <v>0</v>
      </c>
      <c r="L430" s="129">
        <v>200</v>
      </c>
      <c r="M430" s="129">
        <v>0</v>
      </c>
      <c r="N430" s="129">
        <v>2092.86</v>
      </c>
      <c r="O430" s="129">
        <v>0</v>
      </c>
      <c r="P430" s="129">
        <v>0</v>
      </c>
      <c r="Q430" s="129">
        <v>58600</v>
      </c>
      <c r="R430" s="127" t="s">
        <v>136</v>
      </c>
      <c r="S430" s="129">
        <v>0</v>
      </c>
      <c r="T430" s="129">
        <v>0</v>
      </c>
      <c r="U430" s="129">
        <v>0</v>
      </c>
      <c r="V430" s="129" t="b">
        <v>0</v>
      </c>
      <c r="W430" s="129">
        <v>90753611</v>
      </c>
      <c r="X430" s="129">
        <v>0</v>
      </c>
      <c r="Y430" s="129">
        <v>0</v>
      </c>
      <c r="Z430" s="129"/>
      <c r="AA430" s="129">
        <v>0</v>
      </c>
      <c r="AB430" s="129" t="b">
        <v>0</v>
      </c>
      <c r="AC430" s="127" t="s">
        <v>142</v>
      </c>
      <c r="AD430" s="127" t="s">
        <v>142</v>
      </c>
      <c r="AE430" s="127" t="s">
        <v>142</v>
      </c>
      <c r="AF430" s="129">
        <v>293</v>
      </c>
      <c r="AG430" s="144">
        <v>38134</v>
      </c>
      <c r="AH430" s="129"/>
    </row>
    <row r="431" spans="1:34" x14ac:dyDescent="0.2">
      <c r="A431" s="127" t="s">
        <v>135</v>
      </c>
      <c r="B431" s="128">
        <v>38105.406909722224</v>
      </c>
      <c r="C431" s="127" t="s">
        <v>274</v>
      </c>
      <c r="D431" s="127" t="s">
        <v>135</v>
      </c>
      <c r="E431" s="127" t="s">
        <v>21</v>
      </c>
      <c r="F431" s="129">
        <v>1573</v>
      </c>
      <c r="G431" s="129">
        <v>1887</v>
      </c>
      <c r="H431" s="129">
        <v>35</v>
      </c>
      <c r="I431" s="129">
        <v>62800</v>
      </c>
      <c r="J431" s="129" t="b">
        <v>0</v>
      </c>
      <c r="K431" s="129" t="b">
        <v>0</v>
      </c>
      <c r="L431" s="129">
        <v>200</v>
      </c>
      <c r="M431" s="129">
        <v>0</v>
      </c>
      <c r="N431" s="129">
        <v>1794.29</v>
      </c>
      <c r="O431" s="129">
        <v>0</v>
      </c>
      <c r="P431" s="129">
        <v>0</v>
      </c>
      <c r="Q431" s="129">
        <v>62800</v>
      </c>
      <c r="R431" s="127" t="s">
        <v>136</v>
      </c>
      <c r="S431" s="129">
        <v>0</v>
      </c>
      <c r="T431" s="129">
        <v>0</v>
      </c>
      <c r="U431" s="129">
        <v>0</v>
      </c>
      <c r="V431" s="129" t="b">
        <v>0</v>
      </c>
      <c r="W431" s="129">
        <v>90672782</v>
      </c>
      <c r="X431" s="129">
        <v>0</v>
      </c>
      <c r="Y431" s="129">
        <v>0</v>
      </c>
      <c r="Z431" s="129"/>
      <c r="AA431" s="129">
        <v>0</v>
      </c>
      <c r="AB431" s="129" t="b">
        <v>0</v>
      </c>
      <c r="AC431" s="127" t="s">
        <v>142</v>
      </c>
      <c r="AD431" s="127" t="s">
        <v>142</v>
      </c>
      <c r="AE431" s="127" t="s">
        <v>142</v>
      </c>
      <c r="AF431" s="129">
        <v>314</v>
      </c>
      <c r="AG431" s="144">
        <v>38106</v>
      </c>
      <c r="AH431" s="129"/>
    </row>
    <row r="432" spans="1:34" x14ac:dyDescent="0.2">
      <c r="A432" s="127" t="s">
        <v>135</v>
      </c>
      <c r="B432" s="128">
        <v>38070.41777777778</v>
      </c>
      <c r="C432" s="127" t="s">
        <v>274</v>
      </c>
      <c r="D432" s="127" t="s">
        <v>135</v>
      </c>
      <c r="E432" s="127" t="s">
        <v>21</v>
      </c>
      <c r="F432" s="129">
        <v>1323</v>
      </c>
      <c r="G432" s="129">
        <v>1573</v>
      </c>
      <c r="H432" s="129">
        <v>28</v>
      </c>
      <c r="I432" s="129">
        <v>50000</v>
      </c>
      <c r="J432" s="129" t="b">
        <v>0</v>
      </c>
      <c r="K432" s="129" t="b">
        <v>0</v>
      </c>
      <c r="L432" s="129">
        <v>200</v>
      </c>
      <c r="M432" s="129">
        <v>0</v>
      </c>
      <c r="N432" s="129">
        <v>1785.71</v>
      </c>
      <c r="O432" s="129">
        <v>0</v>
      </c>
      <c r="P432" s="129">
        <v>0</v>
      </c>
      <c r="Q432" s="129">
        <v>50000</v>
      </c>
      <c r="R432" s="127" t="s">
        <v>136</v>
      </c>
      <c r="S432" s="129">
        <v>0</v>
      </c>
      <c r="T432" s="129">
        <v>0</v>
      </c>
      <c r="U432" s="129">
        <v>0</v>
      </c>
      <c r="V432" s="129" t="b">
        <v>0</v>
      </c>
      <c r="W432" s="129">
        <v>90591208</v>
      </c>
      <c r="X432" s="129">
        <v>0</v>
      </c>
      <c r="Y432" s="129">
        <v>0</v>
      </c>
      <c r="Z432" s="129"/>
      <c r="AA432" s="129">
        <v>0</v>
      </c>
      <c r="AB432" s="129" t="b">
        <v>0</v>
      </c>
      <c r="AC432" s="127" t="s">
        <v>142</v>
      </c>
      <c r="AD432" s="127" t="s">
        <v>142</v>
      </c>
      <c r="AE432" s="127" t="s">
        <v>142</v>
      </c>
      <c r="AF432" s="129">
        <v>250</v>
      </c>
      <c r="AG432" s="144">
        <v>38075</v>
      </c>
      <c r="AH432" s="129"/>
    </row>
    <row r="433" spans="1:34" x14ac:dyDescent="0.2">
      <c r="A433" s="127" t="s">
        <v>135</v>
      </c>
      <c r="B433" s="128">
        <v>38042.418854166666</v>
      </c>
      <c r="C433" s="127" t="s">
        <v>274</v>
      </c>
      <c r="D433" s="127" t="s">
        <v>135</v>
      </c>
      <c r="E433" s="127" t="s">
        <v>21</v>
      </c>
      <c r="F433" s="129">
        <v>1043</v>
      </c>
      <c r="G433" s="129">
        <v>1323</v>
      </c>
      <c r="H433" s="129">
        <v>29</v>
      </c>
      <c r="I433" s="129">
        <v>56000</v>
      </c>
      <c r="J433" s="129" t="b">
        <v>0</v>
      </c>
      <c r="K433" s="129" t="b">
        <v>0</v>
      </c>
      <c r="L433" s="129">
        <v>200</v>
      </c>
      <c r="M433" s="129">
        <v>0</v>
      </c>
      <c r="N433" s="129">
        <v>1931.03</v>
      </c>
      <c r="O433" s="129">
        <v>0</v>
      </c>
      <c r="P433" s="129">
        <v>0</v>
      </c>
      <c r="Q433" s="129">
        <v>56000</v>
      </c>
      <c r="R433" s="127" t="s">
        <v>136</v>
      </c>
      <c r="S433" s="129">
        <v>0</v>
      </c>
      <c r="T433" s="129">
        <v>0</v>
      </c>
      <c r="U433" s="129">
        <v>0</v>
      </c>
      <c r="V433" s="129" t="b">
        <v>0</v>
      </c>
      <c r="W433" s="129">
        <v>90498793</v>
      </c>
      <c r="X433" s="129">
        <v>0</v>
      </c>
      <c r="Y433" s="129">
        <v>0</v>
      </c>
      <c r="Z433" s="129"/>
      <c r="AA433" s="129">
        <v>0</v>
      </c>
      <c r="AB433" s="129" t="b">
        <v>0</v>
      </c>
      <c r="AC433" s="127" t="s">
        <v>142</v>
      </c>
      <c r="AD433" s="127" t="s">
        <v>142</v>
      </c>
      <c r="AE433" s="127" t="s">
        <v>142</v>
      </c>
      <c r="AF433" s="129">
        <v>280</v>
      </c>
      <c r="AG433" s="144">
        <v>38044</v>
      </c>
      <c r="AH433" s="129"/>
    </row>
    <row r="434" spans="1:34" x14ac:dyDescent="0.2">
      <c r="A434" s="127" t="s">
        <v>135</v>
      </c>
      <c r="B434" s="128">
        <v>38013.497013888889</v>
      </c>
      <c r="C434" s="127" t="s">
        <v>274</v>
      </c>
      <c r="D434" s="127" t="s">
        <v>135</v>
      </c>
      <c r="E434" s="127" t="s">
        <v>21</v>
      </c>
      <c r="F434" s="129">
        <v>775</v>
      </c>
      <c r="G434" s="129">
        <v>1043</v>
      </c>
      <c r="H434" s="129">
        <v>29</v>
      </c>
      <c r="I434" s="129">
        <v>53600</v>
      </c>
      <c r="J434" s="129" t="b">
        <v>0</v>
      </c>
      <c r="K434" s="129" t="b">
        <v>0</v>
      </c>
      <c r="L434" s="129">
        <v>200</v>
      </c>
      <c r="M434" s="129">
        <v>0</v>
      </c>
      <c r="N434" s="129">
        <v>1848.28</v>
      </c>
      <c r="O434" s="129">
        <v>0</v>
      </c>
      <c r="P434" s="129">
        <v>0</v>
      </c>
      <c r="Q434" s="129">
        <v>53600</v>
      </c>
      <c r="R434" s="127" t="s">
        <v>136</v>
      </c>
      <c r="S434" s="129">
        <v>0</v>
      </c>
      <c r="T434" s="129">
        <v>0</v>
      </c>
      <c r="U434" s="129">
        <v>0</v>
      </c>
      <c r="V434" s="129" t="b">
        <v>0</v>
      </c>
      <c r="W434" s="129">
        <v>90412616</v>
      </c>
      <c r="X434" s="129">
        <v>0</v>
      </c>
      <c r="Y434" s="129">
        <v>0</v>
      </c>
      <c r="Z434" s="129"/>
      <c r="AA434" s="129">
        <v>0</v>
      </c>
      <c r="AB434" s="129" t="b">
        <v>0</v>
      </c>
      <c r="AC434" s="127" t="s">
        <v>142</v>
      </c>
      <c r="AD434" s="127" t="s">
        <v>142</v>
      </c>
      <c r="AE434" s="127" t="s">
        <v>142</v>
      </c>
      <c r="AF434" s="129">
        <v>268</v>
      </c>
      <c r="AG434" s="144">
        <v>38015</v>
      </c>
      <c r="AH434" s="129"/>
    </row>
    <row r="435" spans="1:34" x14ac:dyDescent="0.2">
      <c r="A435" s="127" t="s">
        <v>135</v>
      </c>
      <c r="B435" s="128">
        <v>37984.434560185182</v>
      </c>
      <c r="C435" s="127" t="s">
        <v>274</v>
      </c>
      <c r="D435" s="127" t="s">
        <v>135</v>
      </c>
      <c r="E435" s="127" t="s">
        <v>21</v>
      </c>
      <c r="F435" s="129">
        <v>492</v>
      </c>
      <c r="G435" s="129">
        <v>775</v>
      </c>
      <c r="H435" s="129">
        <v>35</v>
      </c>
      <c r="I435" s="129">
        <v>56600</v>
      </c>
      <c r="J435" s="129" t="b">
        <v>0</v>
      </c>
      <c r="K435" s="129" t="b">
        <v>0</v>
      </c>
      <c r="L435" s="129">
        <v>200</v>
      </c>
      <c r="M435" s="129">
        <v>0</v>
      </c>
      <c r="N435" s="129">
        <v>1617.14</v>
      </c>
      <c r="O435" s="129">
        <v>0</v>
      </c>
      <c r="P435" s="129">
        <v>0</v>
      </c>
      <c r="Q435" s="129">
        <v>56600</v>
      </c>
      <c r="R435" s="127" t="s">
        <v>136</v>
      </c>
      <c r="S435" s="129">
        <v>0</v>
      </c>
      <c r="T435" s="129">
        <v>0</v>
      </c>
      <c r="U435" s="129">
        <v>0</v>
      </c>
      <c r="V435" s="129" t="b">
        <v>0</v>
      </c>
      <c r="W435" s="129">
        <v>90327781</v>
      </c>
      <c r="X435" s="129">
        <v>0</v>
      </c>
      <c r="Y435" s="129">
        <v>0</v>
      </c>
      <c r="Z435" s="129"/>
      <c r="AA435" s="129">
        <v>0</v>
      </c>
      <c r="AB435" s="129" t="b">
        <v>0</v>
      </c>
      <c r="AC435" s="127" t="s">
        <v>142</v>
      </c>
      <c r="AD435" s="127" t="s">
        <v>142</v>
      </c>
      <c r="AE435" s="127" t="s">
        <v>142</v>
      </c>
      <c r="AF435" s="129">
        <v>283</v>
      </c>
      <c r="AG435" s="144">
        <v>37985</v>
      </c>
      <c r="AH435" s="129"/>
    </row>
    <row r="436" spans="1:34" x14ac:dyDescent="0.2">
      <c r="A436" s="127" t="s">
        <v>135</v>
      </c>
      <c r="B436" s="128">
        <v>37949.458460648151</v>
      </c>
      <c r="C436" s="127" t="s">
        <v>274</v>
      </c>
      <c r="D436" s="127" t="s">
        <v>135</v>
      </c>
      <c r="E436" s="127" t="s">
        <v>21</v>
      </c>
      <c r="F436" s="129">
        <v>225</v>
      </c>
      <c r="G436" s="129">
        <v>492</v>
      </c>
      <c r="H436" s="129">
        <v>28</v>
      </c>
      <c r="I436" s="129">
        <v>53400</v>
      </c>
      <c r="J436" s="129" t="b">
        <v>0</v>
      </c>
      <c r="K436" s="129" t="b">
        <v>0</v>
      </c>
      <c r="L436" s="129">
        <v>200</v>
      </c>
      <c r="M436" s="129">
        <v>0</v>
      </c>
      <c r="N436" s="129">
        <v>1907.14</v>
      </c>
      <c r="O436" s="129">
        <v>0</v>
      </c>
      <c r="P436" s="129">
        <v>0</v>
      </c>
      <c r="Q436" s="129">
        <v>53400</v>
      </c>
      <c r="R436" s="127" t="s">
        <v>136</v>
      </c>
      <c r="S436" s="129">
        <v>0</v>
      </c>
      <c r="T436" s="129">
        <v>0</v>
      </c>
      <c r="U436" s="129">
        <v>0</v>
      </c>
      <c r="V436" s="129" t="b">
        <v>0</v>
      </c>
      <c r="W436" s="129">
        <v>90239678</v>
      </c>
      <c r="X436" s="129">
        <v>0</v>
      </c>
      <c r="Y436" s="129">
        <v>0</v>
      </c>
      <c r="Z436" s="129"/>
      <c r="AA436" s="129">
        <v>0</v>
      </c>
      <c r="AB436" s="129" t="b">
        <v>0</v>
      </c>
      <c r="AC436" s="127" t="s">
        <v>142</v>
      </c>
      <c r="AD436" s="127" t="s">
        <v>142</v>
      </c>
      <c r="AE436" s="127" t="s">
        <v>142</v>
      </c>
      <c r="AF436" s="129">
        <v>267</v>
      </c>
      <c r="AG436" s="144">
        <v>37950</v>
      </c>
      <c r="AH436" s="129"/>
    </row>
    <row r="437" spans="1:34" x14ac:dyDescent="0.2">
      <c r="A437" s="127" t="s">
        <v>135</v>
      </c>
      <c r="B437" s="128">
        <v>37921.448229166665</v>
      </c>
      <c r="C437" s="127" t="s">
        <v>274</v>
      </c>
      <c r="D437" s="127" t="s">
        <v>135</v>
      </c>
      <c r="E437" s="127" t="s">
        <v>21</v>
      </c>
      <c r="F437" s="129">
        <v>9942</v>
      </c>
      <c r="G437" s="129">
        <v>225</v>
      </c>
      <c r="H437" s="129">
        <v>31</v>
      </c>
      <c r="I437" s="129">
        <v>56600</v>
      </c>
      <c r="J437" s="129" t="b">
        <v>0</v>
      </c>
      <c r="K437" s="129" t="b">
        <v>0</v>
      </c>
      <c r="L437" s="129">
        <v>200</v>
      </c>
      <c r="M437" s="129">
        <v>0</v>
      </c>
      <c r="N437" s="129">
        <v>1825.81</v>
      </c>
      <c r="O437" s="129">
        <v>0</v>
      </c>
      <c r="P437" s="129">
        <v>0</v>
      </c>
      <c r="Q437" s="129">
        <v>56600</v>
      </c>
      <c r="R437" s="127" t="s">
        <v>136</v>
      </c>
      <c r="S437" s="129">
        <v>0</v>
      </c>
      <c r="T437" s="129">
        <v>0</v>
      </c>
      <c r="U437" s="129">
        <v>0</v>
      </c>
      <c r="V437" s="129" t="b">
        <v>0</v>
      </c>
      <c r="W437" s="129">
        <v>90155810</v>
      </c>
      <c r="X437" s="129">
        <v>0</v>
      </c>
      <c r="Y437" s="129">
        <v>0</v>
      </c>
      <c r="Z437" s="129"/>
      <c r="AA437" s="129">
        <v>0</v>
      </c>
      <c r="AB437" s="129" t="b">
        <v>0</v>
      </c>
      <c r="AC437" s="127" t="s">
        <v>142</v>
      </c>
      <c r="AD437" s="127" t="s">
        <v>142</v>
      </c>
      <c r="AE437" s="127" t="s">
        <v>142</v>
      </c>
      <c r="AF437" s="129">
        <v>283</v>
      </c>
      <c r="AG437" s="144">
        <v>37923</v>
      </c>
      <c r="AH437" s="129"/>
    </row>
    <row r="438" spans="1:34" x14ac:dyDescent="0.2">
      <c r="A438" s="127" t="s">
        <v>135</v>
      </c>
      <c r="B438" s="128">
        <v>37890.424641203703</v>
      </c>
      <c r="C438" s="127" t="s">
        <v>274</v>
      </c>
      <c r="D438" s="127" t="s">
        <v>135</v>
      </c>
      <c r="E438" s="127" t="s">
        <v>21</v>
      </c>
      <c r="F438" s="129">
        <v>9594</v>
      </c>
      <c r="G438" s="129">
        <v>9942</v>
      </c>
      <c r="H438" s="129">
        <v>31</v>
      </c>
      <c r="I438" s="129">
        <v>69600</v>
      </c>
      <c r="J438" s="129" t="b">
        <v>0</v>
      </c>
      <c r="K438" s="129" t="b">
        <v>0</v>
      </c>
      <c r="L438" s="129">
        <v>200</v>
      </c>
      <c r="M438" s="129">
        <v>0</v>
      </c>
      <c r="N438" s="129">
        <v>2245.16</v>
      </c>
      <c r="O438" s="129">
        <v>0</v>
      </c>
      <c r="P438" s="129">
        <v>0</v>
      </c>
      <c r="Q438" s="129">
        <v>69600</v>
      </c>
      <c r="R438" s="127" t="s">
        <v>136</v>
      </c>
      <c r="S438" s="129">
        <v>0</v>
      </c>
      <c r="T438" s="129">
        <v>0</v>
      </c>
      <c r="U438" s="129">
        <v>0</v>
      </c>
      <c r="V438" s="129" t="b">
        <v>0</v>
      </c>
      <c r="W438" s="129">
        <v>90073699</v>
      </c>
      <c r="X438" s="129">
        <v>0</v>
      </c>
      <c r="Y438" s="129">
        <v>0</v>
      </c>
      <c r="Z438" s="129"/>
      <c r="AA438" s="129">
        <v>0</v>
      </c>
      <c r="AB438" s="129" t="b">
        <v>0</v>
      </c>
      <c r="AC438" s="127" t="s">
        <v>142</v>
      </c>
      <c r="AD438" s="127" t="s">
        <v>142</v>
      </c>
      <c r="AE438" s="127" t="s">
        <v>142</v>
      </c>
      <c r="AF438" s="129">
        <v>348</v>
      </c>
      <c r="AG438" s="144">
        <v>37893</v>
      </c>
      <c r="AH438" s="129"/>
    </row>
    <row r="439" spans="1:34" x14ac:dyDescent="0.2">
      <c r="A439" s="127" t="s">
        <v>135</v>
      </c>
      <c r="B439" s="128">
        <v>37859.417326388888</v>
      </c>
      <c r="C439" s="127" t="s">
        <v>274</v>
      </c>
      <c r="D439" s="127" t="s">
        <v>135</v>
      </c>
      <c r="E439" s="127" t="s">
        <v>21</v>
      </c>
      <c r="F439" s="129">
        <v>9229</v>
      </c>
      <c r="G439" s="129">
        <v>9594</v>
      </c>
      <c r="H439" s="129">
        <v>29</v>
      </c>
      <c r="I439" s="129">
        <v>73000</v>
      </c>
      <c r="J439" s="129" t="b">
        <v>0</v>
      </c>
      <c r="K439" s="129" t="b">
        <v>0</v>
      </c>
      <c r="L439" s="129">
        <v>200</v>
      </c>
      <c r="M439" s="129">
        <v>0</v>
      </c>
      <c r="N439" s="129">
        <v>2517.2399999999998</v>
      </c>
      <c r="O439" s="129">
        <v>0</v>
      </c>
      <c r="P439" s="129">
        <v>0</v>
      </c>
      <c r="Q439" s="129">
        <v>73000</v>
      </c>
      <c r="R439" s="127" t="s">
        <v>136</v>
      </c>
      <c r="S439" s="129">
        <v>0</v>
      </c>
      <c r="T439" s="129">
        <v>0</v>
      </c>
      <c r="U439" s="129">
        <v>0</v>
      </c>
      <c r="V439" s="129" t="b">
        <v>0</v>
      </c>
      <c r="W439" s="129">
        <v>81808360</v>
      </c>
      <c r="X439" s="129">
        <v>0</v>
      </c>
      <c r="Y439" s="129">
        <v>0</v>
      </c>
      <c r="Z439" s="129"/>
      <c r="AA439" s="129">
        <v>0</v>
      </c>
      <c r="AB439" s="129" t="b">
        <v>0</v>
      </c>
      <c r="AC439" s="127" t="s">
        <v>142</v>
      </c>
      <c r="AD439" s="127" t="s">
        <v>142</v>
      </c>
      <c r="AE439" s="127" t="s">
        <v>142</v>
      </c>
      <c r="AF439" s="129">
        <v>365</v>
      </c>
      <c r="AG439" s="144">
        <v>37861</v>
      </c>
      <c r="AH439" s="129"/>
    </row>
    <row r="440" spans="1:34" x14ac:dyDescent="0.2">
      <c r="A440" s="127" t="s">
        <v>135</v>
      </c>
      <c r="B440" s="128">
        <v>37830.531666666669</v>
      </c>
      <c r="C440" s="127" t="s">
        <v>274</v>
      </c>
      <c r="D440" s="127" t="s">
        <v>135</v>
      </c>
      <c r="E440" s="127" t="s">
        <v>21</v>
      </c>
      <c r="F440" s="129">
        <v>8892</v>
      </c>
      <c r="G440" s="129">
        <v>9229</v>
      </c>
      <c r="H440" s="129">
        <v>33</v>
      </c>
      <c r="I440" s="129">
        <v>67400</v>
      </c>
      <c r="J440" s="129" t="b">
        <v>0</v>
      </c>
      <c r="K440" s="129" t="b">
        <v>0</v>
      </c>
      <c r="L440" s="129">
        <v>200</v>
      </c>
      <c r="M440" s="129">
        <v>0</v>
      </c>
      <c r="N440" s="129">
        <v>2042.42</v>
      </c>
      <c r="O440" s="129">
        <v>0</v>
      </c>
      <c r="P440" s="129">
        <v>0</v>
      </c>
      <c r="Q440" s="129">
        <v>67400</v>
      </c>
      <c r="R440" s="127" t="s">
        <v>136</v>
      </c>
      <c r="S440" s="129">
        <v>0</v>
      </c>
      <c r="T440" s="129">
        <v>0</v>
      </c>
      <c r="U440" s="129">
        <v>0</v>
      </c>
      <c r="V440" s="129" t="b">
        <v>0</v>
      </c>
      <c r="W440" s="129">
        <v>81729389</v>
      </c>
      <c r="X440" s="129">
        <v>0</v>
      </c>
      <c r="Y440" s="129">
        <v>0</v>
      </c>
      <c r="Z440" s="129"/>
      <c r="AA440" s="129">
        <v>0</v>
      </c>
      <c r="AB440" s="129" t="b">
        <v>0</v>
      </c>
      <c r="AC440" s="127" t="s">
        <v>142</v>
      </c>
      <c r="AD440" s="127" t="s">
        <v>142</v>
      </c>
      <c r="AE440" s="127" t="s">
        <v>142</v>
      </c>
      <c r="AF440" s="129">
        <v>337</v>
      </c>
      <c r="AG440" s="144">
        <v>37832</v>
      </c>
      <c r="AH440" s="129"/>
    </row>
    <row r="441" spans="1:34" x14ac:dyDescent="0.2">
      <c r="A441" s="127" t="s">
        <v>135</v>
      </c>
      <c r="B441" s="128">
        <v>37797.426122685189</v>
      </c>
      <c r="C441" s="127" t="s">
        <v>274</v>
      </c>
      <c r="D441" s="127" t="s">
        <v>135</v>
      </c>
      <c r="E441" s="127" t="s">
        <v>21</v>
      </c>
      <c r="F441" s="129">
        <v>8583</v>
      </c>
      <c r="G441" s="129">
        <v>8892</v>
      </c>
      <c r="H441" s="129">
        <v>33</v>
      </c>
      <c r="I441" s="129">
        <v>61800</v>
      </c>
      <c r="J441" s="129" t="b">
        <v>0</v>
      </c>
      <c r="K441" s="129" t="b">
        <v>0</v>
      </c>
      <c r="L441" s="129">
        <v>200</v>
      </c>
      <c r="M441" s="129">
        <v>0</v>
      </c>
      <c r="N441" s="129">
        <v>1872.73</v>
      </c>
      <c r="O441" s="129">
        <v>0</v>
      </c>
      <c r="P441" s="129">
        <v>0</v>
      </c>
      <c r="Q441" s="129">
        <v>61800</v>
      </c>
      <c r="R441" s="127" t="s">
        <v>136</v>
      </c>
      <c r="S441" s="129">
        <v>0</v>
      </c>
      <c r="T441" s="129">
        <v>0</v>
      </c>
      <c r="U441" s="129">
        <v>0</v>
      </c>
      <c r="V441" s="129" t="b">
        <v>0</v>
      </c>
      <c r="W441" s="129">
        <v>81645916</v>
      </c>
      <c r="X441" s="129">
        <v>0</v>
      </c>
      <c r="Y441" s="129">
        <v>0</v>
      </c>
      <c r="Z441" s="129"/>
      <c r="AA441" s="129">
        <v>0</v>
      </c>
      <c r="AB441" s="129" t="b">
        <v>0</v>
      </c>
      <c r="AC441" s="127" t="s">
        <v>142</v>
      </c>
      <c r="AD441" s="127" t="s">
        <v>142</v>
      </c>
      <c r="AE441" s="127" t="s">
        <v>142</v>
      </c>
      <c r="AF441" s="129">
        <v>309</v>
      </c>
      <c r="AG441" s="144">
        <v>37799</v>
      </c>
      <c r="AH441" s="129"/>
    </row>
    <row r="442" spans="1:34" x14ac:dyDescent="0.2">
      <c r="A442" s="127" t="s">
        <v>135</v>
      </c>
      <c r="B442" s="128">
        <v>37764.411979166667</v>
      </c>
      <c r="C442" s="127" t="s">
        <v>274</v>
      </c>
      <c r="D442" s="127" t="s">
        <v>135</v>
      </c>
      <c r="E442" s="127" t="s">
        <v>21</v>
      </c>
      <c r="F442" s="129">
        <v>8280</v>
      </c>
      <c r="G442" s="129">
        <v>8583</v>
      </c>
      <c r="H442" s="129">
        <v>31</v>
      </c>
      <c r="I442" s="129">
        <v>60600</v>
      </c>
      <c r="J442" s="129" t="b">
        <v>0</v>
      </c>
      <c r="K442" s="129" t="b">
        <v>0</v>
      </c>
      <c r="L442" s="129">
        <v>200</v>
      </c>
      <c r="M442" s="129">
        <v>0</v>
      </c>
      <c r="N442" s="129">
        <v>1954.84</v>
      </c>
      <c r="O442" s="129">
        <v>0</v>
      </c>
      <c r="P442" s="129">
        <v>0</v>
      </c>
      <c r="Q442" s="129">
        <v>60600</v>
      </c>
      <c r="R442" s="127" t="s">
        <v>136</v>
      </c>
      <c r="S442" s="129">
        <v>0</v>
      </c>
      <c r="T442" s="129">
        <v>0</v>
      </c>
      <c r="U442" s="129">
        <v>0</v>
      </c>
      <c r="V442" s="129" t="b">
        <v>0</v>
      </c>
      <c r="W442" s="129">
        <v>81559535</v>
      </c>
      <c r="X442" s="129">
        <v>0</v>
      </c>
      <c r="Y442" s="129">
        <v>0</v>
      </c>
      <c r="Z442" s="129"/>
      <c r="AA442" s="129">
        <v>0</v>
      </c>
      <c r="AB442" s="129" t="b">
        <v>0</v>
      </c>
      <c r="AC442" s="127" t="s">
        <v>142</v>
      </c>
      <c r="AD442" s="127" t="s">
        <v>142</v>
      </c>
      <c r="AE442" s="127" t="s">
        <v>142</v>
      </c>
      <c r="AF442" s="129">
        <v>303</v>
      </c>
      <c r="AG442" s="144">
        <v>37771</v>
      </c>
      <c r="AH442" s="129"/>
    </row>
    <row r="443" spans="1:34" x14ac:dyDescent="0.2">
      <c r="A443" s="127" t="s">
        <v>135</v>
      </c>
      <c r="B443" s="128">
        <v>37733</v>
      </c>
      <c r="C443" s="127" t="s">
        <v>274</v>
      </c>
      <c r="D443" s="127" t="s">
        <v>135</v>
      </c>
      <c r="E443" s="127" t="s">
        <v>21</v>
      </c>
      <c r="F443" s="129">
        <v>7945</v>
      </c>
      <c r="G443" s="129">
        <v>8280</v>
      </c>
      <c r="H443" s="129">
        <v>32</v>
      </c>
      <c r="I443" s="129">
        <v>67000</v>
      </c>
      <c r="J443" s="129" t="b">
        <v>0</v>
      </c>
      <c r="K443" s="129" t="b">
        <v>0</v>
      </c>
      <c r="L443" s="129">
        <v>200</v>
      </c>
      <c r="M443" s="129">
        <v>0</v>
      </c>
      <c r="N443" s="129">
        <v>2093.75</v>
      </c>
      <c r="O443" s="129">
        <v>0</v>
      </c>
      <c r="P443" s="129">
        <v>0</v>
      </c>
      <c r="Q443" s="129">
        <v>67000</v>
      </c>
      <c r="R443" s="127" t="s">
        <v>136</v>
      </c>
      <c r="S443" s="129">
        <v>0</v>
      </c>
      <c r="T443" s="129">
        <v>0</v>
      </c>
      <c r="U443" s="129">
        <v>0</v>
      </c>
      <c r="V443" s="129" t="b">
        <v>0</v>
      </c>
      <c r="W443" s="129">
        <v>0</v>
      </c>
      <c r="X443" s="129">
        <v>0</v>
      </c>
      <c r="Y443" s="129">
        <v>0</v>
      </c>
      <c r="Z443" s="129"/>
      <c r="AA443" s="129">
        <v>0</v>
      </c>
      <c r="AB443" s="129" t="b">
        <v>0</v>
      </c>
      <c r="AC443" s="127" t="s">
        <v>142</v>
      </c>
      <c r="AD443" s="127" t="s">
        <v>142</v>
      </c>
      <c r="AE443" s="127" t="s">
        <v>142</v>
      </c>
      <c r="AF443" s="129">
        <v>335</v>
      </c>
      <c r="AG443" s="129" t="s">
        <v>257</v>
      </c>
      <c r="AH443" s="129"/>
    </row>
    <row r="444" spans="1:34" x14ac:dyDescent="0.2">
      <c r="A444" s="127" t="s">
        <v>135</v>
      </c>
      <c r="B444" s="128">
        <v>37701</v>
      </c>
      <c r="C444" s="127" t="s">
        <v>274</v>
      </c>
      <c r="D444" s="127" t="s">
        <v>135</v>
      </c>
      <c r="E444" s="127" t="s">
        <v>21</v>
      </c>
      <c r="F444" s="129">
        <v>7646</v>
      </c>
      <c r="G444" s="129">
        <v>7945</v>
      </c>
      <c r="H444" s="129">
        <v>28</v>
      </c>
      <c r="I444" s="129">
        <v>59800</v>
      </c>
      <c r="J444" s="129" t="b">
        <v>0</v>
      </c>
      <c r="K444" s="129" t="b">
        <v>0</v>
      </c>
      <c r="L444" s="129">
        <v>200</v>
      </c>
      <c r="M444" s="129">
        <v>0</v>
      </c>
      <c r="N444" s="129">
        <v>2135.71</v>
      </c>
      <c r="O444" s="129">
        <v>0</v>
      </c>
      <c r="P444" s="129">
        <v>0</v>
      </c>
      <c r="Q444" s="129">
        <v>59800</v>
      </c>
      <c r="R444" s="127" t="s">
        <v>136</v>
      </c>
      <c r="S444" s="129">
        <v>0</v>
      </c>
      <c r="T444" s="129">
        <v>0</v>
      </c>
      <c r="U444" s="129">
        <v>0</v>
      </c>
      <c r="V444" s="129" t="b">
        <v>0</v>
      </c>
      <c r="W444" s="129">
        <v>0</v>
      </c>
      <c r="X444" s="129">
        <v>0</v>
      </c>
      <c r="Y444" s="129">
        <v>0</v>
      </c>
      <c r="Z444" s="129"/>
      <c r="AA444" s="129">
        <v>0</v>
      </c>
      <c r="AB444" s="129" t="b">
        <v>0</v>
      </c>
      <c r="AC444" s="127" t="s">
        <v>142</v>
      </c>
      <c r="AD444" s="127" t="s">
        <v>142</v>
      </c>
      <c r="AE444" s="127" t="s">
        <v>142</v>
      </c>
      <c r="AF444" s="129">
        <v>299</v>
      </c>
      <c r="AG444" s="129" t="s">
        <v>257</v>
      </c>
      <c r="AH444" s="129"/>
    </row>
    <row r="445" spans="1:34" x14ac:dyDescent="0.2">
      <c r="A445" s="127" t="s">
        <v>135</v>
      </c>
      <c r="B445" s="128">
        <v>37673</v>
      </c>
      <c r="C445" s="127" t="s">
        <v>274</v>
      </c>
      <c r="D445" s="127" t="s">
        <v>135</v>
      </c>
      <c r="E445" s="127" t="s">
        <v>21</v>
      </c>
      <c r="F445" s="129">
        <v>7293</v>
      </c>
      <c r="G445" s="129">
        <v>7646</v>
      </c>
      <c r="H445" s="129">
        <v>31</v>
      </c>
      <c r="I445" s="129">
        <v>70600</v>
      </c>
      <c r="J445" s="129" t="b">
        <v>0</v>
      </c>
      <c r="K445" s="129" t="b">
        <v>0</v>
      </c>
      <c r="L445" s="129">
        <v>200</v>
      </c>
      <c r="M445" s="129">
        <v>0</v>
      </c>
      <c r="N445" s="129">
        <v>2277.42</v>
      </c>
      <c r="O445" s="129">
        <v>0</v>
      </c>
      <c r="P445" s="129">
        <v>0</v>
      </c>
      <c r="Q445" s="129">
        <v>70600</v>
      </c>
      <c r="R445" s="127" t="s">
        <v>136</v>
      </c>
      <c r="S445" s="129">
        <v>0</v>
      </c>
      <c r="T445" s="129">
        <v>0</v>
      </c>
      <c r="U445" s="129">
        <v>0</v>
      </c>
      <c r="V445" s="129" t="b">
        <v>0</v>
      </c>
      <c r="W445" s="129">
        <v>0</v>
      </c>
      <c r="X445" s="129">
        <v>0</v>
      </c>
      <c r="Y445" s="129">
        <v>0</v>
      </c>
      <c r="Z445" s="129"/>
      <c r="AA445" s="129">
        <v>0</v>
      </c>
      <c r="AB445" s="129" t="b">
        <v>0</v>
      </c>
      <c r="AC445" s="127" t="s">
        <v>142</v>
      </c>
      <c r="AD445" s="127" t="s">
        <v>142</v>
      </c>
      <c r="AE445" s="127" t="s">
        <v>142</v>
      </c>
      <c r="AF445" s="129">
        <v>353</v>
      </c>
      <c r="AG445" s="129" t="s">
        <v>257</v>
      </c>
      <c r="AH445" s="129"/>
    </row>
    <row r="446" spans="1:34" x14ac:dyDescent="0.2">
      <c r="A446" s="127" t="s">
        <v>135</v>
      </c>
      <c r="B446" s="128">
        <v>37642</v>
      </c>
      <c r="C446" s="127" t="s">
        <v>274</v>
      </c>
      <c r="D446" s="127" t="s">
        <v>135</v>
      </c>
      <c r="E446" s="127" t="s">
        <v>21</v>
      </c>
      <c r="F446" s="129">
        <v>6967</v>
      </c>
      <c r="G446" s="129">
        <v>7293</v>
      </c>
      <c r="H446" s="129">
        <v>33</v>
      </c>
      <c r="I446" s="129">
        <v>65200</v>
      </c>
      <c r="J446" s="129" t="b">
        <v>0</v>
      </c>
      <c r="K446" s="129" t="b">
        <v>0</v>
      </c>
      <c r="L446" s="129">
        <v>200</v>
      </c>
      <c r="M446" s="129">
        <v>0</v>
      </c>
      <c r="N446" s="129">
        <v>1975.76</v>
      </c>
      <c r="O446" s="129">
        <v>0</v>
      </c>
      <c r="P446" s="129">
        <v>0</v>
      </c>
      <c r="Q446" s="129">
        <v>65200</v>
      </c>
      <c r="R446" s="127" t="s">
        <v>136</v>
      </c>
      <c r="S446" s="129">
        <v>0</v>
      </c>
      <c r="T446" s="129">
        <v>0</v>
      </c>
      <c r="U446" s="129">
        <v>0</v>
      </c>
      <c r="V446" s="129" t="b">
        <v>0</v>
      </c>
      <c r="W446" s="129">
        <v>0</v>
      </c>
      <c r="X446" s="129">
        <v>0</v>
      </c>
      <c r="Y446" s="129">
        <v>0</v>
      </c>
      <c r="Z446" s="129"/>
      <c r="AA446" s="129">
        <v>0</v>
      </c>
      <c r="AB446" s="129" t="b">
        <v>0</v>
      </c>
      <c r="AC446" s="127" t="s">
        <v>142</v>
      </c>
      <c r="AD446" s="127" t="s">
        <v>142</v>
      </c>
      <c r="AE446" s="127" t="s">
        <v>142</v>
      </c>
      <c r="AF446" s="129">
        <v>326</v>
      </c>
      <c r="AG446" s="129" t="s">
        <v>257</v>
      </c>
      <c r="AH446" s="129"/>
    </row>
    <row r="447" spans="1:34" x14ac:dyDescent="0.2">
      <c r="A447" s="127" t="s">
        <v>135</v>
      </c>
      <c r="B447" s="128">
        <v>37609</v>
      </c>
      <c r="C447" s="127" t="s">
        <v>274</v>
      </c>
      <c r="D447" s="127" t="s">
        <v>135</v>
      </c>
      <c r="E447" s="127" t="s">
        <v>21</v>
      </c>
      <c r="F447" s="129">
        <v>6623</v>
      </c>
      <c r="G447" s="129">
        <v>6967</v>
      </c>
      <c r="H447" s="129">
        <v>31</v>
      </c>
      <c r="I447" s="129">
        <v>68800</v>
      </c>
      <c r="J447" s="129" t="b">
        <v>0</v>
      </c>
      <c r="K447" s="129" t="b">
        <v>0</v>
      </c>
      <c r="L447" s="129">
        <v>200</v>
      </c>
      <c r="M447" s="129">
        <v>0</v>
      </c>
      <c r="N447" s="129">
        <v>2219.35</v>
      </c>
      <c r="O447" s="129">
        <v>0</v>
      </c>
      <c r="P447" s="129">
        <v>0</v>
      </c>
      <c r="Q447" s="129">
        <v>68800</v>
      </c>
      <c r="R447" s="127" t="s">
        <v>136</v>
      </c>
      <c r="S447" s="129">
        <v>0</v>
      </c>
      <c r="T447" s="129">
        <v>0</v>
      </c>
      <c r="U447" s="129">
        <v>0</v>
      </c>
      <c r="V447" s="129" t="b">
        <v>0</v>
      </c>
      <c r="W447" s="129">
        <v>0</v>
      </c>
      <c r="X447" s="129">
        <v>0</v>
      </c>
      <c r="Y447" s="129">
        <v>0</v>
      </c>
      <c r="Z447" s="129"/>
      <c r="AA447" s="129">
        <v>0</v>
      </c>
      <c r="AB447" s="129" t="b">
        <v>0</v>
      </c>
      <c r="AC447" s="127" t="s">
        <v>142</v>
      </c>
      <c r="AD447" s="127" t="s">
        <v>142</v>
      </c>
      <c r="AE447" s="127" t="s">
        <v>142</v>
      </c>
      <c r="AF447" s="129">
        <v>344</v>
      </c>
      <c r="AG447" s="129" t="s">
        <v>257</v>
      </c>
      <c r="AH447" s="129"/>
    </row>
    <row r="448" spans="1:34" x14ac:dyDescent="0.2">
      <c r="A448" s="127" t="s">
        <v>135</v>
      </c>
      <c r="B448" s="128">
        <v>37578</v>
      </c>
      <c r="C448" s="127" t="s">
        <v>274</v>
      </c>
      <c r="D448" s="127" t="s">
        <v>135</v>
      </c>
      <c r="E448" s="127" t="s">
        <v>21</v>
      </c>
      <c r="F448" s="129">
        <v>6278</v>
      </c>
      <c r="G448" s="129">
        <v>6623</v>
      </c>
      <c r="H448" s="129">
        <v>32</v>
      </c>
      <c r="I448" s="129">
        <v>69000</v>
      </c>
      <c r="J448" s="129" t="b">
        <v>0</v>
      </c>
      <c r="K448" s="129" t="b">
        <v>0</v>
      </c>
      <c r="L448" s="129">
        <v>200</v>
      </c>
      <c r="M448" s="129">
        <v>0</v>
      </c>
      <c r="N448" s="129">
        <v>2156.25</v>
      </c>
      <c r="O448" s="129">
        <v>0</v>
      </c>
      <c r="P448" s="129">
        <v>0</v>
      </c>
      <c r="Q448" s="129">
        <v>69000</v>
      </c>
      <c r="R448" s="127" t="s">
        <v>136</v>
      </c>
      <c r="S448" s="129">
        <v>0</v>
      </c>
      <c r="T448" s="129">
        <v>0</v>
      </c>
      <c r="U448" s="129">
        <v>0</v>
      </c>
      <c r="V448" s="129" t="b">
        <v>0</v>
      </c>
      <c r="W448" s="129">
        <v>0</v>
      </c>
      <c r="X448" s="129">
        <v>0</v>
      </c>
      <c r="Y448" s="129">
        <v>0</v>
      </c>
      <c r="Z448" s="129"/>
      <c r="AA448" s="129">
        <v>0</v>
      </c>
      <c r="AB448" s="129" t="b">
        <v>0</v>
      </c>
      <c r="AC448" s="127" t="s">
        <v>142</v>
      </c>
      <c r="AD448" s="127" t="s">
        <v>142</v>
      </c>
      <c r="AE448" s="127" t="s">
        <v>142</v>
      </c>
      <c r="AF448" s="129">
        <v>345</v>
      </c>
      <c r="AG448" s="129" t="s">
        <v>257</v>
      </c>
      <c r="AH448" s="129"/>
    </row>
    <row r="449" spans="1:34" x14ac:dyDescent="0.2">
      <c r="A449" s="127" t="s">
        <v>135</v>
      </c>
      <c r="B449" s="128">
        <v>37546</v>
      </c>
      <c r="C449" s="127" t="s">
        <v>274</v>
      </c>
      <c r="D449" s="127" t="s">
        <v>135</v>
      </c>
      <c r="E449" s="127" t="s">
        <v>21</v>
      </c>
      <c r="F449" s="129">
        <v>5829</v>
      </c>
      <c r="G449" s="129">
        <v>6278</v>
      </c>
      <c r="H449" s="129">
        <v>27</v>
      </c>
      <c r="I449" s="129">
        <v>89800</v>
      </c>
      <c r="J449" s="129" t="b">
        <v>0</v>
      </c>
      <c r="K449" s="129" t="b">
        <v>0</v>
      </c>
      <c r="L449" s="129">
        <v>200</v>
      </c>
      <c r="M449" s="129">
        <v>0</v>
      </c>
      <c r="N449" s="129">
        <v>3325.93</v>
      </c>
      <c r="O449" s="129">
        <v>0</v>
      </c>
      <c r="P449" s="129">
        <v>0</v>
      </c>
      <c r="Q449" s="129">
        <v>89800</v>
      </c>
      <c r="R449" s="127" t="s">
        <v>136</v>
      </c>
      <c r="S449" s="129">
        <v>0</v>
      </c>
      <c r="T449" s="129">
        <v>0</v>
      </c>
      <c r="U449" s="129">
        <v>0</v>
      </c>
      <c r="V449" s="129" t="b">
        <v>0</v>
      </c>
      <c r="W449" s="129">
        <v>0</v>
      </c>
      <c r="X449" s="129">
        <v>0</v>
      </c>
      <c r="Y449" s="129">
        <v>0</v>
      </c>
      <c r="Z449" s="129"/>
      <c r="AA449" s="129">
        <v>0</v>
      </c>
      <c r="AB449" s="129" t="b">
        <v>0</v>
      </c>
      <c r="AC449" s="127" t="s">
        <v>142</v>
      </c>
      <c r="AD449" s="127" t="s">
        <v>142</v>
      </c>
      <c r="AE449" s="127" t="s">
        <v>142</v>
      </c>
      <c r="AF449" s="129">
        <v>449</v>
      </c>
      <c r="AG449" s="129" t="s">
        <v>257</v>
      </c>
      <c r="AH449" s="129"/>
    </row>
    <row r="450" spans="1:34" x14ac:dyDescent="0.2">
      <c r="A450" s="127" t="s">
        <v>135</v>
      </c>
      <c r="B450" s="128">
        <v>37519</v>
      </c>
      <c r="C450" s="127" t="s">
        <v>274</v>
      </c>
      <c r="D450" s="127" t="s">
        <v>135</v>
      </c>
      <c r="E450" s="127" t="s">
        <v>21</v>
      </c>
      <c r="F450" s="129">
        <v>5264</v>
      </c>
      <c r="G450" s="129">
        <v>5829</v>
      </c>
      <c r="H450" s="129">
        <v>28</v>
      </c>
      <c r="I450" s="129">
        <v>113000</v>
      </c>
      <c r="J450" s="129" t="b">
        <v>0</v>
      </c>
      <c r="K450" s="129" t="b">
        <v>0</v>
      </c>
      <c r="L450" s="129">
        <v>200</v>
      </c>
      <c r="M450" s="129">
        <v>0</v>
      </c>
      <c r="N450" s="129">
        <v>4035.71</v>
      </c>
      <c r="O450" s="129">
        <v>0</v>
      </c>
      <c r="P450" s="129">
        <v>0</v>
      </c>
      <c r="Q450" s="129">
        <v>113000</v>
      </c>
      <c r="R450" s="127" t="s">
        <v>136</v>
      </c>
      <c r="S450" s="129">
        <v>0</v>
      </c>
      <c r="T450" s="129">
        <v>0</v>
      </c>
      <c r="U450" s="129">
        <v>0</v>
      </c>
      <c r="V450" s="129" t="b">
        <v>0</v>
      </c>
      <c r="W450" s="129">
        <v>0</v>
      </c>
      <c r="X450" s="129">
        <v>0</v>
      </c>
      <c r="Y450" s="129">
        <v>0</v>
      </c>
      <c r="Z450" s="129"/>
      <c r="AA450" s="129">
        <v>0</v>
      </c>
      <c r="AB450" s="129" t="b">
        <v>0</v>
      </c>
      <c r="AC450" s="127" t="s">
        <v>142</v>
      </c>
      <c r="AD450" s="127" t="s">
        <v>142</v>
      </c>
      <c r="AE450" s="127" t="s">
        <v>142</v>
      </c>
      <c r="AF450" s="129">
        <v>565</v>
      </c>
      <c r="AG450" s="129" t="s">
        <v>257</v>
      </c>
      <c r="AH450" s="129"/>
    </row>
    <row r="451" spans="1:34" x14ac:dyDescent="0.2">
      <c r="A451" s="127" t="s">
        <v>135</v>
      </c>
      <c r="B451" s="128">
        <v>37491</v>
      </c>
      <c r="C451" s="127" t="s">
        <v>274</v>
      </c>
      <c r="D451" s="127" t="s">
        <v>135</v>
      </c>
      <c r="E451" s="127" t="s">
        <v>21</v>
      </c>
      <c r="F451" s="129">
        <v>4664</v>
      </c>
      <c r="G451" s="129">
        <v>5264</v>
      </c>
      <c r="H451" s="129">
        <v>28</v>
      </c>
      <c r="I451" s="129">
        <v>120000</v>
      </c>
      <c r="J451" s="129" t="b">
        <v>0</v>
      </c>
      <c r="K451" s="129" t="b">
        <v>0</v>
      </c>
      <c r="L451" s="129">
        <v>200</v>
      </c>
      <c r="M451" s="129">
        <v>0</v>
      </c>
      <c r="N451" s="129">
        <v>4285.71</v>
      </c>
      <c r="O451" s="129">
        <v>0</v>
      </c>
      <c r="P451" s="129">
        <v>0</v>
      </c>
      <c r="Q451" s="129">
        <v>120000</v>
      </c>
      <c r="R451" s="127" t="s">
        <v>136</v>
      </c>
      <c r="S451" s="129">
        <v>0</v>
      </c>
      <c r="T451" s="129">
        <v>0</v>
      </c>
      <c r="U451" s="129">
        <v>0</v>
      </c>
      <c r="V451" s="129" t="b">
        <v>0</v>
      </c>
      <c r="W451" s="129">
        <v>0</v>
      </c>
      <c r="X451" s="129">
        <v>0</v>
      </c>
      <c r="Y451" s="129">
        <v>0</v>
      </c>
      <c r="Z451" s="129"/>
      <c r="AA451" s="129">
        <v>0</v>
      </c>
      <c r="AB451" s="129" t="b">
        <v>0</v>
      </c>
      <c r="AC451" s="127" t="s">
        <v>142</v>
      </c>
      <c r="AD451" s="127" t="s">
        <v>142</v>
      </c>
      <c r="AE451" s="127" t="s">
        <v>142</v>
      </c>
      <c r="AF451" s="129">
        <v>600</v>
      </c>
      <c r="AG451" s="129" t="s">
        <v>257</v>
      </c>
      <c r="AH451" s="129"/>
    </row>
    <row r="452" spans="1:34" x14ac:dyDescent="0.2">
      <c r="A452" s="127" t="s">
        <v>135</v>
      </c>
      <c r="B452" s="128">
        <v>37463</v>
      </c>
      <c r="C452" s="127" t="s">
        <v>274</v>
      </c>
      <c r="D452" s="127" t="s">
        <v>135</v>
      </c>
      <c r="E452" s="127" t="s">
        <v>21</v>
      </c>
      <c r="F452" s="129">
        <v>4053</v>
      </c>
      <c r="G452" s="129">
        <v>4664</v>
      </c>
      <c r="H452" s="129">
        <v>30</v>
      </c>
      <c r="I452" s="129">
        <v>122200</v>
      </c>
      <c r="J452" s="129" t="b">
        <v>0</v>
      </c>
      <c r="K452" s="129" t="b">
        <v>0</v>
      </c>
      <c r="L452" s="129">
        <v>200</v>
      </c>
      <c r="M452" s="129">
        <v>0</v>
      </c>
      <c r="N452" s="129">
        <v>4073.33</v>
      </c>
      <c r="O452" s="129">
        <v>0</v>
      </c>
      <c r="P452" s="129">
        <v>0</v>
      </c>
      <c r="Q452" s="129">
        <v>122200</v>
      </c>
      <c r="R452" s="127" t="s">
        <v>136</v>
      </c>
      <c r="S452" s="129">
        <v>0</v>
      </c>
      <c r="T452" s="129">
        <v>0</v>
      </c>
      <c r="U452" s="129">
        <v>0</v>
      </c>
      <c r="V452" s="129" t="b">
        <v>0</v>
      </c>
      <c r="W452" s="129">
        <v>0</v>
      </c>
      <c r="X452" s="129">
        <v>0</v>
      </c>
      <c r="Y452" s="129">
        <v>0</v>
      </c>
      <c r="Z452" s="129"/>
      <c r="AA452" s="129">
        <v>0</v>
      </c>
      <c r="AB452" s="129" t="b">
        <v>0</v>
      </c>
      <c r="AC452" s="127" t="s">
        <v>142</v>
      </c>
      <c r="AD452" s="127" t="s">
        <v>142</v>
      </c>
      <c r="AE452" s="127" t="s">
        <v>142</v>
      </c>
      <c r="AF452" s="129">
        <v>611</v>
      </c>
      <c r="AG452" s="129" t="s">
        <v>257</v>
      </c>
      <c r="AH452" s="129"/>
    </row>
    <row r="453" spans="1:34" x14ac:dyDescent="0.2">
      <c r="A453" s="127" t="s">
        <v>135</v>
      </c>
      <c r="B453" s="128">
        <v>37433</v>
      </c>
      <c r="C453" s="127" t="s">
        <v>274</v>
      </c>
      <c r="D453" s="127" t="s">
        <v>135</v>
      </c>
      <c r="E453" s="127" t="s">
        <v>21</v>
      </c>
      <c r="F453" s="129">
        <v>3600</v>
      </c>
      <c r="G453" s="129">
        <v>4053</v>
      </c>
      <c r="H453" s="129">
        <v>33</v>
      </c>
      <c r="I453" s="129">
        <v>90600</v>
      </c>
      <c r="J453" s="129" t="b">
        <v>0</v>
      </c>
      <c r="K453" s="129" t="b">
        <v>0</v>
      </c>
      <c r="L453" s="129">
        <v>200</v>
      </c>
      <c r="M453" s="129">
        <v>0</v>
      </c>
      <c r="N453" s="129">
        <v>2745.45</v>
      </c>
      <c r="O453" s="129">
        <v>0</v>
      </c>
      <c r="P453" s="129">
        <v>0</v>
      </c>
      <c r="Q453" s="129">
        <v>90600</v>
      </c>
      <c r="R453" s="127" t="s">
        <v>136</v>
      </c>
      <c r="S453" s="129">
        <v>0</v>
      </c>
      <c r="T453" s="129">
        <v>0</v>
      </c>
      <c r="U453" s="129">
        <v>0</v>
      </c>
      <c r="V453" s="129" t="b">
        <v>0</v>
      </c>
      <c r="W453" s="129">
        <v>0</v>
      </c>
      <c r="X453" s="129">
        <v>0</v>
      </c>
      <c r="Y453" s="129">
        <v>0</v>
      </c>
      <c r="Z453" s="129"/>
      <c r="AA453" s="129">
        <v>0</v>
      </c>
      <c r="AB453" s="129" t="b">
        <v>0</v>
      </c>
      <c r="AC453" s="127" t="s">
        <v>142</v>
      </c>
      <c r="AD453" s="127" t="s">
        <v>142</v>
      </c>
      <c r="AE453" s="127" t="s">
        <v>142</v>
      </c>
      <c r="AF453" s="129">
        <v>453</v>
      </c>
      <c r="AG453" s="129" t="s">
        <v>257</v>
      </c>
      <c r="AH453" s="129"/>
    </row>
    <row r="454" spans="1:34" x14ac:dyDescent="0.2">
      <c r="A454" s="127" t="s">
        <v>135</v>
      </c>
      <c r="B454" s="128">
        <v>37400</v>
      </c>
      <c r="C454" s="127" t="s">
        <v>274</v>
      </c>
      <c r="D454" s="127" t="s">
        <v>135</v>
      </c>
      <c r="E454" s="127" t="s">
        <v>21</v>
      </c>
      <c r="F454" s="129">
        <v>3185</v>
      </c>
      <c r="G454" s="129">
        <v>3600</v>
      </c>
      <c r="H454" s="129">
        <v>30</v>
      </c>
      <c r="I454" s="129">
        <v>83000</v>
      </c>
      <c r="J454" s="129" t="b">
        <v>0</v>
      </c>
      <c r="K454" s="129" t="b">
        <v>0</v>
      </c>
      <c r="L454" s="129">
        <v>200</v>
      </c>
      <c r="M454" s="129">
        <v>0</v>
      </c>
      <c r="N454" s="129">
        <v>2766.67</v>
      </c>
      <c r="O454" s="129">
        <v>0</v>
      </c>
      <c r="P454" s="129">
        <v>0</v>
      </c>
      <c r="Q454" s="129">
        <v>83000</v>
      </c>
      <c r="R454" s="127" t="s">
        <v>136</v>
      </c>
      <c r="S454" s="129">
        <v>0</v>
      </c>
      <c r="T454" s="129">
        <v>0</v>
      </c>
      <c r="U454" s="129">
        <v>0</v>
      </c>
      <c r="V454" s="129" t="b">
        <v>0</v>
      </c>
      <c r="W454" s="129">
        <v>0</v>
      </c>
      <c r="X454" s="129">
        <v>0</v>
      </c>
      <c r="Y454" s="129">
        <v>0</v>
      </c>
      <c r="Z454" s="129"/>
      <c r="AA454" s="129">
        <v>0</v>
      </c>
      <c r="AB454" s="129" t="b">
        <v>0</v>
      </c>
      <c r="AC454" s="127" t="s">
        <v>142</v>
      </c>
      <c r="AD454" s="127" t="s">
        <v>142</v>
      </c>
      <c r="AE454" s="127" t="s">
        <v>142</v>
      </c>
      <c r="AF454" s="129">
        <v>415</v>
      </c>
      <c r="AG454" s="129" t="s">
        <v>257</v>
      </c>
      <c r="AH454" s="129"/>
    </row>
    <row r="455" spans="1:34" x14ac:dyDescent="0.2">
      <c r="A455" s="127" t="s">
        <v>135</v>
      </c>
      <c r="B455" s="128">
        <v>37370</v>
      </c>
      <c r="C455" s="127" t="s">
        <v>274</v>
      </c>
      <c r="D455" s="127" t="s">
        <v>135</v>
      </c>
      <c r="E455" s="127" t="s">
        <v>21</v>
      </c>
      <c r="F455" s="129">
        <v>2780</v>
      </c>
      <c r="G455" s="129">
        <v>3185</v>
      </c>
      <c r="H455" s="129">
        <v>30</v>
      </c>
      <c r="I455" s="129">
        <v>81000</v>
      </c>
      <c r="J455" s="129" t="b">
        <v>0</v>
      </c>
      <c r="K455" s="129" t="b">
        <v>0</v>
      </c>
      <c r="L455" s="129">
        <v>200</v>
      </c>
      <c r="M455" s="129">
        <v>0</v>
      </c>
      <c r="N455" s="129">
        <v>2700</v>
      </c>
      <c r="O455" s="129">
        <v>0</v>
      </c>
      <c r="P455" s="129">
        <v>0</v>
      </c>
      <c r="Q455" s="129">
        <v>81000</v>
      </c>
      <c r="R455" s="127" t="s">
        <v>136</v>
      </c>
      <c r="S455" s="129">
        <v>0</v>
      </c>
      <c r="T455" s="129">
        <v>0</v>
      </c>
      <c r="U455" s="129">
        <v>0</v>
      </c>
      <c r="V455" s="129" t="b">
        <v>0</v>
      </c>
      <c r="W455" s="129">
        <v>0</v>
      </c>
      <c r="X455" s="129">
        <v>0</v>
      </c>
      <c r="Y455" s="129">
        <v>0</v>
      </c>
      <c r="Z455" s="129"/>
      <c r="AA455" s="129">
        <v>0</v>
      </c>
      <c r="AB455" s="129" t="b">
        <v>0</v>
      </c>
      <c r="AC455" s="127" t="s">
        <v>142</v>
      </c>
      <c r="AD455" s="127" t="s">
        <v>142</v>
      </c>
      <c r="AE455" s="127" t="s">
        <v>142</v>
      </c>
      <c r="AF455" s="129">
        <v>405</v>
      </c>
      <c r="AG455" s="129" t="s">
        <v>257</v>
      </c>
      <c r="AH455" s="129"/>
    </row>
    <row r="456" spans="1:34" x14ac:dyDescent="0.2">
      <c r="A456" s="127" t="s">
        <v>135</v>
      </c>
      <c r="B456" s="128">
        <v>37340</v>
      </c>
      <c r="C456" s="127" t="s">
        <v>274</v>
      </c>
      <c r="D456" s="127" t="s">
        <v>135</v>
      </c>
      <c r="E456" s="127" t="s">
        <v>21</v>
      </c>
      <c r="F456" s="129">
        <v>2437</v>
      </c>
      <c r="G456" s="129">
        <v>2780</v>
      </c>
      <c r="H456" s="129">
        <v>28</v>
      </c>
      <c r="I456" s="129">
        <v>68600</v>
      </c>
      <c r="J456" s="129" t="b">
        <v>0</v>
      </c>
      <c r="K456" s="129" t="b">
        <v>0</v>
      </c>
      <c r="L456" s="129">
        <v>200</v>
      </c>
      <c r="M456" s="129">
        <v>0</v>
      </c>
      <c r="N456" s="129">
        <v>2450</v>
      </c>
      <c r="O456" s="129">
        <v>0</v>
      </c>
      <c r="P456" s="129">
        <v>0</v>
      </c>
      <c r="Q456" s="129">
        <v>68600</v>
      </c>
      <c r="R456" s="127" t="s">
        <v>136</v>
      </c>
      <c r="S456" s="129">
        <v>0</v>
      </c>
      <c r="T456" s="129">
        <v>0</v>
      </c>
      <c r="U456" s="129">
        <v>0</v>
      </c>
      <c r="V456" s="129" t="b">
        <v>0</v>
      </c>
      <c r="W456" s="129">
        <v>0</v>
      </c>
      <c r="X456" s="129">
        <v>0</v>
      </c>
      <c r="Y456" s="129">
        <v>0</v>
      </c>
      <c r="Z456" s="129"/>
      <c r="AA456" s="129">
        <v>0</v>
      </c>
      <c r="AB456" s="129" t="b">
        <v>0</v>
      </c>
      <c r="AC456" s="127" t="s">
        <v>142</v>
      </c>
      <c r="AD456" s="127" t="s">
        <v>142</v>
      </c>
      <c r="AE456" s="127" t="s">
        <v>142</v>
      </c>
      <c r="AF456" s="129">
        <v>343</v>
      </c>
      <c r="AG456" s="129" t="s">
        <v>257</v>
      </c>
      <c r="AH456" s="129"/>
    </row>
    <row r="457" spans="1:34" x14ac:dyDescent="0.2">
      <c r="A457" s="127" t="s">
        <v>135</v>
      </c>
      <c r="B457" s="128">
        <v>37312</v>
      </c>
      <c r="C457" s="127" t="s">
        <v>274</v>
      </c>
      <c r="D457" s="127" t="s">
        <v>135</v>
      </c>
      <c r="E457" s="127" t="s">
        <v>21</v>
      </c>
      <c r="F457" s="129">
        <v>0</v>
      </c>
      <c r="G457" s="129">
        <v>2437</v>
      </c>
      <c r="H457" s="129">
        <v>31</v>
      </c>
      <c r="I457" s="129">
        <v>75400</v>
      </c>
      <c r="J457" s="129" t="b">
        <v>0</v>
      </c>
      <c r="K457" s="129" t="b">
        <v>0</v>
      </c>
      <c r="L457" s="129">
        <v>200</v>
      </c>
      <c r="M457" s="129">
        <v>0</v>
      </c>
      <c r="N457" s="129">
        <v>2432.2600000000002</v>
      </c>
      <c r="O457" s="129">
        <v>0</v>
      </c>
      <c r="P457" s="129">
        <v>0</v>
      </c>
      <c r="Q457" s="129">
        <v>487400</v>
      </c>
      <c r="R457" s="127" t="s">
        <v>136</v>
      </c>
      <c r="S457" s="129">
        <v>0</v>
      </c>
      <c r="T457" s="129">
        <v>0</v>
      </c>
      <c r="U457" s="129">
        <v>0</v>
      </c>
      <c r="V457" s="129" t="b">
        <v>0</v>
      </c>
      <c r="W457" s="129">
        <v>0</v>
      </c>
      <c r="X457" s="129">
        <v>0</v>
      </c>
      <c r="Y457" s="129">
        <v>0</v>
      </c>
      <c r="Z457" s="129"/>
      <c r="AA457" s="129">
        <v>0</v>
      </c>
      <c r="AB457" s="129" t="b">
        <v>0</v>
      </c>
      <c r="AC457" s="127" t="s">
        <v>142</v>
      </c>
      <c r="AD457" s="127" t="s">
        <v>142</v>
      </c>
      <c r="AE457" s="127" t="s">
        <v>142</v>
      </c>
      <c r="AF457" s="129">
        <v>2437</v>
      </c>
      <c r="AG457" s="129" t="s">
        <v>257</v>
      </c>
      <c r="AH457" s="129"/>
    </row>
  </sheetData>
  <sortState xmlns:xlrd2="http://schemas.microsoft.com/office/spreadsheetml/2017/richdata2" ref="A67:AJ162">
    <sortCondition ref="D67:D162"/>
    <sortCondition descending="1" ref="B67:B162"/>
  </sortState>
  <phoneticPr fontId="0" type="noConversion"/>
  <pageMargins left="0.5" right="0.5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1:Q210"/>
  <sheetViews>
    <sheetView zoomScale="110" zoomScaleNormal="110" workbookViewId="0">
      <selection activeCell="C8" sqref="C8"/>
    </sheetView>
  </sheetViews>
  <sheetFormatPr defaultRowHeight="12.75" x14ac:dyDescent="0.2"/>
  <cols>
    <col min="2" max="2" width="10.42578125" bestFit="1" customWidth="1"/>
    <col min="3" max="3" width="11.85546875" bestFit="1" customWidth="1"/>
    <col min="4" max="4" width="9.140625" style="15"/>
    <col min="5" max="5" width="12.42578125" style="45" bestFit="1" customWidth="1"/>
    <col min="6" max="6" width="11.85546875" bestFit="1" customWidth="1"/>
    <col min="7" max="10" width="11.85546875" customWidth="1"/>
    <col min="11" max="11" width="14" style="5" customWidth="1"/>
  </cols>
  <sheetData>
    <row r="1" spans="1:17" x14ac:dyDescent="0.2">
      <c r="Q1" s="1" t="s">
        <v>50</v>
      </c>
    </row>
    <row r="2" spans="1:17" x14ac:dyDescent="0.2">
      <c r="B2" t="str">
        <f>TRIM('Reading History'!A4)</f>
        <v>Account Number: 192752162</v>
      </c>
      <c r="E2" s="81" t="str">
        <f>+IF(ISNUMBER(Rates!$O$1),"Cycle "&amp;TEXT(Rates!$O$1,"00"),"")</f>
        <v>Cycle 06</v>
      </c>
      <c r="F2" s="22" t="str">
        <f>IF(F3="","","Mailing Address")</f>
        <v/>
      </c>
      <c r="G2" s="22"/>
      <c r="H2" s="22"/>
      <c r="I2" s="22"/>
      <c r="J2" s="22"/>
      <c r="Q2" s="172" t="s">
        <v>235</v>
      </c>
    </row>
    <row r="3" spans="1:17" x14ac:dyDescent="0.2">
      <c r="B3" s="1" t="str">
        <f>+'Reading History'!A7</f>
        <v>HANSON PROFESSIONAL SRVC INC</v>
      </c>
      <c r="F3" s="36" t="str">
        <f>IF(RIGHT(+'Reading History'!$A$5,LEN('Reading History'!$A$5)-17)='Reading History'!$A$8,"",'Reading History'!$A7)</f>
        <v/>
      </c>
      <c r="L3" s="18"/>
      <c r="Q3" s="148" t="s">
        <v>234</v>
      </c>
    </row>
    <row r="4" spans="1:17" x14ac:dyDescent="0.2">
      <c r="B4" s="1" t="str">
        <f>RIGHT(+'Reading History'!A5,LEN('Reading History'!A5)-17)</f>
        <v>1525 S 6TH ST</v>
      </c>
      <c r="F4" s="36" t="str">
        <f>IF(RIGHT(+'Reading History'!$A$5,LEN('Reading History'!$A$5)-17)='Reading History'!$A$8,"",'Reading History'!$A8)</f>
        <v/>
      </c>
      <c r="L4" s="18"/>
      <c r="Q4" s="148" t="s">
        <v>141</v>
      </c>
    </row>
    <row r="5" spans="1:17" x14ac:dyDescent="0.2">
      <c r="F5" s="36" t="str">
        <f>IF(RIGHT(+'Reading History'!$A$5,LEN('Reading History'!$A$5)-17)='Reading History'!$A$8,"",'Reading History'!$A9)</f>
        <v/>
      </c>
      <c r="K5" s="40"/>
      <c r="L5" s="18"/>
      <c r="Q5" s="172" t="s">
        <v>180</v>
      </c>
    </row>
    <row r="6" spans="1:17" x14ac:dyDescent="0.2">
      <c r="B6" s="10" t="s">
        <v>25</v>
      </c>
      <c r="C6" s="17">
        <f ca="1">+IF(ISERROR(O6),VALUE(INDIRECT("'Reading History'!C"&amp;$N$8)),MID(INDIRECT("'Reading History'!C"&amp;$N$8),O6,9))</f>
        <v>189669</v>
      </c>
      <c r="F6" s="36" t="str">
        <f>IF(RIGHT(+'Reading History'!$A$5,LEN('Reading History'!$A$5)-17)='Reading History'!$A$8,"",'Reading History'!$A10)</f>
        <v/>
      </c>
      <c r="G6" s="36"/>
      <c r="H6" s="36"/>
      <c r="I6" s="36"/>
      <c r="J6" s="36"/>
      <c r="K6" s="57" t="str">
        <f ca="1">+"latest "&amp;TEXT(SUM(D12:D23)/30.4,"0")&amp;" month"</f>
        <v>latest 12 month</v>
      </c>
      <c r="O6" t="e">
        <f ca="1">+FIND("C",INDIRECT("'Reading History'!C"&amp;$N$8))</f>
        <v>#VALUE!</v>
      </c>
      <c r="Q6" s="172" t="s">
        <v>181</v>
      </c>
    </row>
    <row r="7" spans="1:17" x14ac:dyDescent="0.2">
      <c r="A7" s="150"/>
      <c r="B7" s="149" t="s">
        <v>31</v>
      </c>
      <c r="C7" s="172" t="s">
        <v>235</v>
      </c>
      <c r="F7" s="36"/>
      <c r="K7" s="5" t="s">
        <v>78</v>
      </c>
      <c r="Q7" s="148" t="s">
        <v>229</v>
      </c>
    </row>
    <row r="8" spans="1:17" x14ac:dyDescent="0.2">
      <c r="B8" s="9" t="s">
        <v>24</v>
      </c>
      <c r="C8" s="11">
        <f t="array" aca="1" ref="C8" ca="1">MIN(IF(B12:B210&gt;0,B12:B210))-VLOOKUP(MIN(IF(B12:B210&gt;0,B12:B210)),B12:E210,3,FALSE)</f>
        <v>37984.497013888889</v>
      </c>
      <c r="E8" s="76" t="str">
        <f>+IF(VALUE(Rates!$O$1)&gt;21,"CHECK CYCLE","")</f>
        <v/>
      </c>
      <c r="J8" s="18"/>
      <c r="K8" s="56">
        <f ca="1">SUM(K12:K23)/(SUM(D12:D23)/30.4)</f>
        <v>4106.9043017003896</v>
      </c>
      <c r="N8">
        <f>MATCH("Electric",'Reading History'!$A$1:$A$933,0)</f>
        <v>236</v>
      </c>
      <c r="O8" s="2" t="s">
        <v>26</v>
      </c>
      <c r="Q8" s="172" t="s">
        <v>230</v>
      </c>
    </row>
    <row r="9" spans="1:17" x14ac:dyDescent="0.2">
      <c r="C9" s="17"/>
      <c r="D9" s="17"/>
      <c r="E9" s="47"/>
      <c r="F9" s="7"/>
      <c r="G9" s="19"/>
      <c r="H9" s="19"/>
      <c r="I9" s="19"/>
      <c r="J9" s="19"/>
      <c r="K9" s="19"/>
      <c r="L9" s="45"/>
      <c r="N9">
        <f>MATCH("Electricn",'Reading History'!$A$13:$A$931,1)+12</f>
        <v>457</v>
      </c>
      <c r="O9" t="s">
        <v>68</v>
      </c>
      <c r="Q9" s="148" t="s">
        <v>231</v>
      </c>
    </row>
    <row r="10" spans="1:17" x14ac:dyDescent="0.2">
      <c r="C10" s="9" t="s">
        <v>111</v>
      </c>
      <c r="E10" s="52" t="s">
        <v>112</v>
      </c>
      <c r="F10" s="59" t="s">
        <v>113</v>
      </c>
      <c r="G10" s="41" t="s">
        <v>114</v>
      </c>
      <c r="H10" s="41" t="s">
        <v>112</v>
      </c>
      <c r="I10" s="52" t="s">
        <v>115</v>
      </c>
      <c r="J10" s="52" t="s">
        <v>116</v>
      </c>
      <c r="K10" s="52" t="s">
        <v>117</v>
      </c>
      <c r="L10" s="9" t="s">
        <v>118</v>
      </c>
    </row>
    <row r="11" spans="1:17" x14ac:dyDescent="0.2">
      <c r="A11" s="1" t="s">
        <v>0</v>
      </c>
      <c r="B11" s="1" t="s">
        <v>1</v>
      </c>
      <c r="C11" s="9" t="s">
        <v>80</v>
      </c>
      <c r="D11" s="16" t="s">
        <v>33</v>
      </c>
      <c r="E11" s="46" t="s">
        <v>28</v>
      </c>
      <c r="F11" s="59" t="s">
        <v>119</v>
      </c>
      <c r="G11" s="41" t="s">
        <v>120</v>
      </c>
      <c r="H11" s="41" t="s">
        <v>121</v>
      </c>
      <c r="I11" s="41" t="s">
        <v>122</v>
      </c>
      <c r="J11" s="41" t="s">
        <v>123</v>
      </c>
      <c r="K11" s="70" t="s">
        <v>106</v>
      </c>
      <c r="L11" s="9" t="s">
        <v>124</v>
      </c>
    </row>
    <row r="12" spans="1:17" x14ac:dyDescent="0.2">
      <c r="A12" s="2" t="str">
        <f ca="1">INDIRECT("'Reading History'!A"&amp;$N12+$N$8-1)</f>
        <v>Electric</v>
      </c>
      <c r="B12" s="4">
        <f ca="1">INDIRECT("'Reading History'!B"&amp;$N$8)</f>
        <v>43985.788865740738</v>
      </c>
      <c r="C12" s="17">
        <f ca="1">INDIRECT("'Reading History'!G"&amp;$N12+$N$8-1)</f>
        <v>4891</v>
      </c>
      <c r="D12" s="17">
        <f ca="1">INDIRECT("'Reading History'!H"&amp;$N12+$N$8-1)</f>
        <v>31</v>
      </c>
      <c r="E12" s="47">
        <f ca="1">INDIRECT("'Reading History'!I"&amp;$N12+$N$8-1)</f>
        <v>36400</v>
      </c>
      <c r="F12" s="164" t="str">
        <f t="shared" ref="F12:F76" ca="1" si="0">IF($A12="","",IF(RIGHT(INDIRECT("'Reading History'!E"&amp;$N12+$N$8-1),4)="Read",LEFT(INDIRECT("'Reading History'!E"&amp;$N12+$N$8-1),LEN(INDIRECT("'Reading History'!E"&amp;$N12+$N$8-1))-5),INDIRECT("'Reading History'!E"&amp;$N12+$N$8-1)))</f>
        <v>Actual</v>
      </c>
      <c r="G12" s="19">
        <f ca="1">IF($A12="","",+Rates!V6)</f>
        <v>12.83</v>
      </c>
      <c r="H12" s="19">
        <f ca="1">IF($A12="","",ROUND(Rates!W6,2))</f>
        <v>3933.2</v>
      </c>
      <c r="I12" s="19">
        <f ca="1">IF($A12="","",ROUND(Rates!X6,2))</f>
        <v>-422.39</v>
      </c>
      <c r="J12" s="19">
        <f ca="1">IF($A12="","",ROUND(Rates!$Y6,2))</f>
        <v>116.48</v>
      </c>
      <c r="K12" s="19">
        <f ca="1">IF($A12="","",+ROUND(Rates!Z6,2))</f>
        <v>3640.12</v>
      </c>
      <c r="L12" s="47">
        <f ca="1">IF($A12="","",IF(F13="Estimate",+(E12+E13)/(D12+D13),+E12/D12)/24*1000)</f>
        <v>48924.731182795702</v>
      </c>
      <c r="N12">
        <f t="shared" ref="N12:N17" ca="1" si="1">IF(ROW()&gt;($N$9-$N$8+12),0,MATCH(B12,INDIRECT("'Reading History'!B"&amp;$N$8&amp;":b"&amp;$N$9),-1))</f>
        <v>1</v>
      </c>
    </row>
    <row r="13" spans="1:17" x14ac:dyDescent="0.2">
      <c r="A13" s="2" t="str">
        <f t="shared" ref="A13:A76" ca="1" si="2">IF(ROW()&gt;($N$9-$N$8+12),"",INDIRECT("'Reading History'!A"&amp;$N13+$N$8-1))</f>
        <v>Electric</v>
      </c>
      <c r="B13" s="4">
        <f t="shared" ref="B13:B76" ca="1" si="3">INDIRECT("'Reading History'!B"&amp;$N$8+N12)</f>
        <v>43954.79010416667</v>
      </c>
      <c r="C13" s="17">
        <f t="shared" ref="C13:C76" ca="1" si="4">IF($A13="","",INDIRECT("'Reading History'!G"&amp;$N13+$N$8-1))</f>
        <v>4709</v>
      </c>
      <c r="D13" s="17">
        <f t="shared" ref="D13:D76" ca="1" si="5">IF($A13="","",INDIRECT("'Reading History'!H"&amp;$N13+$N$8-1))</f>
        <v>28</v>
      </c>
      <c r="E13" s="47">
        <f t="shared" ref="E13:E76" ca="1" si="6">IF($A13="","",INDIRECT("'Reading History'!I"&amp;$N13+$N$8-1))</f>
        <v>31800</v>
      </c>
      <c r="F13" s="7" t="str">
        <f t="shared" ca="1" si="0"/>
        <v>Actual</v>
      </c>
      <c r="G13" s="19">
        <f ca="1">IF($A13="","",+Rates!V7)</f>
        <v>12.829999999999998</v>
      </c>
      <c r="H13" s="19">
        <f ca="1">IF($A13="","",+Rates!W7)</f>
        <v>3141.839999999997</v>
      </c>
      <c r="I13" s="19">
        <f ca="1">IF($A13="","",+Rates!X7)</f>
        <v>-320.4486</v>
      </c>
      <c r="J13" s="19">
        <f ca="1">IF($A13="","",Rates!$Y7)</f>
        <v>101.76</v>
      </c>
      <c r="K13" s="19">
        <f ca="1">IF($A13="","",+Rates!Z7)</f>
        <v>2935.9800000000005</v>
      </c>
      <c r="L13" s="47">
        <f ca="1">IF($A13="","",IF(F14="Estimate",+(E13+E14)/(D13+D14),IF(F13="Estimate",+(E13+E12)/(D13+D12),+E13/D13))/24*1000)</f>
        <v>47321.42857142858</v>
      </c>
      <c r="N13">
        <f t="shared" ca="1" si="1"/>
        <v>2</v>
      </c>
    </row>
    <row r="14" spans="1:17" x14ac:dyDescent="0.2">
      <c r="A14" s="2" t="str">
        <f t="shared" ca="1" si="2"/>
        <v>Electric</v>
      </c>
      <c r="B14" s="4">
        <f t="shared" ca="1" si="3"/>
        <v>43926.789918981478</v>
      </c>
      <c r="C14" s="17">
        <f t="shared" ca="1" si="4"/>
        <v>4550</v>
      </c>
      <c r="D14" s="17">
        <f t="shared" ca="1" si="5"/>
        <v>32</v>
      </c>
      <c r="E14" s="47">
        <f t="shared" ca="1" si="6"/>
        <v>35600</v>
      </c>
      <c r="F14" s="7" t="str">
        <f t="shared" ca="1" si="0"/>
        <v>Actual</v>
      </c>
      <c r="G14" s="19">
        <f ca="1">IF($A14="","",+Rates!V8)</f>
        <v>12.83</v>
      </c>
      <c r="H14" s="19">
        <f ca="1">IF($A14="","",+Rates!W8)</f>
        <v>3517.2799999999997</v>
      </c>
      <c r="I14" s="19">
        <f ca="1">IF($A14="","",+Rates!X8)</f>
        <v>-100.2852</v>
      </c>
      <c r="J14" s="19">
        <f ca="1">IF($A14="","",Rates!$Y8)</f>
        <v>113.92</v>
      </c>
      <c r="K14" s="19">
        <f ca="1">IF($A14="","",+Rates!Z8)</f>
        <v>3543.7400000000002</v>
      </c>
      <c r="L14" s="47">
        <f t="shared" ref="L14:L77" ca="1" si="7">IF($A14="","",IF(F15="Estimate",+(E14+E15)/(D14+D15),IF(F14="Estimate",+(E14+E13)/(D14+D13),+E14/D14))/24*1000)</f>
        <v>46354.166666666664</v>
      </c>
      <c r="N14">
        <f t="shared" ca="1" si="1"/>
        <v>3</v>
      </c>
    </row>
    <row r="15" spans="1:17" x14ac:dyDescent="0.2">
      <c r="A15" s="2" t="str">
        <f t="shared" ca="1" si="2"/>
        <v>Electric</v>
      </c>
      <c r="B15" s="4">
        <f t="shared" ca="1" si="3"/>
        <v>43894.749247685184</v>
      </c>
      <c r="C15" s="17">
        <f t="shared" ca="1" si="4"/>
        <v>4372</v>
      </c>
      <c r="D15" s="17">
        <f t="shared" ca="1" si="5"/>
        <v>29</v>
      </c>
      <c r="E15" s="47">
        <f t="shared" ca="1" si="6"/>
        <v>37400</v>
      </c>
      <c r="F15" s="7" t="str">
        <f t="shared" ca="1" si="0"/>
        <v>Actual</v>
      </c>
      <c r="G15" s="19">
        <f ca="1">IF($A15="","",+Rates!V9)</f>
        <v>12.659655172413792</v>
      </c>
      <c r="H15" s="19">
        <f ca="1">IF($A15="","",+Rates!W9)</f>
        <v>3695.1200000000017</v>
      </c>
      <c r="I15" s="19">
        <f ca="1">IF($A15="","",+Rates!X9)</f>
        <v>-293.7396</v>
      </c>
      <c r="J15" s="19">
        <f ca="1">IF($A15="","",Rates!$Y9)</f>
        <v>119.68</v>
      </c>
      <c r="K15" s="19">
        <f ca="1">IF($A15="","",+Rates!Z9)</f>
        <v>3533.7196551724132</v>
      </c>
      <c r="L15" s="47">
        <f t="shared" ca="1" si="7"/>
        <v>53735.632183908048</v>
      </c>
      <c r="N15">
        <f t="shared" ca="1" si="1"/>
        <v>4</v>
      </c>
    </row>
    <row r="16" spans="1:17" x14ac:dyDescent="0.2">
      <c r="A16" s="2" t="str">
        <f t="shared" ca="1" si="2"/>
        <v>Electric</v>
      </c>
      <c r="B16" s="4">
        <f t="shared" ca="1" si="3"/>
        <v>43865.298263888886</v>
      </c>
      <c r="C16" s="17">
        <f t="shared" ca="1" si="4"/>
        <v>4185</v>
      </c>
      <c r="D16" s="17">
        <f t="shared" ca="1" si="5"/>
        <v>28</v>
      </c>
      <c r="E16" s="47">
        <f t="shared" ca="1" si="6"/>
        <v>36800</v>
      </c>
      <c r="F16" s="7" t="str">
        <f t="shared" ca="1" si="0"/>
        <v>Actual</v>
      </c>
      <c r="G16" s="19">
        <f ca="1">IF($A16="","",+Rates!V10)</f>
        <v>12.640000000000002</v>
      </c>
      <c r="H16" s="19">
        <f ca="1">IF($A16="","",+Rates!W10)</f>
        <v>3635.8399999999961</v>
      </c>
      <c r="I16" s="19">
        <f ca="1">IF($A16="","",+Rates!X10)</f>
        <v>-225.03199999999998</v>
      </c>
      <c r="J16" s="19">
        <f ca="1">IF($A16="","",Rates!$Y10)</f>
        <v>117.76</v>
      </c>
      <c r="K16" s="19">
        <f ca="1">IF($A16="","",+Rates!Z10)</f>
        <v>3541.21</v>
      </c>
      <c r="L16" s="47">
        <f t="shared" ca="1" si="7"/>
        <v>54761.904761904756</v>
      </c>
      <c r="N16">
        <f t="shared" ca="1" si="1"/>
        <v>5</v>
      </c>
    </row>
    <row r="17" spans="1:14" x14ac:dyDescent="0.2">
      <c r="A17" s="2" t="str">
        <f t="shared" ca="1" si="2"/>
        <v>Electric</v>
      </c>
      <c r="B17" s="4">
        <f t="shared" ca="1" si="3"/>
        <v>43837.478750000002</v>
      </c>
      <c r="C17" s="17">
        <f t="shared" ca="1" si="4"/>
        <v>4001</v>
      </c>
      <c r="D17" s="17">
        <f t="shared" ca="1" si="5"/>
        <v>32</v>
      </c>
      <c r="E17" s="47">
        <f t="shared" ca="1" si="6"/>
        <v>36000</v>
      </c>
      <c r="F17" s="7" t="str">
        <f t="shared" ca="1" si="0"/>
        <v>Actual</v>
      </c>
      <c r="G17" s="19">
        <f ca="1">IF($A17="","",+Rates!V11)</f>
        <v>12.64</v>
      </c>
      <c r="H17" s="19">
        <f ca="1">IF($A17="","",+Rates!W11)</f>
        <v>3556.8</v>
      </c>
      <c r="I17" s="19">
        <f ca="1">IF($A17="","",+Rates!X11)</f>
        <v>-58.68</v>
      </c>
      <c r="J17" s="19">
        <f ca="1">IF($A17="","",Rates!$Y11)</f>
        <v>115.2</v>
      </c>
      <c r="K17" s="19">
        <f ca="1">IF($A17="","",+Rates!Z11)</f>
        <v>3625.96</v>
      </c>
      <c r="L17" s="47">
        <f t="shared" ca="1" si="7"/>
        <v>46875</v>
      </c>
      <c r="N17">
        <f t="shared" ca="1" si="1"/>
        <v>6</v>
      </c>
    </row>
    <row r="18" spans="1:14" x14ac:dyDescent="0.2">
      <c r="A18" s="2" t="str">
        <f t="shared" ca="1" si="2"/>
        <v>Electric</v>
      </c>
      <c r="B18" s="4">
        <f t="shared" ca="1" si="3"/>
        <v>43805.304722222223</v>
      </c>
      <c r="C18" s="17">
        <f t="shared" ca="1" si="4"/>
        <v>3821</v>
      </c>
      <c r="D18" s="17">
        <f t="shared" ca="1" si="5"/>
        <v>30</v>
      </c>
      <c r="E18" s="47">
        <f t="shared" ca="1" si="6"/>
        <v>34400</v>
      </c>
      <c r="F18" s="7" t="str">
        <f t="shared" ca="1" si="0"/>
        <v>Actual</v>
      </c>
      <c r="G18" s="19">
        <f ca="1">IF($A18="","",+Rates!V12)</f>
        <v>12.640000000000009</v>
      </c>
      <c r="H18" s="19">
        <f ca="1">IF($A18="","",+Rates!W12)</f>
        <v>3398.7200000000025</v>
      </c>
      <c r="I18" s="19">
        <f ca="1">IF($A18="","",+Rates!X12)</f>
        <v>-48.435200000000002</v>
      </c>
      <c r="J18" s="19">
        <f ca="1">IF($A18="","",Rates!$Y12)</f>
        <v>110.08</v>
      </c>
      <c r="K18" s="19">
        <f ca="1">IF($A18="","",+Rates!Z12)</f>
        <v>3472.9999999999995</v>
      </c>
      <c r="L18" s="47">
        <f t="shared" ca="1" si="7"/>
        <v>47777.777777777781</v>
      </c>
      <c r="N18">
        <f ca="1">IF(ROW()&gt;($N$9-$N$8+12),0,MATCH(B18,INDIRECT("'Reading History'!B"&amp;$N$8&amp;":b"&amp;$N$9),-1))</f>
        <v>7</v>
      </c>
    </row>
    <row r="19" spans="1:14" x14ac:dyDescent="0.2">
      <c r="A19" s="2" t="str">
        <f t="shared" ca="1" si="2"/>
        <v>Electric</v>
      </c>
      <c r="B19" s="4">
        <f t="shared" ca="1" si="3"/>
        <v>43775.299085648148</v>
      </c>
      <c r="C19" s="17">
        <f t="shared" ca="1" si="4"/>
        <v>3649</v>
      </c>
      <c r="D19" s="17">
        <f t="shared" ca="1" si="5"/>
        <v>29</v>
      </c>
      <c r="E19" s="47">
        <f t="shared" ca="1" si="6"/>
        <v>37200</v>
      </c>
      <c r="F19" s="7" t="str">
        <f t="shared" ca="1" si="0"/>
        <v>Actual</v>
      </c>
      <c r="G19" s="19">
        <f ca="1">IF($A19="","",+Rates!V13)</f>
        <v>12.639999999999999</v>
      </c>
      <c r="H19" s="19">
        <f ca="1">IF($A19="","",+Rates!W13)</f>
        <v>3675.3599999999974</v>
      </c>
      <c r="I19" s="19">
        <f ca="1">IF($A19="","",+Rates!X13)</f>
        <v>-151.10639999999998</v>
      </c>
      <c r="J19" s="19">
        <f ca="1">IF($A19="","",Rates!$Y13)</f>
        <v>119.04</v>
      </c>
      <c r="K19" s="19">
        <f ca="1">IF($A19="","",+Rates!Z13)</f>
        <v>3655.93</v>
      </c>
      <c r="L19" s="47">
        <f t="shared" ca="1" si="7"/>
        <v>53448.275862068964</v>
      </c>
      <c r="N19">
        <f t="shared" ref="N19:N81" ca="1" si="8">IF(ROW()&gt;($N$9-$N$8+12),0,MATCH(B19,INDIRECT("'Reading History'!B"&amp;$N$8&amp;":b"&amp;$N$9),-1))</f>
        <v>8</v>
      </c>
    </row>
    <row r="20" spans="1:14" x14ac:dyDescent="0.2">
      <c r="A20" s="2" t="str">
        <f t="shared" ca="1" si="2"/>
        <v>Electric</v>
      </c>
      <c r="B20" s="4">
        <f t="shared" ca="1" si="3"/>
        <v>43746.30028935185</v>
      </c>
      <c r="C20" s="17">
        <f t="shared" ca="1" si="4"/>
        <v>3463</v>
      </c>
      <c r="D20" s="17">
        <f t="shared" ca="1" si="5"/>
        <v>33</v>
      </c>
      <c r="E20" s="47">
        <f t="shared" ca="1" si="6"/>
        <v>46000</v>
      </c>
      <c r="F20" s="7" t="str">
        <f t="shared" ca="1" si="0"/>
        <v>Actual</v>
      </c>
      <c r="G20" s="19">
        <f ca="1">IF($A20="","",+Rates!V14)</f>
        <v>12.639999999999997</v>
      </c>
      <c r="H20" s="19">
        <f ca="1">IF($A20="","",+Rates!W14)</f>
        <v>4755.2789000000002</v>
      </c>
      <c r="I20" s="19">
        <f ca="1">IF($A20="","",+Rates!X14)</f>
        <v>-182.57400000000001</v>
      </c>
      <c r="J20" s="19">
        <f ca="1">IF($A20="","",Rates!$Y14)</f>
        <v>147.20000000000002</v>
      </c>
      <c r="K20" s="19">
        <f ca="1">IF($A20="","",+Rates!Z14)</f>
        <v>4732.55</v>
      </c>
      <c r="L20" s="47">
        <f t="shared" ca="1" si="7"/>
        <v>58080.808080808085</v>
      </c>
      <c r="N20">
        <f t="shared" ca="1" si="8"/>
        <v>9</v>
      </c>
    </row>
    <row r="21" spans="1:14" x14ac:dyDescent="0.2">
      <c r="A21" s="2" t="str">
        <f t="shared" ca="1" si="2"/>
        <v>Electric</v>
      </c>
      <c r="B21" s="4">
        <f t="shared" ca="1" si="3"/>
        <v>43713.602627314816</v>
      </c>
      <c r="C21" s="17">
        <f t="shared" ca="1" si="4"/>
        <v>3233</v>
      </c>
      <c r="D21" s="17">
        <f t="shared" ca="1" si="5"/>
        <v>31</v>
      </c>
      <c r="E21" s="47">
        <f t="shared" ca="1" si="6"/>
        <v>45800</v>
      </c>
      <c r="F21" s="7" t="str">
        <f t="shared" ca="1" si="0"/>
        <v>Actual</v>
      </c>
      <c r="G21" s="19">
        <f ca="1">IF($A21="","",+Rates!V15)</f>
        <v>12.640000000000004</v>
      </c>
      <c r="H21" s="19">
        <f ca="1">IF($A21="","",+Rates!W15)</f>
        <v>5216.62</v>
      </c>
      <c r="I21" s="19">
        <f ca="1">IF($A21="","",+Rates!X15)</f>
        <v>-233.25940000000003</v>
      </c>
      <c r="J21" s="19">
        <f ca="1">IF($A21="","",Rates!$Y15)</f>
        <v>146.56</v>
      </c>
      <c r="K21" s="19">
        <f ca="1">IF($A21="","",+Rates!Z15)</f>
        <v>5142.5600000000004</v>
      </c>
      <c r="L21" s="47">
        <f t="shared" ca="1" si="7"/>
        <v>61559.139784946237</v>
      </c>
      <c r="N21">
        <f t="shared" ca="1" si="8"/>
        <v>10</v>
      </c>
    </row>
    <row r="22" spans="1:14" x14ac:dyDescent="0.2">
      <c r="A22" s="2" t="str">
        <f t="shared" ca="1" si="2"/>
        <v>Electric</v>
      </c>
      <c r="B22" s="4">
        <f t="shared" ref="B22:B41" ca="1" si="9">INDIRECT("'Reading History'!B"&amp;$N$8+N21)</f>
        <v>43682.30709490741</v>
      </c>
      <c r="C22" s="17">
        <f t="shared" ca="1" si="4"/>
        <v>3004</v>
      </c>
      <c r="D22" s="17">
        <f t="shared" ca="1" si="5"/>
        <v>27</v>
      </c>
      <c r="E22" s="47">
        <f t="shared" ca="1" si="6"/>
        <v>51400</v>
      </c>
      <c r="F22" s="171" t="str">
        <f t="shared" ca="1" si="0"/>
        <v>Actual</v>
      </c>
      <c r="G22" s="19">
        <f ca="1">IF($A22="","",+Rates!V16)</f>
        <v>12.639999999999999</v>
      </c>
      <c r="H22" s="19">
        <f ca="1">IF($A22="","",+Rates!W16)</f>
        <v>5854.46</v>
      </c>
      <c r="I22" s="19">
        <f ca="1">IF($A22="","",+Rates!X16)</f>
        <v>-183.34379999999999</v>
      </c>
      <c r="J22" s="19">
        <f ca="1">IF($A22="","",Rates!$Y16)</f>
        <v>164.48000000000002</v>
      </c>
      <c r="K22" s="19">
        <f ca="1">IF($A22="","",+Rates!Z16)</f>
        <v>5848.24</v>
      </c>
      <c r="L22" s="47">
        <f t="shared" ref="L22:L41" ca="1" si="10">IF($A22="","",IF(F23="Estimate",+(E22+E23)/(D22+D23),IF(F22="Estimate",+(E22+E21)/(D22+D21),+E22/D22))/24*1000)</f>
        <v>79320.987654320983</v>
      </c>
      <c r="N22">
        <f t="shared" ca="1" si="8"/>
        <v>11</v>
      </c>
    </row>
    <row r="23" spans="1:14" x14ac:dyDescent="0.2">
      <c r="A23" s="2" t="str">
        <f t="shared" ca="1" si="2"/>
        <v>Electric</v>
      </c>
      <c r="B23" s="4">
        <f t="shared" ca="1" si="9"/>
        <v>43655.301585648151</v>
      </c>
      <c r="C23" s="17">
        <f t="shared" ca="1" si="4"/>
        <v>2747</v>
      </c>
      <c r="D23" s="17">
        <f t="shared" ca="1" si="5"/>
        <v>33</v>
      </c>
      <c r="E23" s="47">
        <f t="shared" ca="1" si="6"/>
        <v>46000</v>
      </c>
      <c r="F23" s="171" t="str">
        <f t="shared" ca="1" si="0"/>
        <v>Actual</v>
      </c>
      <c r="G23" s="19">
        <f ca="1">IF($A23="","",+Rates!V17)</f>
        <v>12.639999999999997</v>
      </c>
      <c r="H23" s="19">
        <f ca="1">IF($A23="","",+Rates!W17)</f>
        <v>5239.3999999999996</v>
      </c>
      <c r="I23" s="19">
        <f ca="1">IF($A23="","",+Rates!X17)</f>
        <v>-32.567999999999998</v>
      </c>
      <c r="J23" s="19">
        <f ca="1">IF($A23="","",Rates!$Y17)</f>
        <v>147.20000000000002</v>
      </c>
      <c r="K23" s="19">
        <f ca="1">IF($A23="","",+Rates!Z17)</f>
        <v>5366.67</v>
      </c>
      <c r="L23" s="47">
        <f t="shared" ca="1" si="10"/>
        <v>58080.808080808085</v>
      </c>
      <c r="N23">
        <f t="shared" ca="1" si="8"/>
        <v>12</v>
      </c>
    </row>
    <row r="24" spans="1:14" x14ac:dyDescent="0.2">
      <c r="A24" s="2" t="str">
        <f t="shared" ca="1" si="2"/>
        <v>Electric</v>
      </c>
      <c r="B24" s="4">
        <f t="shared" ca="1" si="9"/>
        <v>43622.313923611109</v>
      </c>
      <c r="C24" s="17">
        <f t="shared" ca="1" si="4"/>
        <v>2517</v>
      </c>
      <c r="D24" s="17">
        <f t="shared" ca="1" si="5"/>
        <v>30</v>
      </c>
      <c r="E24" s="47">
        <f t="shared" ca="1" si="6"/>
        <v>39800</v>
      </c>
      <c r="F24" s="171" t="str">
        <f t="shared" ca="1" si="0"/>
        <v>Actual</v>
      </c>
      <c r="G24" s="19">
        <f ca="1">IF($A24="","",+Rates!V18)</f>
        <v>12.640000000000006</v>
      </c>
      <c r="H24" s="19">
        <f ca="1">IF($A24="","",+Rates!W18)</f>
        <v>4372.9637000000002</v>
      </c>
      <c r="I24" s="19">
        <f ca="1">IF($A24="","",+Rates!X18)</f>
        <v>38.247800000000005</v>
      </c>
      <c r="J24" s="19">
        <f ca="1">IF($A24="","",Rates!$Y18)</f>
        <v>127.36</v>
      </c>
      <c r="K24" s="19">
        <f ca="1">IF($A24="","",+Rates!Z18)</f>
        <v>4551.21</v>
      </c>
      <c r="L24" s="47">
        <f t="shared" ca="1" si="10"/>
        <v>55277.777777777781</v>
      </c>
      <c r="N24">
        <f t="shared" ca="1" si="8"/>
        <v>13</v>
      </c>
    </row>
    <row r="25" spans="1:14" x14ac:dyDescent="0.2">
      <c r="A25" s="2" t="str">
        <f t="shared" ca="1" si="2"/>
        <v>Electric</v>
      </c>
      <c r="B25" s="4">
        <f t="shared" ca="1" si="9"/>
        <v>43592.301979166667</v>
      </c>
      <c r="C25" s="17">
        <f t="shared" ca="1" si="4"/>
        <v>2318</v>
      </c>
      <c r="D25" s="17">
        <f t="shared" ca="1" si="5"/>
        <v>32</v>
      </c>
      <c r="E25" s="47">
        <f t="shared" ca="1" si="6"/>
        <v>37400</v>
      </c>
      <c r="F25" s="171" t="str">
        <f t="shared" ca="1" si="0"/>
        <v>Actual</v>
      </c>
      <c r="G25" s="19">
        <f ca="1">IF($A25="","",+Rates!V19)</f>
        <v>12.639999999999999</v>
      </c>
      <c r="H25" s="19">
        <f ca="1">IF($A25="","",+Rates!W19)</f>
        <v>3695.12</v>
      </c>
      <c r="I25" s="19">
        <f ca="1">IF($A25="","",+Rates!X19)</f>
        <v>97.015599999999992</v>
      </c>
      <c r="J25" s="19">
        <f ca="1">IF($A25="","",Rates!$Y19)</f>
        <v>119.68</v>
      </c>
      <c r="K25" s="19">
        <f ca="1">IF($A25="","",+Rates!Z19)</f>
        <v>3924.4599999999996</v>
      </c>
      <c r="L25" s="47">
        <f t="shared" ca="1" si="10"/>
        <v>48697.916666666664</v>
      </c>
      <c r="N25">
        <f t="shared" ca="1" si="8"/>
        <v>14</v>
      </c>
    </row>
    <row r="26" spans="1:14" x14ac:dyDescent="0.2">
      <c r="A26" s="2" t="str">
        <f t="shared" ca="1" si="2"/>
        <v>Electric</v>
      </c>
      <c r="B26" s="4">
        <f t="shared" ca="1" si="9"/>
        <v>43560.313136574077</v>
      </c>
      <c r="C26" s="17">
        <f t="shared" ca="1" si="4"/>
        <v>2131</v>
      </c>
      <c r="D26" s="17">
        <f t="shared" ca="1" si="5"/>
        <v>29</v>
      </c>
      <c r="E26" s="47">
        <f t="shared" ca="1" si="6"/>
        <v>37800</v>
      </c>
      <c r="F26" s="171" t="str">
        <f t="shared" ca="1" si="0"/>
        <v>Actual</v>
      </c>
      <c r="G26" s="19">
        <f ca="1">IF($A26="","",+Rates!V20)</f>
        <v>12.640000000000002</v>
      </c>
      <c r="H26" s="19">
        <f ca="1">IF($A26="","",+Rates!W20)</f>
        <v>3734.6400000000003</v>
      </c>
      <c r="I26" s="19">
        <f ca="1">IF($A26="","",+Rates!X20)</f>
        <v>147.0042</v>
      </c>
      <c r="J26" s="19">
        <f ca="1">IF($A26="","",Rates!$Y20)</f>
        <v>120.96000000000001</v>
      </c>
      <c r="K26" s="19">
        <f ca="1">IF($A26="","",+Rates!Z20)</f>
        <v>4015.24</v>
      </c>
      <c r="L26" s="47">
        <f t="shared" ca="1" si="10"/>
        <v>54310.34482758621</v>
      </c>
      <c r="N26">
        <f t="shared" ca="1" si="8"/>
        <v>15</v>
      </c>
    </row>
    <row r="27" spans="1:14" x14ac:dyDescent="0.2">
      <c r="A27" s="2" t="str">
        <f t="shared" ca="1" si="2"/>
        <v>Electric</v>
      </c>
      <c r="B27" s="4">
        <f t="shared" ca="1" si="9"/>
        <v>43531.299837962964</v>
      </c>
      <c r="C27" s="17">
        <f t="shared" ca="1" si="4"/>
        <v>1942</v>
      </c>
      <c r="D27" s="17">
        <f t="shared" ca="1" si="5"/>
        <v>29</v>
      </c>
      <c r="E27" s="47">
        <f t="shared" ca="1" si="6"/>
        <v>34400</v>
      </c>
      <c r="F27" s="171" t="str">
        <f t="shared" ca="1" si="0"/>
        <v>Actual</v>
      </c>
      <c r="G27" s="19">
        <f ca="1">IF($A27="","",+Rates!V21)</f>
        <v>9.7055172413793098</v>
      </c>
      <c r="H27" s="19">
        <f ca="1">IF($A27="","",+Rates!W21)</f>
        <v>3398.7200000000003</v>
      </c>
      <c r="I27" s="19">
        <f ca="1">IF($A27="","",+Rates!X21)</f>
        <v>-102.27119999999999</v>
      </c>
      <c r="J27" s="19">
        <f ca="1">IF($A27="","",Rates!$Y21)</f>
        <v>110.08</v>
      </c>
      <c r="K27" s="19">
        <f ca="1">IF($A27="","",+Rates!Z21)</f>
        <v>3416.2355172413791</v>
      </c>
      <c r="L27" s="47">
        <f t="shared" ca="1" si="10"/>
        <v>49425.287356321838</v>
      </c>
      <c r="N27">
        <f t="shared" ca="1" si="8"/>
        <v>16</v>
      </c>
    </row>
    <row r="28" spans="1:14" x14ac:dyDescent="0.2">
      <c r="A28" s="2" t="str">
        <f t="shared" ca="1" si="2"/>
        <v>Electric</v>
      </c>
      <c r="B28" s="4">
        <f t="shared" ca="1" si="9"/>
        <v>43502.322743055556</v>
      </c>
      <c r="C28" s="17">
        <f t="shared" ca="1" si="4"/>
        <v>1770</v>
      </c>
      <c r="D28" s="17">
        <f t="shared" ca="1" si="5"/>
        <v>29</v>
      </c>
      <c r="E28" s="47">
        <f t="shared" ca="1" si="6"/>
        <v>39000</v>
      </c>
      <c r="F28" s="171" t="str">
        <f t="shared" ca="1" si="0"/>
        <v>Actual</v>
      </c>
      <c r="G28" s="19">
        <f ca="1">IF($A28="","",+Rates!V22)</f>
        <v>8.9400000000000084</v>
      </c>
      <c r="H28" s="19">
        <f ca="1">IF($A28="","",+Rates!W22)</f>
        <v>3853.2000000000021</v>
      </c>
      <c r="I28" s="19">
        <f ca="1">IF($A28="","",+Rates!X22)</f>
        <v>9.3209999999999997</v>
      </c>
      <c r="J28" s="19">
        <f ca="1">IF($A28="","",Rates!$Y22)</f>
        <v>124.80000000000001</v>
      </c>
      <c r="K28" s="19">
        <f ca="1">IF($A28="","",+Rates!Z22)</f>
        <v>3996.26</v>
      </c>
      <c r="L28" s="47">
        <f t="shared" ca="1" si="10"/>
        <v>56034.482758620688</v>
      </c>
      <c r="N28">
        <f t="shared" ca="1" si="8"/>
        <v>17</v>
      </c>
    </row>
    <row r="29" spans="1:14" x14ac:dyDescent="0.2">
      <c r="A29" s="2" t="str">
        <f t="shared" ca="1" si="2"/>
        <v>Electric</v>
      </c>
      <c r="B29" s="4">
        <f t="shared" ca="1" si="9"/>
        <v>43473.296793981484</v>
      </c>
      <c r="C29" s="17">
        <f t="shared" ca="1" si="4"/>
        <v>1575</v>
      </c>
      <c r="D29" s="17">
        <f t="shared" ca="1" si="5"/>
        <v>33</v>
      </c>
      <c r="E29" s="47">
        <f t="shared" ca="1" si="6"/>
        <v>35600</v>
      </c>
      <c r="F29" s="171" t="str">
        <f t="shared" ca="1" si="0"/>
        <v>Actual</v>
      </c>
      <c r="G29" s="19">
        <f ca="1">IF($A29="","",+Rates!V23)</f>
        <v>8.94</v>
      </c>
      <c r="H29" s="19">
        <f ca="1">IF($A29="","",+Rates!W23)</f>
        <v>3517.2799999999966</v>
      </c>
      <c r="I29" s="19">
        <f ca="1">IF($A29="","",+Rates!X23)</f>
        <v>210.89439999999999</v>
      </c>
      <c r="J29" s="19">
        <f ca="1">IF($A29="","",Rates!$Y23)</f>
        <v>113.92</v>
      </c>
      <c r="K29" s="19">
        <f ca="1">IF($A29="","",+Rates!Z23)</f>
        <v>3851.03</v>
      </c>
      <c r="L29" s="47">
        <f t="shared" ca="1" si="10"/>
        <v>44949.494949494947</v>
      </c>
      <c r="N29">
        <f t="shared" ca="1" si="8"/>
        <v>18</v>
      </c>
    </row>
    <row r="30" spans="1:14" x14ac:dyDescent="0.2">
      <c r="A30" s="2" t="str">
        <f t="shared" ca="1" si="2"/>
        <v>Electric</v>
      </c>
      <c r="B30" s="4">
        <f t="shared" ca="1" si="9"/>
        <v>43440.532581018517</v>
      </c>
      <c r="C30" s="17">
        <f t="shared" ca="1" si="4"/>
        <v>1397</v>
      </c>
      <c r="D30" s="17">
        <f t="shared" ca="1" si="5"/>
        <v>30</v>
      </c>
      <c r="E30" s="47">
        <f t="shared" ca="1" si="6"/>
        <v>34600</v>
      </c>
      <c r="F30" s="171" t="str">
        <f t="shared" ca="1" si="0"/>
        <v>Actual</v>
      </c>
      <c r="G30" s="19">
        <f ca="1">IF($A30="","",+Rates!V24)</f>
        <v>8.9399999999999942</v>
      </c>
      <c r="H30" s="19">
        <f ca="1">IF($A30="","",+Rates!W24)</f>
        <v>3418.4800000000023</v>
      </c>
      <c r="I30" s="19">
        <f ca="1">IF($A30="","",+Rates!X24)</f>
        <v>366.1026</v>
      </c>
      <c r="J30" s="19">
        <f ca="1">IF($A30="","",Rates!$Y24)</f>
        <v>110.72</v>
      </c>
      <c r="K30" s="19">
        <f ca="1">IF($A30="","",+Rates!Z24)</f>
        <v>3904.24</v>
      </c>
      <c r="L30" s="47">
        <f t="shared" ca="1" si="10"/>
        <v>48055.555555555547</v>
      </c>
      <c r="N30">
        <f t="shared" ca="1" si="8"/>
        <v>19</v>
      </c>
    </row>
    <row r="31" spans="1:14" x14ac:dyDescent="0.2">
      <c r="A31" s="2" t="str">
        <f t="shared" ca="1" si="2"/>
        <v>Electric</v>
      </c>
      <c r="B31" s="4">
        <f t="shared" ca="1" si="9"/>
        <v>43410.304444444446</v>
      </c>
      <c r="C31" s="17">
        <f t="shared" ca="1" si="4"/>
        <v>1224</v>
      </c>
      <c r="D31" s="17">
        <f t="shared" ca="1" si="5"/>
        <v>32</v>
      </c>
      <c r="E31" s="47">
        <f t="shared" ca="1" si="6"/>
        <v>39000</v>
      </c>
      <c r="F31" s="171" t="str">
        <f t="shared" ca="1" si="0"/>
        <v>Actual</v>
      </c>
      <c r="G31" s="19">
        <f ca="1">IF($A31="","",+Rates!V25)</f>
        <v>8.9400000000000048</v>
      </c>
      <c r="H31" s="19">
        <f ca="1">IF($A31="","",+Rates!W25)</f>
        <v>3853.2</v>
      </c>
      <c r="I31" s="19">
        <f ca="1">IF($A31="","",+Rates!X25)</f>
        <v>154.55700000000002</v>
      </c>
      <c r="J31" s="19">
        <f ca="1">IF($A31="","",Rates!$Y25)</f>
        <v>124.80000000000001</v>
      </c>
      <c r="K31" s="19">
        <f ca="1">IF($A31="","",+Rates!Z25)</f>
        <v>4141.5</v>
      </c>
      <c r="L31" s="47">
        <f t="shared" ca="1" si="10"/>
        <v>50781.25</v>
      </c>
      <c r="N31">
        <f t="shared" ca="1" si="8"/>
        <v>20</v>
      </c>
    </row>
    <row r="32" spans="1:14" x14ac:dyDescent="0.2">
      <c r="A32" s="2" t="str">
        <f t="shared" ca="1" si="2"/>
        <v>Electric</v>
      </c>
      <c r="B32" s="4">
        <f t="shared" ca="1" si="9"/>
        <v>43378.301828703705</v>
      </c>
      <c r="C32" s="17">
        <f t="shared" ca="1" si="4"/>
        <v>1029</v>
      </c>
      <c r="D32" s="17">
        <f t="shared" ca="1" si="5"/>
        <v>25</v>
      </c>
      <c r="E32" s="47">
        <f t="shared" ca="1" si="6"/>
        <v>44200</v>
      </c>
      <c r="F32" s="171" t="str">
        <f t="shared" ca="1" si="0"/>
        <v>Actual</v>
      </c>
      <c r="G32" s="19">
        <f ca="1">IF($A32="","",+Rates!V26)</f>
        <v>8.94</v>
      </c>
      <c r="H32" s="19">
        <f ca="1">IF($A32="","",+Rates!W26)</f>
        <v>4500.4439999999986</v>
      </c>
      <c r="I32" s="19">
        <f ca="1">IF($A32="","",+Rates!X26)</f>
        <v>-264.53699999999998</v>
      </c>
      <c r="J32" s="19">
        <f ca="1">IF($A32="","",Rates!$Y26)</f>
        <v>141.44</v>
      </c>
      <c r="K32" s="19">
        <f ca="1">IF($A32="","",+Rates!Z26)</f>
        <v>4386.2799999999988</v>
      </c>
      <c r="L32" s="47">
        <f t="shared" ca="1" si="10"/>
        <v>73666.666666666672</v>
      </c>
      <c r="N32">
        <f t="shared" ca="1" si="8"/>
        <v>21</v>
      </c>
    </row>
    <row r="33" spans="1:14" x14ac:dyDescent="0.2">
      <c r="A33" s="2" t="str">
        <f t="shared" ca="1" si="2"/>
        <v>Electric</v>
      </c>
      <c r="B33" s="4">
        <f t="shared" ca="1" si="9"/>
        <v>43353.306770833333</v>
      </c>
      <c r="C33" s="17">
        <f t="shared" ca="1" si="4"/>
        <v>808</v>
      </c>
      <c r="D33" s="17">
        <f t="shared" ca="1" si="5"/>
        <v>35</v>
      </c>
      <c r="E33" s="47">
        <f t="shared" ca="1" si="6"/>
        <v>47000</v>
      </c>
      <c r="F33" s="171" t="str">
        <f t="shared" ca="1" si="0"/>
        <v>Actual</v>
      </c>
      <c r="G33" s="19">
        <f ca="1">IF($A33="","",+Rates!V27)</f>
        <v>8.9399999999999959</v>
      </c>
      <c r="H33" s="19">
        <f ca="1">IF($A33="","",+Rates!W27)</f>
        <v>5353.3</v>
      </c>
      <c r="I33" s="19">
        <f ca="1">IF($A33="","",+Rates!X27)</f>
        <v>-129.01500000000001</v>
      </c>
      <c r="J33" s="19">
        <f ca="1">IF($A33="","",Rates!$Y27)</f>
        <v>150.4</v>
      </c>
      <c r="K33" s="19">
        <f ca="1">IF($A33="","",+Rates!Z27)</f>
        <v>5383.619999999999</v>
      </c>
      <c r="L33" s="47">
        <f t="shared" ca="1" si="10"/>
        <v>55952.380952380954</v>
      </c>
      <c r="N33">
        <f t="shared" ca="1" si="8"/>
        <v>22</v>
      </c>
    </row>
    <row r="34" spans="1:14" x14ac:dyDescent="0.2">
      <c r="A34" s="2" t="str">
        <f t="shared" ca="1" si="2"/>
        <v>Electric</v>
      </c>
      <c r="B34" s="4">
        <f t="shared" ca="1" si="9"/>
        <v>43318.309942129628</v>
      </c>
      <c r="C34" s="17">
        <f t="shared" ca="1" si="4"/>
        <v>573</v>
      </c>
      <c r="D34" s="17">
        <f t="shared" ca="1" si="5"/>
        <v>28</v>
      </c>
      <c r="E34" s="47">
        <f t="shared" ca="1" si="6"/>
        <v>48600</v>
      </c>
      <c r="F34" s="171" t="str">
        <f t="shared" ca="1" si="0"/>
        <v>Actual</v>
      </c>
      <c r="G34" s="19">
        <f ca="1">IF($A34="","",+Rates!V28)</f>
        <v>8.9399999999999977</v>
      </c>
      <c r="H34" s="19">
        <f ca="1">IF($A34="","",+Rates!W28)</f>
        <v>5535.54</v>
      </c>
      <c r="I34" s="19">
        <f ca="1">IF($A34="","",+Rates!X28)</f>
        <v>125.874</v>
      </c>
      <c r="J34" s="19">
        <f ca="1">IF($A34="","",Rates!$Y28)</f>
        <v>155.52000000000001</v>
      </c>
      <c r="K34" s="19">
        <f ca="1">IF($A34="","",+Rates!Z28)</f>
        <v>5825.87</v>
      </c>
      <c r="L34" s="47">
        <f t="shared" ca="1" si="10"/>
        <v>72321.428571428565</v>
      </c>
      <c r="N34">
        <f t="shared" ca="1" si="8"/>
        <v>23</v>
      </c>
    </row>
    <row r="35" spans="1:14" x14ac:dyDescent="0.2">
      <c r="A35" s="2" t="str">
        <f t="shared" ca="1" si="2"/>
        <v>Electric</v>
      </c>
      <c r="B35" s="4">
        <f t="shared" ca="1" si="9"/>
        <v>43290.308263888888</v>
      </c>
      <c r="C35" s="17">
        <f t="shared" ca="1" si="4"/>
        <v>330</v>
      </c>
      <c r="D35" s="17">
        <f t="shared" ca="1" si="5"/>
        <v>33</v>
      </c>
      <c r="E35" s="47">
        <f t="shared" ca="1" si="6"/>
        <v>47000</v>
      </c>
      <c r="F35" s="171" t="str">
        <f t="shared" ca="1" si="0"/>
        <v>Actual</v>
      </c>
      <c r="G35" s="19">
        <f ca="1">IF($A35="","",+Rates!V29)</f>
        <v>8.9400000000000031</v>
      </c>
      <c r="H35" s="19">
        <f ca="1">IF($A35="","",+Rates!W29)</f>
        <v>5353.3</v>
      </c>
      <c r="I35" s="19">
        <f ca="1">IF($A35="","",+Rates!X29)</f>
        <v>328.483</v>
      </c>
      <c r="J35" s="19">
        <f ca="1">IF($A35="","",Rates!$Y29)</f>
        <v>150.4</v>
      </c>
      <c r="K35" s="19">
        <f ca="1">IF($A35="","",+Rates!Z29)</f>
        <v>5841.119999999999</v>
      </c>
      <c r="L35" s="47">
        <f t="shared" ca="1" si="10"/>
        <v>59343.434343434346</v>
      </c>
      <c r="N35">
        <f t="shared" ca="1" si="8"/>
        <v>24</v>
      </c>
    </row>
    <row r="36" spans="1:14" x14ac:dyDescent="0.2">
      <c r="A36" s="2" t="str">
        <f t="shared" ca="1" si="2"/>
        <v>Electric</v>
      </c>
      <c r="B36" s="4">
        <f t="shared" ca="1" si="9"/>
        <v>43257.367349537039</v>
      </c>
      <c r="C36" s="17">
        <f t="shared" ca="1" si="4"/>
        <v>95</v>
      </c>
      <c r="D36" s="17">
        <f t="shared" ca="1" si="5"/>
        <v>27</v>
      </c>
      <c r="E36" s="47">
        <f t="shared" ca="1" si="6"/>
        <v>32000</v>
      </c>
      <c r="F36" s="171" t="str">
        <f t="shared" ca="1" si="0"/>
        <v>Actual</v>
      </c>
      <c r="G36" s="19">
        <f ca="1">IF($A36="","",+Rates!V30)</f>
        <v>8.94</v>
      </c>
      <c r="H36" s="19">
        <f ca="1">IF($A36="","",+Rates!W30)</f>
        <v>3555.3173999999999</v>
      </c>
      <c r="I36" s="19">
        <f ca="1">IF($A36="","",+Rates!X30)</f>
        <v>257.56800000000004</v>
      </c>
      <c r="J36" s="19">
        <f ca="1">IF($A36="","",Rates!$Y30)</f>
        <v>102.4</v>
      </c>
      <c r="K36" s="19">
        <f ca="1">IF($A36="","",+Rates!Z30)</f>
        <v>3924.2300000000005</v>
      </c>
      <c r="L36" s="47">
        <f t="shared" ca="1" si="10"/>
        <v>49382.716049382718</v>
      </c>
      <c r="N36">
        <f t="shared" ca="1" si="8"/>
        <v>25</v>
      </c>
    </row>
    <row r="37" spans="1:14" x14ac:dyDescent="0.2">
      <c r="A37" s="2" t="str">
        <f t="shared" ca="1" si="2"/>
        <v>Electric</v>
      </c>
      <c r="B37" s="4">
        <f t="shared" ca="1" si="9"/>
        <v>43230</v>
      </c>
      <c r="C37" s="17">
        <f t="shared" ca="1" si="4"/>
        <v>6864</v>
      </c>
      <c r="D37" s="17">
        <f t="shared" ca="1" si="5"/>
        <v>38</v>
      </c>
      <c r="E37" s="47">
        <f t="shared" ca="1" si="6"/>
        <v>45000</v>
      </c>
      <c r="F37" s="171" t="str">
        <f t="shared" ca="1" si="0"/>
        <v>Actual</v>
      </c>
      <c r="G37" s="19">
        <f ca="1">IF($A37="","",+Rates!V31)</f>
        <v>8.94</v>
      </c>
      <c r="H37" s="19">
        <f ca="1">IF($A37="","",+Rates!W31)</f>
        <v>4446</v>
      </c>
      <c r="I37" s="19">
        <f ca="1">IF($A37="","",+Rates!X31)</f>
        <v>332.05500000000001</v>
      </c>
      <c r="J37" s="19">
        <f ca="1">IF($A37="","",Rates!$Y31)</f>
        <v>144</v>
      </c>
      <c r="K37" s="19">
        <f ca="1">IF($A37="","",+Rates!Z31)</f>
        <v>4931</v>
      </c>
      <c r="L37" s="47">
        <f t="shared" ca="1" si="10"/>
        <v>49342.105263157893</v>
      </c>
      <c r="N37">
        <f t="shared" ca="1" si="8"/>
        <v>26</v>
      </c>
    </row>
    <row r="38" spans="1:14" x14ac:dyDescent="0.2">
      <c r="A38" s="2" t="str">
        <f t="shared" ca="1" si="2"/>
        <v>Electric</v>
      </c>
      <c r="B38" s="4">
        <f t="shared" ca="1" si="9"/>
        <v>43192.225868055553</v>
      </c>
      <c r="C38" s="17">
        <f t="shared" ca="1" si="4"/>
        <v>6639</v>
      </c>
      <c r="D38" s="17">
        <f t="shared" ca="1" si="5"/>
        <v>26</v>
      </c>
      <c r="E38" s="47">
        <f t="shared" ca="1" si="6"/>
        <v>38000</v>
      </c>
      <c r="F38" s="171" t="str">
        <f t="shared" ca="1" si="0"/>
        <v>Actual</v>
      </c>
      <c r="G38" s="19">
        <f ca="1">IF($A38="","",+Rates!V32)</f>
        <v>8.94</v>
      </c>
      <c r="H38" s="19">
        <f ca="1">IF($A38="","",+Rates!W32)</f>
        <v>3754.3999999999996</v>
      </c>
      <c r="I38" s="19">
        <f ca="1">IF($A38="","",+Rates!X32)</f>
        <v>315.55200000000002</v>
      </c>
      <c r="J38" s="19">
        <f ca="1">IF($A38="","",Rates!$Y32)</f>
        <v>121.60000000000001</v>
      </c>
      <c r="K38" s="19">
        <f ca="1">IF($A38="","",+Rates!Z32)</f>
        <v>4200.4900000000007</v>
      </c>
      <c r="L38" s="47">
        <f t="shared" ca="1" si="10"/>
        <v>60897.435897435891</v>
      </c>
      <c r="N38">
        <f t="shared" ca="1" si="8"/>
        <v>27</v>
      </c>
    </row>
    <row r="39" spans="1:14" x14ac:dyDescent="0.2">
      <c r="A39" s="2" t="str">
        <f t="shared" ca="1" si="2"/>
        <v>Electric</v>
      </c>
      <c r="B39" s="4">
        <f t="shared" ca="1" si="9"/>
        <v>43166.137835648151</v>
      </c>
      <c r="C39" s="17">
        <f t="shared" ca="1" si="4"/>
        <v>6449</v>
      </c>
      <c r="D39" s="17">
        <f t="shared" ca="1" si="5"/>
        <v>28</v>
      </c>
      <c r="E39" s="47">
        <f t="shared" ca="1" si="6"/>
        <v>37000</v>
      </c>
      <c r="F39" s="171" t="str">
        <f t="shared" ca="1" si="0"/>
        <v>Actual</v>
      </c>
      <c r="G39" s="19">
        <f ca="1">IF($A39="","",+Rates!V33)</f>
        <v>8.8457142857142852</v>
      </c>
      <c r="H39" s="19">
        <f ca="1">IF($A39="","",+Rates!W33)</f>
        <v>3655.6</v>
      </c>
      <c r="I39" s="19">
        <f ca="1">IF($A39="","",+Rates!X33)</f>
        <v>217.15299999999999</v>
      </c>
      <c r="J39" s="19">
        <f ca="1">IF($A39="","",Rates!$Y33)</f>
        <v>118.4</v>
      </c>
      <c r="K39" s="19">
        <f ca="1">IF($A39="","",+Rates!Z33)</f>
        <v>3999.9957142857143</v>
      </c>
      <c r="L39" s="47">
        <f t="shared" ca="1" si="10"/>
        <v>55059.523809523802</v>
      </c>
      <c r="N39">
        <f t="shared" ca="1" si="8"/>
        <v>28</v>
      </c>
    </row>
    <row r="40" spans="1:14" x14ac:dyDescent="0.2">
      <c r="A40" s="2" t="str">
        <f t="shared" ca="1" si="2"/>
        <v>Electric</v>
      </c>
      <c r="B40" s="4">
        <f t="shared" ca="1" si="9"/>
        <v>43138.077870370369</v>
      </c>
      <c r="C40" s="17">
        <f t="shared" ca="1" si="4"/>
        <v>6264</v>
      </c>
      <c r="D40" s="17">
        <f t="shared" ca="1" si="5"/>
        <v>30</v>
      </c>
      <c r="E40" s="47">
        <f t="shared" ca="1" si="6"/>
        <v>41600</v>
      </c>
      <c r="F40" s="171" t="str">
        <f t="shared" ca="1" si="0"/>
        <v>Actual</v>
      </c>
      <c r="G40" s="19">
        <f ca="1">IF($A40="","",+Rates!V34)</f>
        <v>8.8199999999999967</v>
      </c>
      <c r="H40" s="19">
        <f ca="1">IF($A40="","",+Rates!W34)</f>
        <v>4110.0799999999981</v>
      </c>
      <c r="I40" s="19">
        <f ca="1">IF($A40="","",+Rates!X34)</f>
        <v>-12.604799999999999</v>
      </c>
      <c r="J40" s="19">
        <f ca="1">IF($A40="","",Rates!$Y34)</f>
        <v>133.12</v>
      </c>
      <c r="K40" s="19">
        <f ca="1">IF($A40="","",+Rates!Z34)</f>
        <v>4239.4199999999992</v>
      </c>
      <c r="L40" s="47">
        <f t="shared" ca="1" si="10"/>
        <v>57777.777777777781</v>
      </c>
      <c r="N40">
        <f t="shared" ca="1" si="8"/>
        <v>29</v>
      </c>
    </row>
    <row r="41" spans="1:14" x14ac:dyDescent="0.2">
      <c r="A41" s="2" t="str">
        <f t="shared" ca="1" si="2"/>
        <v>Electric</v>
      </c>
      <c r="B41" s="4">
        <f t="shared" ca="1" si="9"/>
        <v>43108.340046296296</v>
      </c>
      <c r="C41" s="17">
        <f t="shared" ca="1" si="4"/>
        <v>6056</v>
      </c>
      <c r="D41" s="17">
        <f t="shared" ca="1" si="5"/>
        <v>32</v>
      </c>
      <c r="E41" s="47">
        <f t="shared" ca="1" si="6"/>
        <v>37600</v>
      </c>
      <c r="F41" s="171" t="str">
        <f t="shared" ca="1" si="0"/>
        <v>Actual</v>
      </c>
      <c r="G41" s="19">
        <f ca="1">IF($A41="","",+Rates!V35)</f>
        <v>8.8200000000000074</v>
      </c>
      <c r="H41" s="19">
        <f ca="1">IF($A41="","",+Rates!W35)</f>
        <v>3714.88</v>
      </c>
      <c r="I41" s="19">
        <f ca="1">IF($A41="","",+Rates!X35)</f>
        <v>592.42559999999992</v>
      </c>
      <c r="J41" s="19">
        <f ca="1">IF($A41="","",Rates!$Y35)</f>
        <v>120.32000000000001</v>
      </c>
      <c r="K41" s="19">
        <f ca="1">IF($A41="","",+Rates!Z35)</f>
        <v>4436.45</v>
      </c>
      <c r="L41" s="47">
        <f t="shared" ca="1" si="10"/>
        <v>48958.333333333336</v>
      </c>
      <c r="N41">
        <f t="shared" ca="1" si="8"/>
        <v>30</v>
      </c>
    </row>
    <row r="42" spans="1:14" x14ac:dyDescent="0.2">
      <c r="A42" s="2" t="str">
        <f t="shared" ca="1" si="2"/>
        <v>Electric</v>
      </c>
      <c r="B42" s="4">
        <f t="shared" ca="1" si="3"/>
        <v>43076.367685185185</v>
      </c>
      <c r="C42" s="17">
        <f t="shared" ca="1" si="4"/>
        <v>5868</v>
      </c>
      <c r="D42" s="17">
        <f t="shared" ca="1" si="5"/>
        <v>30</v>
      </c>
      <c r="E42" s="47">
        <f t="shared" ca="1" si="6"/>
        <v>35200</v>
      </c>
      <c r="F42" s="7" t="str">
        <f t="shared" ca="1" si="0"/>
        <v>Actual</v>
      </c>
      <c r="G42" s="19">
        <f ca="1">IF($A42="","",+Rates!V36)</f>
        <v>8.8199999999999967</v>
      </c>
      <c r="H42" s="19">
        <f ca="1">IF($A42="","",+Rates!W36)</f>
        <v>3477.7599999999984</v>
      </c>
      <c r="I42" s="19">
        <f ca="1">IF($A42="","",+Rates!X36)</f>
        <v>298.56639999999999</v>
      </c>
      <c r="J42" s="19">
        <f ca="1">IF($A42="","",Rates!$Y36)</f>
        <v>112.64</v>
      </c>
      <c r="K42" s="19">
        <f ca="1">IF($A42="","",+Rates!Z36)</f>
        <v>3897.7900000000004</v>
      </c>
      <c r="L42" s="47">
        <f t="shared" ca="1" si="7"/>
        <v>48888.888888888883</v>
      </c>
      <c r="N42">
        <f t="shared" ca="1" si="8"/>
        <v>31</v>
      </c>
    </row>
    <row r="43" spans="1:14" x14ac:dyDescent="0.2">
      <c r="A43" s="2" t="str">
        <f t="shared" ca="1" si="2"/>
        <v>Electric</v>
      </c>
      <c r="B43" s="4">
        <f t="shared" ca="1" si="3"/>
        <v>43046.105995370373</v>
      </c>
      <c r="C43" s="17">
        <f t="shared" ca="1" si="4"/>
        <v>5692</v>
      </c>
      <c r="D43" s="17">
        <f t="shared" ca="1" si="5"/>
        <v>29</v>
      </c>
      <c r="E43" s="47">
        <f t="shared" ca="1" si="6"/>
        <v>37000</v>
      </c>
      <c r="F43" s="7" t="str">
        <f t="shared" ca="1" si="0"/>
        <v>Actual</v>
      </c>
      <c r="G43" s="19">
        <f ca="1">IF($A43="","",+Rates!V37)</f>
        <v>8.8200000000000074</v>
      </c>
      <c r="H43" s="19">
        <f ca="1">IF($A43="","",+Rates!W37)</f>
        <v>3655.6000000000017</v>
      </c>
      <c r="I43" s="19">
        <f ca="1">IF($A43="","",+Rates!X37)</f>
        <v>294.92700000000002</v>
      </c>
      <c r="J43" s="19">
        <f ca="1">IF($A43="","",Rates!$Y37)</f>
        <v>118.4</v>
      </c>
      <c r="K43" s="19">
        <f ca="1">IF($A43="","",+Rates!Z37)</f>
        <v>4077.75</v>
      </c>
      <c r="L43" s="47">
        <f t="shared" ca="1" si="7"/>
        <v>53160.919540229886</v>
      </c>
      <c r="N43">
        <f t="shared" ca="1" si="8"/>
        <v>32</v>
      </c>
    </row>
    <row r="44" spans="1:14" x14ac:dyDescent="0.2">
      <c r="A44" s="2" t="str">
        <f t="shared" ca="1" si="2"/>
        <v>Electric</v>
      </c>
      <c r="B44" s="4">
        <f t="shared" ca="1" si="3"/>
        <v>43017.778333333335</v>
      </c>
      <c r="C44" s="17">
        <f t="shared" ca="1" si="4"/>
        <v>5507</v>
      </c>
      <c r="D44" s="17">
        <f t="shared" ca="1" si="5"/>
        <v>29</v>
      </c>
      <c r="E44" s="47">
        <f t="shared" ca="1" si="6"/>
        <v>43400</v>
      </c>
      <c r="F44" s="7" t="str">
        <f t="shared" ca="1" si="0"/>
        <v>Actual</v>
      </c>
      <c r="G44" s="19">
        <f ca="1">IF($A44="","",+Rates!V38)</f>
        <v>8.8199999999999985</v>
      </c>
      <c r="H44" s="19">
        <f ca="1">IF($A44="","",+Rates!W38)</f>
        <v>4400.9132999999974</v>
      </c>
      <c r="I44" s="19">
        <f ca="1">IF($A44="","",+Rates!X38)</f>
        <v>-164.0086</v>
      </c>
      <c r="J44" s="19">
        <f ca="1">IF($A44="","",Rates!$Y38)</f>
        <v>138.88</v>
      </c>
      <c r="K44" s="19">
        <f ca="1">IF($A44="","",+Rates!Z38)</f>
        <v>4384.5999999999995</v>
      </c>
      <c r="L44" s="47">
        <f t="shared" ca="1" si="7"/>
        <v>62356.321839080461</v>
      </c>
      <c r="N44">
        <f t="shared" ca="1" si="8"/>
        <v>33</v>
      </c>
    </row>
    <row r="45" spans="1:14" x14ac:dyDescent="0.2">
      <c r="A45" s="2" t="str">
        <f t="shared" ca="1" si="2"/>
        <v>Electric</v>
      </c>
      <c r="B45" s="4">
        <f t="shared" ca="1" si="3"/>
        <v>42988.784212962964</v>
      </c>
      <c r="C45" s="17">
        <f t="shared" ca="1" si="4"/>
        <v>5290</v>
      </c>
      <c r="D45" s="17">
        <f t="shared" ca="1" si="5"/>
        <v>32</v>
      </c>
      <c r="E45" s="47">
        <f t="shared" ca="1" si="6"/>
        <v>46800</v>
      </c>
      <c r="F45" s="7" t="str">
        <f t="shared" ca="1" si="0"/>
        <v>Actual</v>
      </c>
      <c r="G45" s="19">
        <f ca="1">IF($A45="","",+Rates!V39)</f>
        <v>8.82</v>
      </c>
      <c r="H45" s="19">
        <f ca="1">IF($A45="","",+Rates!W39)</f>
        <v>5330.52</v>
      </c>
      <c r="I45" s="19">
        <f ca="1">IF($A45="","",+Rates!X39)</f>
        <v>-194.22</v>
      </c>
      <c r="J45" s="19">
        <f ca="1">IF($A45="","",Rates!$Y39)</f>
        <v>149.76000000000002</v>
      </c>
      <c r="K45" s="19">
        <f ca="1">IF($A45="","",+Rates!Z39)</f>
        <v>5294.88</v>
      </c>
      <c r="L45" s="47">
        <f t="shared" ca="1" si="7"/>
        <v>60937.5</v>
      </c>
      <c r="N45">
        <f t="shared" ca="1" si="8"/>
        <v>34</v>
      </c>
    </row>
    <row r="46" spans="1:14" x14ac:dyDescent="0.2">
      <c r="A46" s="2" t="str">
        <f t="shared" ca="1" si="2"/>
        <v>Electric</v>
      </c>
      <c r="B46" s="4">
        <f t="shared" ca="1" si="3"/>
        <v>42956.787997685184</v>
      </c>
      <c r="C46" s="17">
        <f t="shared" ca="1" si="4"/>
        <v>5056</v>
      </c>
      <c r="D46" s="17">
        <f t="shared" ca="1" si="5"/>
        <v>31</v>
      </c>
      <c r="E46" s="47">
        <f t="shared" ca="1" si="6"/>
        <v>49000</v>
      </c>
      <c r="F46" s="7" t="str">
        <f t="shared" ca="1" si="0"/>
        <v>Actual</v>
      </c>
      <c r="G46" s="19">
        <f ca="1">IF($A46="","",+Rates!V40)</f>
        <v>8.819999999999995</v>
      </c>
      <c r="H46" s="19">
        <f ca="1">IF($A46="","",+Rates!W40)</f>
        <v>5581.1</v>
      </c>
      <c r="I46" s="19">
        <f ca="1">IF($A46="","",+Rates!X40)</f>
        <v>160.67099999999999</v>
      </c>
      <c r="J46" s="19">
        <f ca="1">IF($A46="","",Rates!$Y40)</f>
        <v>156.80000000000001</v>
      </c>
      <c r="K46" s="19">
        <f ca="1">IF($A46="","",+Rates!Z40)</f>
        <v>5907.39</v>
      </c>
      <c r="L46" s="47">
        <f t="shared" ca="1" si="7"/>
        <v>65860.215053763444</v>
      </c>
      <c r="N46">
        <f t="shared" ca="1" si="8"/>
        <v>35</v>
      </c>
    </row>
    <row r="47" spans="1:14" x14ac:dyDescent="0.2">
      <c r="A47" s="2" t="str">
        <f t="shared" ca="1" si="2"/>
        <v>Electric</v>
      </c>
      <c r="B47" s="4">
        <f t="shared" ca="1" si="3"/>
        <v>42925.747604166667</v>
      </c>
      <c r="C47" s="17">
        <f t="shared" ca="1" si="4"/>
        <v>4811</v>
      </c>
      <c r="D47" s="17">
        <f t="shared" ca="1" si="5"/>
        <v>31</v>
      </c>
      <c r="E47" s="47">
        <f t="shared" ca="1" si="6"/>
        <v>45600</v>
      </c>
      <c r="F47" s="7" t="str">
        <f t="shared" ca="1" si="0"/>
        <v>Actual</v>
      </c>
      <c r="G47" s="19">
        <f ca="1">IF($A47="","",+Rates!V41)</f>
        <v>8.8200000000000021</v>
      </c>
      <c r="H47" s="19">
        <f ca="1">IF($A47="","",+Rates!W41)</f>
        <v>5193.84</v>
      </c>
      <c r="I47" s="19">
        <f ca="1">IF($A47="","",+Rates!X41)</f>
        <v>239.12640000000002</v>
      </c>
      <c r="J47" s="19">
        <f ca="1">IF($A47="","",Rates!$Y41)</f>
        <v>145.92000000000002</v>
      </c>
      <c r="K47" s="19">
        <f ca="1">IF($A47="","",+Rates!Z41)</f>
        <v>5587.71</v>
      </c>
      <c r="L47" s="47">
        <f t="shared" ca="1" si="7"/>
        <v>61290.322580645159</v>
      </c>
      <c r="N47">
        <f t="shared" ca="1" si="8"/>
        <v>36</v>
      </c>
    </row>
    <row r="48" spans="1:14" x14ac:dyDescent="0.2">
      <c r="A48" s="2" t="str">
        <f t="shared" ca="1" si="2"/>
        <v>Electric</v>
      </c>
      <c r="B48" s="4">
        <f t="shared" ca="1" si="3"/>
        <v>42894.780185185184</v>
      </c>
      <c r="C48" s="17">
        <f t="shared" ca="1" si="4"/>
        <v>4583</v>
      </c>
      <c r="D48" s="17">
        <f t="shared" ca="1" si="5"/>
        <v>35</v>
      </c>
      <c r="E48" s="47">
        <f t="shared" ca="1" si="6"/>
        <v>30800</v>
      </c>
      <c r="F48" s="7" t="str">
        <f t="shared" ca="1" si="0"/>
        <v>Actual</v>
      </c>
      <c r="G48" s="19">
        <f ca="1">IF($A48="","",+Rates!V42)</f>
        <v>8.8200000000000021</v>
      </c>
      <c r="H48" s="19">
        <f ca="1">IF($A48="","",+Rates!W42)</f>
        <v>3361.9520000000002</v>
      </c>
      <c r="I48" s="19">
        <f ca="1">IF($A48="","",+Rates!X42)</f>
        <v>248.37119999999999</v>
      </c>
      <c r="J48" s="19">
        <f ca="1">IF($A48="","",Rates!$Y42)</f>
        <v>98.56</v>
      </c>
      <c r="K48" s="19">
        <f ca="1">IF($A48="","",+Rates!Z42)</f>
        <v>3717.7</v>
      </c>
      <c r="L48" s="47">
        <f t="shared" ca="1" si="7"/>
        <v>36666.666666666664</v>
      </c>
      <c r="N48">
        <f t="shared" ca="1" si="8"/>
        <v>37</v>
      </c>
    </row>
    <row r="49" spans="1:14" x14ac:dyDescent="0.2">
      <c r="A49" s="2" t="str">
        <f t="shared" ca="1" si="2"/>
        <v>Electric</v>
      </c>
      <c r="B49" s="4">
        <f t="shared" ca="1" si="3"/>
        <v>42859</v>
      </c>
      <c r="C49" s="17">
        <f t="shared" ca="1" si="4"/>
        <v>4429</v>
      </c>
      <c r="D49" s="17">
        <f t="shared" ca="1" si="5"/>
        <v>27</v>
      </c>
      <c r="E49" s="47">
        <f t="shared" ca="1" si="6"/>
        <v>50600</v>
      </c>
      <c r="F49" s="7" t="str">
        <f t="shared" ca="1" si="0"/>
        <v>Actual</v>
      </c>
      <c r="G49" s="19">
        <f ca="1">IF($A49="","",+Rates!V43)</f>
        <v>8.82</v>
      </c>
      <c r="H49" s="19">
        <f ca="1">IF($A49="","",+Rates!W43)</f>
        <v>4999.2800000000007</v>
      </c>
      <c r="I49" s="19">
        <f ca="1">IF($A49="","",+Rates!X43)</f>
        <v>591.05860000000007</v>
      </c>
      <c r="J49" s="19">
        <f ca="1">IF($A49="","",Rates!$Y43)</f>
        <v>161.92000000000002</v>
      </c>
      <c r="K49" s="19">
        <f ca="1">IF($A49="","",+Rates!Z43)</f>
        <v>5761.08</v>
      </c>
      <c r="L49" s="47">
        <f t="shared" ca="1" si="7"/>
        <v>78086.419753086418</v>
      </c>
      <c r="N49">
        <f t="shared" ca="1" si="8"/>
        <v>38</v>
      </c>
    </row>
    <row r="50" spans="1:14" x14ac:dyDescent="0.2">
      <c r="A50" s="2" t="str">
        <f t="shared" ca="1" si="2"/>
        <v>Electric</v>
      </c>
      <c r="B50" s="4">
        <f t="shared" ca="1" si="3"/>
        <v>42832</v>
      </c>
      <c r="C50" s="17">
        <f t="shared" ca="1" si="4"/>
        <v>4176</v>
      </c>
      <c r="D50" s="17">
        <f t="shared" ca="1" si="5"/>
        <v>29</v>
      </c>
      <c r="E50" s="47">
        <f t="shared" ca="1" si="6"/>
        <v>39800</v>
      </c>
      <c r="F50" s="7" t="str">
        <f t="shared" ca="1" si="0"/>
        <v>Actual</v>
      </c>
      <c r="G50" s="19">
        <f ca="1">IF($A50="","",+Rates!V44)</f>
        <v>8.82</v>
      </c>
      <c r="H50" s="19">
        <f ca="1">IF($A50="","",+Rates!W44)</f>
        <v>3932.24</v>
      </c>
      <c r="I50" s="19">
        <f ca="1">IF($A50="","",+Rates!X44)</f>
        <v>394.25880000000001</v>
      </c>
      <c r="J50" s="19">
        <f ca="1">IF($A50="","",Rates!$Y44)</f>
        <v>127.36</v>
      </c>
      <c r="K50" s="19">
        <f ca="1">IF($A50="","",+Rates!Z44)</f>
        <v>4462.6799999999994</v>
      </c>
      <c r="L50" s="47">
        <f t="shared" ca="1" si="7"/>
        <v>57183.908045977012</v>
      </c>
      <c r="N50">
        <f t="shared" ca="1" si="8"/>
        <v>39</v>
      </c>
    </row>
    <row r="51" spans="1:14" x14ac:dyDescent="0.2">
      <c r="A51" s="2" t="str">
        <f t="shared" ca="1" si="2"/>
        <v>Electric</v>
      </c>
      <c r="B51" s="4">
        <f t="shared" ca="1" si="3"/>
        <v>42803.693738425929</v>
      </c>
      <c r="C51" s="17">
        <f t="shared" ca="1" si="4"/>
        <v>3977</v>
      </c>
      <c r="D51" s="17">
        <f t="shared" ca="1" si="5"/>
        <v>31</v>
      </c>
      <c r="E51" s="47">
        <f t="shared" ca="1" si="6"/>
        <v>75400</v>
      </c>
      <c r="F51" s="7" t="str">
        <f t="shared" ca="1" si="0"/>
        <v>Actual</v>
      </c>
      <c r="G51" s="19">
        <f ca="1">IF($A51="","",+Rates!V45)</f>
        <v>8.7754838709677401</v>
      </c>
      <c r="H51" s="19">
        <f ca="1">IF($A51="","",+Rates!W45)</f>
        <v>7449.5200000000013</v>
      </c>
      <c r="I51" s="19">
        <f ca="1">IF($A51="","",+Rates!X45)</f>
        <v>388.0838</v>
      </c>
      <c r="J51" s="19">
        <f ca="1">IF($A51="","",Rates!$Y45)</f>
        <v>241.28</v>
      </c>
      <c r="K51" s="19">
        <f ca="1">IF($A51="","",+Rates!Z45)</f>
        <v>8087.6554838709681</v>
      </c>
      <c r="L51" s="47">
        <f t="shared" ca="1" si="7"/>
        <v>101344.08602150538</v>
      </c>
      <c r="N51">
        <f t="shared" ca="1" si="8"/>
        <v>40</v>
      </c>
    </row>
    <row r="52" spans="1:14" x14ac:dyDescent="0.2">
      <c r="A52" s="2" t="str">
        <f t="shared" ca="1" si="2"/>
        <v>Electric</v>
      </c>
      <c r="B52" s="4">
        <f t="shared" ca="1" si="3"/>
        <v>42772.737303240741</v>
      </c>
      <c r="C52" s="17">
        <f t="shared" ca="1" si="4"/>
        <v>3600</v>
      </c>
      <c r="D52" s="17">
        <f t="shared" ca="1" si="5"/>
        <v>28</v>
      </c>
      <c r="E52" s="47">
        <f t="shared" ca="1" si="6"/>
        <v>0</v>
      </c>
      <c r="F52" s="7" t="str">
        <f t="shared" ca="1" si="0"/>
        <v>Actual</v>
      </c>
      <c r="G52" s="19">
        <f ca="1">IF($A52="","",+Rates!V46)</f>
        <v>8.7600000000000069</v>
      </c>
      <c r="H52" s="19">
        <f ca="1">IF($A52="","",+Rates!W46)</f>
        <v>0</v>
      </c>
      <c r="I52" s="19">
        <f ca="1">IF($A52="","",+Rates!X46)</f>
        <v>0</v>
      </c>
      <c r="J52" s="19">
        <f ca="1">IF($A52="","",Rates!$Y46)</f>
        <v>0</v>
      </c>
      <c r="K52" s="19">
        <f ca="1">IF($A52="","",+Rates!Z46)</f>
        <v>8.7600000000000069</v>
      </c>
      <c r="L52" s="47">
        <f t="shared" ca="1" si="7"/>
        <v>0</v>
      </c>
      <c r="N52">
        <f t="shared" ca="1" si="8"/>
        <v>41</v>
      </c>
    </row>
    <row r="53" spans="1:14" x14ac:dyDescent="0.2">
      <c r="A53" s="2" t="str">
        <f t="shared" ca="1" si="2"/>
        <v>Electric</v>
      </c>
      <c r="B53" s="4">
        <f t="shared" ca="1" si="3"/>
        <v>42744.715914351851</v>
      </c>
      <c r="C53" s="17">
        <f t="shared" ca="1" si="4"/>
        <v>3600</v>
      </c>
      <c r="D53" s="17">
        <f t="shared" ca="1" si="5"/>
        <v>35</v>
      </c>
      <c r="E53" s="47">
        <f t="shared" ca="1" si="6"/>
        <v>39600</v>
      </c>
      <c r="F53" s="7" t="str">
        <f t="shared" ca="1" si="0"/>
        <v>Actual</v>
      </c>
      <c r="G53" s="19">
        <f ca="1">IF($A53="","",+Rates!V47)</f>
        <v>8.759999999999998</v>
      </c>
      <c r="H53" s="19">
        <f ca="1">IF($A53="","",+Rates!W47)</f>
        <v>3912.4799999999977</v>
      </c>
      <c r="I53" s="19">
        <f ca="1">IF($A53="","",+Rates!X47)</f>
        <v>517.69079999999997</v>
      </c>
      <c r="J53" s="19">
        <f ca="1">IF($A53="","",Rates!$Y47)</f>
        <v>126.72000000000001</v>
      </c>
      <c r="K53" s="19">
        <f ca="1">IF($A53="","",+Rates!Z47)</f>
        <v>4565.6500000000005</v>
      </c>
      <c r="L53" s="47">
        <f t="shared" ca="1" si="7"/>
        <v>47142.857142857138</v>
      </c>
      <c r="N53">
        <f t="shared" ca="1" si="8"/>
        <v>42</v>
      </c>
    </row>
    <row r="54" spans="1:14" x14ac:dyDescent="0.2">
      <c r="A54" s="2" t="str">
        <f t="shared" ca="1" si="2"/>
        <v>Electric</v>
      </c>
      <c r="B54" s="4">
        <f t="shared" ca="1" si="3"/>
        <v>42709.709826388891</v>
      </c>
      <c r="C54" s="17">
        <f t="shared" ca="1" si="4"/>
        <v>3402</v>
      </c>
      <c r="D54" s="17">
        <f t="shared" ca="1" si="5"/>
        <v>32</v>
      </c>
      <c r="E54" s="47">
        <f t="shared" ca="1" si="6"/>
        <v>38400</v>
      </c>
      <c r="F54" s="7" t="str">
        <f t="shared" ca="1" si="0"/>
        <v>Actual</v>
      </c>
      <c r="G54" s="19">
        <f ca="1">IF($A54="","",+Rates!V48)</f>
        <v>8.7600000000000051</v>
      </c>
      <c r="H54" s="19">
        <f ca="1">IF($A54="","",+Rates!W48)</f>
        <v>3793.9200000000042</v>
      </c>
      <c r="I54" s="19">
        <f ca="1">IF($A54="","",+Rates!X48)</f>
        <v>370.40640000000002</v>
      </c>
      <c r="J54" s="19">
        <f ca="1">IF($A54="","",Rates!$Y48)</f>
        <v>122.88000000000001</v>
      </c>
      <c r="K54" s="19">
        <f ca="1">IF($A54="","",+Rates!Z48)</f>
        <v>4295.97</v>
      </c>
      <c r="L54" s="47">
        <f t="shared" ca="1" si="7"/>
        <v>50000</v>
      </c>
      <c r="N54">
        <f t="shared" ca="1" si="8"/>
        <v>43</v>
      </c>
    </row>
    <row r="55" spans="1:14" x14ac:dyDescent="0.2">
      <c r="A55" s="2" t="str">
        <f t="shared" ca="1" si="2"/>
        <v>Electric</v>
      </c>
      <c r="B55" s="4">
        <f t="shared" ca="1" si="3"/>
        <v>42677</v>
      </c>
      <c r="C55" s="17">
        <f t="shared" ca="1" si="4"/>
        <v>3210</v>
      </c>
      <c r="D55" s="17">
        <f t="shared" ca="1" si="5"/>
        <v>29</v>
      </c>
      <c r="E55" s="47">
        <f t="shared" ca="1" si="6"/>
        <v>33000</v>
      </c>
      <c r="F55" s="7" t="str">
        <f t="shared" ca="1" si="0"/>
        <v>Actual</v>
      </c>
      <c r="G55" s="19">
        <f ca="1">IF($A55="","",+Rates!V49)</f>
        <v>8.759999999999998</v>
      </c>
      <c r="H55" s="19">
        <f ca="1">IF($A55="","",+Rates!W49)</f>
        <v>3260.3999999999978</v>
      </c>
      <c r="I55" s="19">
        <f ca="1">IF($A55="","",+Rates!X49)</f>
        <v>231.09899999999999</v>
      </c>
      <c r="J55" s="19">
        <f ca="1">IF($A55="","",Rates!$Y49)</f>
        <v>105.60000000000001</v>
      </c>
      <c r="K55" s="19">
        <f ca="1">IF($A55="","",+Rates!Z49)</f>
        <v>3605.86</v>
      </c>
      <c r="L55" s="47">
        <f t="shared" ca="1" si="7"/>
        <v>47413.793103448275</v>
      </c>
      <c r="N55">
        <f t="shared" ca="1" si="8"/>
        <v>44</v>
      </c>
    </row>
    <row r="56" spans="1:14" x14ac:dyDescent="0.2">
      <c r="A56" s="2" t="str">
        <f t="shared" ca="1" si="2"/>
        <v>Electric</v>
      </c>
      <c r="B56" s="4">
        <f t="shared" ca="1" si="3"/>
        <v>42648</v>
      </c>
      <c r="C56" s="17">
        <f t="shared" ca="1" si="4"/>
        <v>3045</v>
      </c>
      <c r="D56" s="17">
        <f t="shared" ca="1" si="5"/>
        <v>29</v>
      </c>
      <c r="E56" s="47">
        <f t="shared" ca="1" si="6"/>
        <v>53200</v>
      </c>
      <c r="F56" s="7" t="str">
        <f t="shared" ca="1" si="0"/>
        <v>Actual</v>
      </c>
      <c r="G56" s="19">
        <f ca="1">IF($A56="","",+Rates!V50)</f>
        <v>8.759999999999998</v>
      </c>
      <c r="H56" s="19">
        <f ca="1">IF($A56="","",+Rates!W50)</f>
        <v>5505.4610000000021</v>
      </c>
      <c r="I56" s="19">
        <f ca="1">IF($A56="","",+Rates!X50)</f>
        <v>-19.95</v>
      </c>
      <c r="J56" s="19">
        <f ca="1">IF($A56="","",Rates!$Y50)</f>
        <v>170.24</v>
      </c>
      <c r="K56" s="19">
        <f ca="1">IF($A56="","",+Rates!Z50)</f>
        <v>5664.51</v>
      </c>
      <c r="L56" s="47">
        <f t="shared" ca="1" si="7"/>
        <v>76436.781609195401</v>
      </c>
      <c r="N56">
        <f t="shared" ca="1" si="8"/>
        <v>45</v>
      </c>
    </row>
    <row r="57" spans="1:14" x14ac:dyDescent="0.2">
      <c r="A57" s="2" t="str">
        <f t="shared" ca="1" si="2"/>
        <v>Electric</v>
      </c>
      <c r="B57" s="4">
        <f t="shared" ca="1" si="3"/>
        <v>42619.780486111114</v>
      </c>
      <c r="C57" s="17">
        <f t="shared" ca="1" si="4"/>
        <v>2779</v>
      </c>
      <c r="D57" s="17">
        <f t="shared" ca="1" si="5"/>
        <v>30</v>
      </c>
      <c r="E57" s="47">
        <f t="shared" ca="1" si="6"/>
        <v>50200</v>
      </c>
      <c r="F57" s="7" t="str">
        <f t="shared" ca="1" si="0"/>
        <v>Actual</v>
      </c>
      <c r="G57" s="19">
        <f ca="1">IF($A57="","",+Rates!V51)</f>
        <v>8.7599999999999909</v>
      </c>
      <c r="H57" s="19">
        <f ca="1">IF($A57="","",+Rates!W51)</f>
        <v>5717.78</v>
      </c>
      <c r="I57" s="19">
        <f ca="1">IF($A57="","",+Rates!X51)</f>
        <v>-160.18819999999999</v>
      </c>
      <c r="J57" s="19">
        <f ca="1">IF($A57="","",Rates!$Y51)</f>
        <v>160.64000000000001</v>
      </c>
      <c r="K57" s="19">
        <f ca="1">IF($A57="","",+Rates!Z51)</f>
        <v>5726.9900000000007</v>
      </c>
      <c r="L57" s="47">
        <f t="shared" ca="1" si="7"/>
        <v>69722.222222222219</v>
      </c>
      <c r="N57">
        <f t="shared" ca="1" si="8"/>
        <v>46</v>
      </c>
    </row>
    <row r="58" spans="1:14" x14ac:dyDescent="0.2">
      <c r="A58" s="2" t="str">
        <f t="shared" ca="1" si="2"/>
        <v>Electric</v>
      </c>
      <c r="B58" s="4">
        <f t="shared" ca="1" si="3"/>
        <v>42589.789097222223</v>
      </c>
      <c r="C58" s="17">
        <f t="shared" ca="1" si="4"/>
        <v>2528</v>
      </c>
      <c r="D58" s="17">
        <f t="shared" ca="1" si="5"/>
        <v>32</v>
      </c>
      <c r="E58" s="47">
        <f t="shared" ca="1" si="6"/>
        <v>102400</v>
      </c>
      <c r="F58" s="7" t="str">
        <f t="shared" ca="1" si="0"/>
        <v>Actual</v>
      </c>
      <c r="G58" s="19">
        <f ca="1">IF($A58="","",+Rates!V52)</f>
        <v>8.7600000000000051</v>
      </c>
      <c r="H58" s="19">
        <f ca="1">IF($A58="","",+Rates!W52)</f>
        <v>11663.36</v>
      </c>
      <c r="I58" s="19">
        <f ca="1">IF($A58="","",+Rates!X52)</f>
        <v>-227.1232</v>
      </c>
      <c r="J58" s="19">
        <f ca="1">IF($A58="","",Rates!$Y52)</f>
        <v>327.68</v>
      </c>
      <c r="K58" s="19">
        <f ca="1">IF($A58="","",+Rates!Z52)</f>
        <v>11772.68</v>
      </c>
      <c r="L58" s="47">
        <f t="shared" ca="1" si="7"/>
        <v>133333.33333333334</v>
      </c>
      <c r="N58">
        <f t="shared" ca="1" si="8"/>
        <v>47</v>
      </c>
    </row>
    <row r="59" spans="1:14" x14ac:dyDescent="0.2">
      <c r="A59" s="2" t="str">
        <f t="shared" ca="1" si="2"/>
        <v>Electric</v>
      </c>
      <c r="B59" s="4">
        <f t="shared" ca="1" si="3"/>
        <v>42557.760648148149</v>
      </c>
      <c r="C59" s="17">
        <f t="shared" ca="1" si="4"/>
        <v>2016</v>
      </c>
      <c r="D59" s="17">
        <f t="shared" ca="1" si="5"/>
        <v>31</v>
      </c>
      <c r="E59" s="47">
        <f t="shared" ca="1" si="6"/>
        <v>41000</v>
      </c>
      <c r="F59" s="7" t="str">
        <f t="shared" ca="1" si="0"/>
        <v>Actual</v>
      </c>
      <c r="G59" s="19">
        <f ca="1">IF($A59="","",+Rates!V53)</f>
        <v>8.759999999999998</v>
      </c>
      <c r="H59" s="19">
        <f ca="1">IF($A59="","",+Rates!W53)</f>
        <v>4669.8999999999996</v>
      </c>
      <c r="I59" s="19">
        <f ca="1">IF($A59="","",+Rates!X53)</f>
        <v>272.89599999999996</v>
      </c>
      <c r="J59" s="19">
        <f ca="1">IF($A59="","",Rates!$Y53)</f>
        <v>131.20000000000002</v>
      </c>
      <c r="K59" s="19">
        <f ca="1">IF($A59="","",+Rates!Z53)</f>
        <v>5082.7599999999993</v>
      </c>
      <c r="L59" s="47">
        <f t="shared" ca="1" si="7"/>
        <v>55107.526881720427</v>
      </c>
      <c r="N59">
        <f t="shared" ca="1" si="8"/>
        <v>48</v>
      </c>
    </row>
    <row r="60" spans="1:14" x14ac:dyDescent="0.2">
      <c r="A60" s="2" t="str">
        <f t="shared" ca="1" si="2"/>
        <v>Electric</v>
      </c>
      <c r="B60" s="4">
        <f t="shared" ca="1" si="3"/>
        <v>42526.338043981479</v>
      </c>
      <c r="C60" s="17">
        <f t="shared" ca="1" si="4"/>
        <v>1811</v>
      </c>
      <c r="D60" s="17">
        <f t="shared" ca="1" si="5"/>
        <v>32</v>
      </c>
      <c r="E60" s="47">
        <f t="shared" ca="1" si="6"/>
        <v>38800</v>
      </c>
      <c r="F60" s="7" t="str">
        <f t="shared" ca="1" si="0"/>
        <v>Actual</v>
      </c>
      <c r="G60" s="19">
        <f ca="1">IF($A60="","",+Rates!V54)</f>
        <v>8.759999999999998</v>
      </c>
      <c r="H60" s="19">
        <f ca="1">IF($A60="","",+Rates!W54)</f>
        <v>4218.0300999999999</v>
      </c>
      <c r="I60" s="19">
        <f ca="1">IF($A60="","",+Rates!X54)</f>
        <v>389.66840000000002</v>
      </c>
      <c r="J60" s="19">
        <f ca="1">IF($A60="","",Rates!$Y54)</f>
        <v>124.16000000000001</v>
      </c>
      <c r="K60" s="19">
        <f ca="1">IF($A60="","",+Rates!Z54)</f>
        <v>4740.62</v>
      </c>
      <c r="L60" s="47">
        <f t="shared" ca="1" si="7"/>
        <v>50520.833333333336</v>
      </c>
      <c r="N60">
        <f t="shared" ca="1" si="8"/>
        <v>49</v>
      </c>
    </row>
    <row r="61" spans="1:14" x14ac:dyDescent="0.2">
      <c r="A61" s="2" t="str">
        <f t="shared" ca="1" si="2"/>
        <v>Electric</v>
      </c>
      <c r="B61" s="4">
        <f t="shared" ca="1" si="3"/>
        <v>42494.78533564815</v>
      </c>
      <c r="C61" s="17">
        <f t="shared" ca="1" si="4"/>
        <v>1617</v>
      </c>
      <c r="D61" s="17">
        <f t="shared" ca="1" si="5"/>
        <v>29</v>
      </c>
      <c r="E61" s="47">
        <f t="shared" ca="1" si="6"/>
        <v>38600</v>
      </c>
      <c r="F61" s="7" t="str">
        <f t="shared" ca="1" si="0"/>
        <v>Actual</v>
      </c>
      <c r="G61" s="19">
        <f ca="1">IF($A61="","",+Rates!V55)</f>
        <v>8.7600000000000033</v>
      </c>
      <c r="H61" s="19">
        <f ca="1">IF($A61="","",+Rates!W55)</f>
        <v>3813.6800000000021</v>
      </c>
      <c r="I61" s="19">
        <f ca="1">IF($A61="","",+Rates!X55)</f>
        <v>699.54780000000005</v>
      </c>
      <c r="J61" s="19">
        <f ca="1">IF($A61="","",Rates!$Y55)</f>
        <v>123.52000000000001</v>
      </c>
      <c r="K61" s="19">
        <f ca="1">IF($A61="","",+Rates!Z55)</f>
        <v>4645.51</v>
      </c>
      <c r="L61" s="47">
        <f t="shared" ca="1" si="7"/>
        <v>55459.770114942527</v>
      </c>
      <c r="N61">
        <f t="shared" ca="1" si="8"/>
        <v>50</v>
      </c>
    </row>
    <row r="62" spans="1:14" x14ac:dyDescent="0.2">
      <c r="A62" s="2" t="str">
        <f t="shared" ca="1" si="2"/>
        <v>Electric</v>
      </c>
      <c r="B62" s="4">
        <f t="shared" ca="1" si="3"/>
        <v>42465.784039351849</v>
      </c>
      <c r="C62" s="17">
        <f t="shared" ca="1" si="4"/>
        <v>1424</v>
      </c>
      <c r="D62" s="17">
        <f t="shared" ca="1" si="5"/>
        <v>30</v>
      </c>
      <c r="E62" s="47">
        <f t="shared" ca="1" si="6"/>
        <v>36600</v>
      </c>
      <c r="F62" s="7" t="str">
        <f t="shared" ca="1" si="0"/>
        <v>Actual</v>
      </c>
      <c r="G62" s="19">
        <f ca="1">IF($A62="","",+Rates!V56)</f>
        <v>8.759999999999998</v>
      </c>
      <c r="H62" s="19">
        <f ca="1">IF($A62="","",+Rates!W56)</f>
        <v>3616.0799999999995</v>
      </c>
      <c r="I62" s="19">
        <f ca="1">IF($A62="","",+Rates!X56)</f>
        <v>454.09620000000001</v>
      </c>
      <c r="J62" s="19">
        <f ca="1">IF($A62="","",Rates!$Y56)</f>
        <v>117.12</v>
      </c>
      <c r="K62" s="19">
        <f ca="1">IF($A62="","",+Rates!Z56)</f>
        <v>4196.0600000000004</v>
      </c>
      <c r="L62" s="47">
        <f t="shared" ca="1" si="7"/>
        <v>50833.333333333336</v>
      </c>
      <c r="N62">
        <f t="shared" ca="1" si="8"/>
        <v>51</v>
      </c>
    </row>
    <row r="63" spans="1:14" x14ac:dyDescent="0.2">
      <c r="A63" s="2" t="str">
        <f t="shared" ca="1" si="2"/>
        <v>Electric</v>
      </c>
      <c r="B63" s="4">
        <f t="shared" ca="1" si="3"/>
        <v>42435.729062500002</v>
      </c>
      <c r="C63" s="17">
        <f t="shared" ca="1" si="4"/>
        <v>1241</v>
      </c>
      <c r="D63" s="17">
        <f t="shared" ca="1" si="5"/>
        <v>31</v>
      </c>
      <c r="E63" s="47">
        <f t="shared" ca="1" si="6"/>
        <v>40400</v>
      </c>
      <c r="F63" s="7" t="str">
        <f t="shared" ca="1" si="0"/>
        <v>Actual</v>
      </c>
      <c r="G63" s="19">
        <f ca="1">IF($A63="","",+Rates!V57)</f>
        <v>8.76</v>
      </c>
      <c r="H63" s="19">
        <f ca="1">IF($A63="","",+Rates!W57)</f>
        <v>3991.5199999999995</v>
      </c>
      <c r="I63" s="19">
        <f ca="1">IF($A63="","",+Rates!X57)</f>
        <v>-16.119599999999998</v>
      </c>
      <c r="J63" s="19">
        <f ca="1">IF($A63="","",Rates!$Y57)</f>
        <v>129.28</v>
      </c>
      <c r="K63" s="19">
        <f ca="1">IF($A63="","",+Rates!Z57)</f>
        <v>4113.4400000000005</v>
      </c>
      <c r="L63" s="47">
        <f t="shared" ca="1" si="7"/>
        <v>54301.075268817207</v>
      </c>
      <c r="N63">
        <f t="shared" ca="1" si="8"/>
        <v>52</v>
      </c>
    </row>
    <row r="64" spans="1:14" x14ac:dyDescent="0.2">
      <c r="A64" s="2" t="str">
        <f t="shared" ca="1" si="2"/>
        <v>Electric</v>
      </c>
      <c r="B64" s="4">
        <f t="shared" ca="1" si="3"/>
        <v>42404.713692129626</v>
      </c>
      <c r="C64" s="17">
        <f t="shared" ca="1" si="4"/>
        <v>1039</v>
      </c>
      <c r="D64" s="17">
        <f t="shared" ca="1" si="5"/>
        <v>28</v>
      </c>
      <c r="E64" s="47">
        <f t="shared" ca="1" si="6"/>
        <v>0</v>
      </c>
      <c r="F64" s="7" t="str">
        <f t="shared" ca="1" si="0"/>
        <v>Actual</v>
      </c>
      <c r="G64" s="19">
        <f ca="1">IF($A64="","",+Rates!V58)</f>
        <v>8.76</v>
      </c>
      <c r="H64" s="19">
        <f ca="1">IF($A64="","",+Rates!W58)</f>
        <v>0</v>
      </c>
      <c r="I64" s="19">
        <f ca="1">IF($A64="","",+Rates!X58)</f>
        <v>0</v>
      </c>
      <c r="J64" s="19">
        <f ca="1">IF($A64="","",Rates!$Y58)</f>
        <v>0</v>
      </c>
      <c r="K64" s="19">
        <f ca="1">IF($A64="","",+Rates!Z58)</f>
        <v>8.76</v>
      </c>
      <c r="L64" s="47">
        <f t="shared" ca="1" si="7"/>
        <v>0</v>
      </c>
      <c r="N64">
        <f t="shared" ca="1" si="8"/>
        <v>53</v>
      </c>
    </row>
    <row r="65" spans="1:14" x14ac:dyDescent="0.2">
      <c r="A65" s="2" t="str">
        <f t="shared" ca="1" si="2"/>
        <v>Electric</v>
      </c>
      <c r="B65" s="4">
        <f t="shared" ca="1" si="3"/>
        <v>42376.741388888891</v>
      </c>
      <c r="C65" s="17">
        <f t="shared" ca="1" si="4"/>
        <v>1039</v>
      </c>
      <c r="D65" s="17">
        <f t="shared" ca="1" si="5"/>
        <v>30</v>
      </c>
      <c r="E65" s="47">
        <f t="shared" ca="1" si="6"/>
        <v>37200</v>
      </c>
      <c r="F65" s="7" t="str">
        <f t="shared" ca="1" si="0"/>
        <v>Actual</v>
      </c>
      <c r="G65" s="19">
        <f ca="1">IF($A65="","",+Rates!V59)</f>
        <v>6.36</v>
      </c>
      <c r="H65" s="19">
        <f ca="1">IF($A65="","",+Rates!W59)</f>
        <v>3734.88</v>
      </c>
      <c r="I65" s="19">
        <f ca="1">IF($A65="","",+Rates!X59)</f>
        <v>686.74920000000009</v>
      </c>
      <c r="J65" s="19">
        <f ca="1">IF($A65="","",Rates!$Y59)</f>
        <v>119.04</v>
      </c>
      <c r="K65" s="19">
        <f ca="1">IF($A65="","",+Rates!Z59)</f>
        <v>4547.03</v>
      </c>
      <c r="L65" s="47">
        <f t="shared" ca="1" si="7"/>
        <v>51666.666666666664</v>
      </c>
      <c r="N65">
        <f t="shared" ca="1" si="8"/>
        <v>54</v>
      </c>
    </row>
    <row r="66" spans="1:14" x14ac:dyDescent="0.2">
      <c r="A66" s="2" t="str">
        <f t="shared" ca="1" si="2"/>
        <v>Electric</v>
      </c>
      <c r="B66" s="4">
        <f t="shared" ca="1" si="3"/>
        <v>42346.728449074071</v>
      </c>
      <c r="C66" s="17">
        <f t="shared" ca="1" si="4"/>
        <v>853</v>
      </c>
      <c r="D66" s="17">
        <f t="shared" ca="1" si="5"/>
        <v>34</v>
      </c>
      <c r="E66" s="47">
        <f t="shared" ca="1" si="6"/>
        <v>75000</v>
      </c>
      <c r="F66" s="7" t="str">
        <f t="shared" ca="1" si="0"/>
        <v>Actual</v>
      </c>
      <c r="G66" s="19">
        <f ca="1">IF($A66="","",+Rates!V60)</f>
        <v>5.7600000000000042</v>
      </c>
      <c r="H66" s="19">
        <f ca="1">IF($A66="","",+Rates!W60)</f>
        <v>7559.9999999999982</v>
      </c>
      <c r="I66" s="19">
        <f ca="1">IF($A66="","",+Rates!X60)</f>
        <v>1066.3499999999999</v>
      </c>
      <c r="J66" s="19">
        <f ca="1">IF($A66="","",Rates!$Y60)</f>
        <v>240</v>
      </c>
      <c r="K66" s="19">
        <f ca="1">IF($A66="","",+Rates!Z60)</f>
        <v>8872.11</v>
      </c>
      <c r="L66" s="47">
        <f t="shared" ca="1" si="7"/>
        <v>91911.764705882364</v>
      </c>
      <c r="N66">
        <f t="shared" ca="1" si="8"/>
        <v>55</v>
      </c>
    </row>
    <row r="67" spans="1:14" x14ac:dyDescent="0.2">
      <c r="A67" s="2" t="str">
        <f t="shared" ca="1" si="2"/>
        <v>Electric</v>
      </c>
      <c r="B67" s="4">
        <f t="shared" ca="1" si="3"/>
        <v>42312.746064814812</v>
      </c>
      <c r="C67" s="17">
        <f t="shared" ca="1" si="4"/>
        <v>478</v>
      </c>
      <c r="D67" s="17">
        <f t="shared" ca="1" si="5"/>
        <v>29</v>
      </c>
      <c r="E67" s="47">
        <f t="shared" ca="1" si="6"/>
        <v>0</v>
      </c>
      <c r="F67" s="7" t="str">
        <f t="shared" ca="1" si="0"/>
        <v>Actual</v>
      </c>
      <c r="G67" s="19">
        <f ca="1">IF($A67="","",+Rates!V61)</f>
        <v>5.7599999999999989</v>
      </c>
      <c r="H67" s="19">
        <f ca="1">IF($A67="","",+Rates!W61)</f>
        <v>0</v>
      </c>
      <c r="I67" s="19">
        <f ca="1">IF($A67="","",+Rates!X61)</f>
        <v>0</v>
      </c>
      <c r="J67" s="19">
        <f ca="1">IF($A67="","",Rates!$Y61)</f>
        <v>0</v>
      </c>
      <c r="K67" s="19">
        <f ca="1">IF($A67="","",+Rates!Z61)</f>
        <v>5.7599999999999989</v>
      </c>
      <c r="L67" s="47">
        <f t="shared" ca="1" si="7"/>
        <v>0</v>
      </c>
      <c r="N67">
        <f t="shared" ca="1" si="8"/>
        <v>56</v>
      </c>
    </row>
    <row r="68" spans="1:14" x14ac:dyDescent="0.2">
      <c r="A68" s="2" t="str">
        <f t="shared" ca="1" si="2"/>
        <v>Electric</v>
      </c>
      <c r="B68" s="4">
        <f t="shared" ca="1" si="3"/>
        <v>42283</v>
      </c>
      <c r="C68" s="17">
        <f t="shared" ca="1" si="4"/>
        <v>478</v>
      </c>
      <c r="D68" s="17">
        <f t="shared" ca="1" si="5"/>
        <v>28</v>
      </c>
      <c r="E68" s="47">
        <f t="shared" ca="1" si="6"/>
        <v>41800</v>
      </c>
      <c r="F68" s="7" t="str">
        <f t="shared" ca="1" si="0"/>
        <v>Actual</v>
      </c>
      <c r="G68" s="19">
        <f ca="1">IF($A68="","",+Rates!V62)</f>
        <v>5.7599999999999909</v>
      </c>
      <c r="H68" s="19">
        <f ca="1">IF($A68="","",+Rates!W62)</f>
        <v>4374.3700000000017</v>
      </c>
      <c r="I68" s="19">
        <f ca="1">IF($A68="","",+Rates!X62)</f>
        <v>268.02160000000003</v>
      </c>
      <c r="J68" s="19">
        <f ca="1">IF($A68="","",Rates!$Y62)</f>
        <v>133.76000000000002</v>
      </c>
      <c r="K68" s="19">
        <f ca="1">IF($A68="","",+Rates!Z62)</f>
        <v>4781.91</v>
      </c>
      <c r="L68" s="47">
        <f t="shared" ca="1" si="7"/>
        <v>62202.380952380954</v>
      </c>
      <c r="N68">
        <f t="shared" ca="1" si="8"/>
        <v>57</v>
      </c>
    </row>
    <row r="69" spans="1:14" x14ac:dyDescent="0.2">
      <c r="A69" s="2" t="str">
        <f t="shared" ca="1" si="2"/>
        <v>Electric</v>
      </c>
      <c r="B69" s="4">
        <f t="shared" ca="1" si="3"/>
        <v>42255.706550925926</v>
      </c>
      <c r="C69" s="17">
        <f t="shared" ca="1" si="4"/>
        <v>269</v>
      </c>
      <c r="D69" s="17">
        <f t="shared" ca="1" si="5"/>
        <v>33</v>
      </c>
      <c r="E69" s="47">
        <f t="shared" ca="1" si="6"/>
        <v>56400</v>
      </c>
      <c r="F69" s="7" t="str">
        <f t="shared" ca="1" si="0"/>
        <v>Actual</v>
      </c>
      <c r="G69" s="19">
        <f ca="1">IF($A69="","",+Rates!V63)</f>
        <v>5.759999999999998</v>
      </c>
      <c r="H69" s="19">
        <f ca="1">IF($A69="","",+Rates!W63)</f>
        <v>6553.68</v>
      </c>
      <c r="I69" s="19">
        <f ca="1">IF($A69="","",+Rates!X63)</f>
        <v>49.857599999999998</v>
      </c>
      <c r="J69" s="19">
        <f ca="1">IF($A69="","",Rates!$Y63)</f>
        <v>180.48000000000002</v>
      </c>
      <c r="K69" s="19">
        <f ca="1">IF($A69="","",+Rates!Z63)</f>
        <v>6789.78</v>
      </c>
      <c r="L69" s="47">
        <f t="shared" ca="1" si="7"/>
        <v>71212.121212121201</v>
      </c>
      <c r="N69">
        <f t="shared" ca="1" si="8"/>
        <v>58</v>
      </c>
    </row>
    <row r="70" spans="1:14" x14ac:dyDescent="0.2">
      <c r="A70" s="2" t="str">
        <f t="shared" ca="1" si="2"/>
        <v>Electric</v>
      </c>
      <c r="B70" s="4">
        <f t="shared" ca="1" si="3"/>
        <v>42222</v>
      </c>
      <c r="C70" s="17">
        <f t="shared" ca="1" si="4"/>
        <v>9987</v>
      </c>
      <c r="D70" s="17">
        <f t="shared" ca="1" si="5"/>
        <v>29</v>
      </c>
      <c r="E70" s="47">
        <f t="shared" ca="1" si="6"/>
        <v>40600</v>
      </c>
      <c r="F70" s="7" t="str">
        <f t="shared" ca="1" si="0"/>
        <v>Actual</v>
      </c>
      <c r="G70" s="19">
        <f ca="1">IF($A70="","",+Rates!V64)</f>
        <v>5.7599999999999989</v>
      </c>
      <c r="H70" s="19">
        <f ca="1">IF($A70="","",+Rates!W64)</f>
        <v>4717.72</v>
      </c>
      <c r="I70" s="19">
        <f ca="1">IF($A70="","",+Rates!X64)</f>
        <v>295.89280000000002</v>
      </c>
      <c r="J70" s="19">
        <f ca="1">IF($A70="","",Rates!$Y64)</f>
        <v>129.92000000000002</v>
      </c>
      <c r="K70" s="19">
        <f ca="1">IF($A70="","",+Rates!Z64)</f>
        <v>5149.2900000000009</v>
      </c>
      <c r="L70" s="47">
        <f t="shared" ca="1" si="7"/>
        <v>58333.333333333336</v>
      </c>
      <c r="N70">
        <f t="shared" ca="1" si="8"/>
        <v>59</v>
      </c>
    </row>
    <row r="71" spans="1:14" x14ac:dyDescent="0.2">
      <c r="A71" s="2" t="str">
        <f t="shared" ca="1" si="2"/>
        <v>Electric</v>
      </c>
      <c r="B71" s="4">
        <f t="shared" ca="1" si="3"/>
        <v>42193.636597222219</v>
      </c>
      <c r="C71" s="17">
        <f t="shared" ca="1" si="4"/>
        <v>9784</v>
      </c>
      <c r="D71" s="17">
        <f t="shared" ca="1" si="5"/>
        <v>33</v>
      </c>
      <c r="E71" s="47">
        <f t="shared" ca="1" si="6"/>
        <v>86000</v>
      </c>
      <c r="F71" s="7" t="str">
        <f t="shared" ca="1" si="0"/>
        <v>Actual</v>
      </c>
      <c r="G71" s="19">
        <f ca="1">IF($A71="","",+Rates!V65)</f>
        <v>5.759999999999998</v>
      </c>
      <c r="H71" s="19">
        <f ca="1">IF($A71="","",+Rates!W65)</f>
        <v>9993.1999999999989</v>
      </c>
      <c r="I71" s="19">
        <f ca="1">IF($A71="","",+Rates!X65)</f>
        <v>1453.2280000000001</v>
      </c>
      <c r="J71" s="19">
        <f ca="1">IF($A71="","",Rates!$Y65)</f>
        <v>275.2</v>
      </c>
      <c r="K71" s="19">
        <f ca="1">IF($A71="","",+Rates!Z65)</f>
        <v>11727.390000000001</v>
      </c>
      <c r="L71" s="47">
        <f t="shared" ca="1" si="7"/>
        <v>108585.85858585859</v>
      </c>
      <c r="N71">
        <f t="shared" ca="1" si="8"/>
        <v>60</v>
      </c>
    </row>
    <row r="72" spans="1:14" x14ac:dyDescent="0.2">
      <c r="A72" s="2" t="str">
        <f t="shared" ca="1" si="2"/>
        <v>Electric</v>
      </c>
      <c r="B72" s="4">
        <f t="shared" ca="1" si="3"/>
        <v>42160.587199074071</v>
      </c>
      <c r="C72" s="17">
        <f t="shared" ca="1" si="4"/>
        <v>9354</v>
      </c>
      <c r="D72" s="17">
        <f t="shared" ca="1" si="5"/>
        <v>30</v>
      </c>
      <c r="E72" s="47">
        <f t="shared" ca="1" si="6"/>
        <v>12600</v>
      </c>
      <c r="F72" s="7" t="str">
        <f t="shared" ca="1" si="0"/>
        <v>Actual</v>
      </c>
      <c r="G72" s="19">
        <f ca="1">IF($A72="","",+Rates!V66)</f>
        <v>5.760000000000006</v>
      </c>
      <c r="H72" s="19">
        <f ca="1">IF($A72="","",+Rates!W66)</f>
        <v>1405.9080000000001</v>
      </c>
      <c r="I72" s="19">
        <f ca="1">IF($A72="","",+Rates!X66)</f>
        <v>140.2758</v>
      </c>
      <c r="J72" s="19">
        <f ca="1">IF($A72="","",Rates!$Y66)</f>
        <v>40.32</v>
      </c>
      <c r="K72" s="19">
        <f ca="1">IF($A72="","",+Rates!Z66)</f>
        <v>1592.27</v>
      </c>
      <c r="L72" s="47">
        <f t="shared" ca="1" si="7"/>
        <v>17500</v>
      </c>
      <c r="N72">
        <f t="shared" ca="1" si="8"/>
        <v>61</v>
      </c>
    </row>
    <row r="73" spans="1:14" x14ac:dyDescent="0.2">
      <c r="A73" s="2" t="str">
        <f t="shared" ca="1" si="2"/>
        <v>Electric</v>
      </c>
      <c r="B73" s="4">
        <f t="shared" ca="1" si="3"/>
        <v>42130</v>
      </c>
      <c r="C73" s="17">
        <f t="shared" ca="1" si="4"/>
        <v>9291</v>
      </c>
      <c r="D73" s="17">
        <f t="shared" ca="1" si="5"/>
        <v>29</v>
      </c>
      <c r="E73" s="47">
        <f t="shared" ca="1" si="6"/>
        <v>28000</v>
      </c>
      <c r="F73" s="7" t="str">
        <f t="shared" ca="1" si="0"/>
        <v>Actual</v>
      </c>
      <c r="G73" s="19">
        <f ca="1">IF($A73="","",+Rates!V67)</f>
        <v>5.7599999999999989</v>
      </c>
      <c r="H73" s="19">
        <f ca="1">IF($A73="","",+Rates!W67)</f>
        <v>2822.4000000000083</v>
      </c>
      <c r="I73" s="19">
        <f ca="1">IF($A73="","",+Rates!X67)</f>
        <v>411.59999999999997</v>
      </c>
      <c r="J73" s="19">
        <f ca="1">IF($A73="","",Rates!$Y67)</f>
        <v>89.600000000000009</v>
      </c>
      <c r="K73" s="19">
        <f ca="1">IF($A73="","",+Rates!Z67)</f>
        <v>3329.36</v>
      </c>
      <c r="L73" s="47">
        <f t="shared" ca="1" si="7"/>
        <v>40229.885057471263</v>
      </c>
      <c r="N73">
        <f t="shared" ca="1" si="8"/>
        <v>62</v>
      </c>
    </row>
    <row r="74" spans="1:14" x14ac:dyDescent="0.2">
      <c r="A74" s="2" t="str">
        <f t="shared" ca="1" si="2"/>
        <v>Electric</v>
      </c>
      <c r="B74" s="4">
        <f t="shared" ca="1" si="3"/>
        <v>42101.473298611112</v>
      </c>
      <c r="C74" s="17">
        <f t="shared" ca="1" si="4"/>
        <v>9151</v>
      </c>
      <c r="D74" s="17">
        <f t="shared" ca="1" si="5"/>
        <v>32</v>
      </c>
      <c r="E74" s="47">
        <f t="shared" ca="1" si="6"/>
        <v>79400</v>
      </c>
      <c r="F74" s="7" t="str">
        <f t="shared" ca="1" si="0"/>
        <v>Actual</v>
      </c>
      <c r="G74" s="19">
        <f ca="1">IF($A74="","",+Rates!V68)</f>
        <v>5.7600000000000193</v>
      </c>
      <c r="H74" s="19">
        <f ca="1">IF($A74="","",+Rates!W68)</f>
        <v>8003.52</v>
      </c>
      <c r="I74" s="19">
        <f ca="1">IF($A74="","",+Rates!X68)</f>
        <v>785.82179999999994</v>
      </c>
      <c r="J74" s="19">
        <f ca="1">IF($A74="","",Rates!$Y68)</f>
        <v>254.08</v>
      </c>
      <c r="K74" s="19">
        <f ca="1">IF($A74="","",+Rates!Z68)</f>
        <v>9049.18</v>
      </c>
      <c r="L74" s="47">
        <f t="shared" ca="1" si="7"/>
        <v>103385.41666666667</v>
      </c>
      <c r="N74">
        <f t="shared" ca="1" si="8"/>
        <v>63</v>
      </c>
    </row>
    <row r="75" spans="1:14" x14ac:dyDescent="0.2">
      <c r="A75" s="2" t="str">
        <f t="shared" ca="1" si="2"/>
        <v>Electric</v>
      </c>
      <c r="B75" s="4">
        <f t="shared" ca="1" si="3"/>
        <v>42069.535439814812</v>
      </c>
      <c r="C75" s="17">
        <f t="shared" ca="1" si="4"/>
        <v>8754</v>
      </c>
      <c r="D75" s="17">
        <f t="shared" ca="1" si="5"/>
        <v>28</v>
      </c>
      <c r="E75" s="47">
        <f t="shared" ca="1" si="6"/>
        <v>45000</v>
      </c>
      <c r="F75" s="7" t="str">
        <f t="shared" ca="1" si="0"/>
        <v>Actual</v>
      </c>
      <c r="G75" s="19">
        <f ca="1">IF($A75="","",+Rates!V69)</f>
        <v>5.7599999999999909</v>
      </c>
      <c r="H75" s="19">
        <f ca="1">IF($A75="","",+Rates!W69)</f>
        <v>4535.99999999998</v>
      </c>
      <c r="I75" s="19">
        <f ca="1">IF($A75="","",+Rates!X69)</f>
        <v>399.55500000000001</v>
      </c>
      <c r="J75" s="19">
        <f ca="1">IF($A75="","",Rates!$Y69)</f>
        <v>144</v>
      </c>
      <c r="K75" s="19">
        <f ca="1">IF($A75="","",+Rates!Z69)</f>
        <v>5085.3200000000006</v>
      </c>
      <c r="L75" s="47">
        <f t="shared" ca="1" si="7"/>
        <v>66964.28571428571</v>
      </c>
      <c r="N75">
        <f t="shared" ca="1" si="8"/>
        <v>64</v>
      </c>
    </row>
    <row r="76" spans="1:14" x14ac:dyDescent="0.2">
      <c r="A76" s="2" t="str">
        <f t="shared" ca="1" si="2"/>
        <v>Electric</v>
      </c>
      <c r="B76" s="4">
        <f t="shared" ca="1" si="3"/>
        <v>42041.426712962966</v>
      </c>
      <c r="C76" s="17">
        <f t="shared" ca="1" si="4"/>
        <v>8529</v>
      </c>
      <c r="D76" s="17">
        <f t="shared" ca="1" si="5"/>
        <v>29</v>
      </c>
      <c r="E76" s="47">
        <f t="shared" ca="1" si="6"/>
        <v>0</v>
      </c>
      <c r="F76" s="7" t="str">
        <f t="shared" ca="1" si="0"/>
        <v>Actual</v>
      </c>
      <c r="G76" s="19">
        <f ca="1">IF($A76="","",+Rates!V70)</f>
        <v>5.7599999999999989</v>
      </c>
      <c r="H76" s="19">
        <f ca="1">IF($A76="","",+Rates!W70)</f>
        <v>0</v>
      </c>
      <c r="I76" s="19">
        <f ca="1">IF($A76="","",+Rates!X70)</f>
        <v>0</v>
      </c>
      <c r="J76" s="19">
        <f ca="1">IF($A76="","",Rates!$Y70)</f>
        <v>0</v>
      </c>
      <c r="K76" s="19">
        <f ca="1">IF($A76="","",+Rates!Z70)</f>
        <v>5.7599999999999989</v>
      </c>
      <c r="L76" s="47">
        <f t="shared" ca="1" si="7"/>
        <v>0</v>
      </c>
      <c r="N76">
        <f t="shared" ca="1" si="8"/>
        <v>65</v>
      </c>
    </row>
    <row r="77" spans="1:14" x14ac:dyDescent="0.2">
      <c r="A77" s="2" t="str">
        <f ca="1">IF(ROW()&gt;($N$9-$N$8+12),"",INDIRECT("'Reading History'!A"&amp;$N77+$N$8-1))</f>
        <v>Electric</v>
      </c>
      <c r="B77" s="4">
        <f ca="1">INDIRECT("'Reading History'!B"&amp;$N$8+N76)</f>
        <v>42012.376689814817</v>
      </c>
      <c r="C77" s="17">
        <f ca="1">IF($A77="","",INDIRECT("'Reading History'!G"&amp;$N77+$N$8-1))</f>
        <v>8529</v>
      </c>
      <c r="D77" s="17">
        <f ca="1">IF($A77="","",INDIRECT("'Reading History'!H"&amp;$N77+$N$8-1))</f>
        <v>31</v>
      </c>
      <c r="E77" s="47">
        <f ca="1">IF($A77="","",INDIRECT("'Reading History'!I"&amp;$N77+$N$8-1))</f>
        <v>42400</v>
      </c>
      <c r="F77" s="7" t="str">
        <f ca="1">IF($A77="","",IF(RIGHT(INDIRECT("'Reading History'!E"&amp;$N77+$N$8-1),4)="Read",LEFT(INDIRECT("'Reading History'!E"&amp;$N77+$N$8-1),LEN(INDIRECT("'Reading History'!E"&amp;$N77+$N$8-1))-5),INDIRECT("'Reading History'!E"&amp;$N77+$N$8-1)))</f>
        <v>Actual</v>
      </c>
      <c r="G77" s="19">
        <f ca="1">IF($A77="","",+Rates!V71)</f>
        <v>5.759999999999998</v>
      </c>
      <c r="H77" s="19">
        <f ca="1">IF($A77="","",+Rates!W71)</f>
        <v>4273.919999999991</v>
      </c>
      <c r="I77" s="19">
        <f ca="1">IF($A77="","",+Rates!X71)</f>
        <v>810.05200000000002</v>
      </c>
      <c r="J77" s="19">
        <f ca="1">IF($A77="","",Rates!$Y71)</f>
        <v>135.68</v>
      </c>
      <c r="K77" s="19">
        <f ca="1">IF($A77="","",+Rates!Z71)</f>
        <v>5225.4100000000008</v>
      </c>
      <c r="L77" s="47">
        <f t="shared" ca="1" si="7"/>
        <v>56989.247311827959</v>
      </c>
      <c r="N77">
        <f t="shared" ca="1" si="8"/>
        <v>66</v>
      </c>
    </row>
    <row r="78" spans="1:14" x14ac:dyDescent="0.2">
      <c r="A78" s="2" t="str">
        <f ca="1">IF(ROW()&gt;($N$9-$N$8+12),"",INDIRECT("'Reading History'!A"&amp;$N78+$N$8-1))</f>
        <v>Electric</v>
      </c>
      <c r="B78" s="4">
        <f ca="1">INDIRECT("'Reading History'!B"&amp;$N$8+N77)</f>
        <v>41981.390173611115</v>
      </c>
      <c r="C78" s="17">
        <f ca="1">IF($A78="","",INDIRECT("'Reading History'!G"&amp;$N78+$N$8-1))</f>
        <v>8317</v>
      </c>
      <c r="D78" s="17">
        <f ca="1">IF($A78="","",INDIRECT("'Reading History'!H"&amp;$N78+$N$8-1))</f>
        <v>32</v>
      </c>
      <c r="E78" s="47">
        <f ca="1">IF($A78="","",INDIRECT("'Reading History'!I"&amp;$N78+$N$8-1))</f>
        <v>46600</v>
      </c>
      <c r="F78" s="7" t="str">
        <f ca="1">IF($A78="","",IF(RIGHT(INDIRECT("'Reading History'!E"&amp;$N78+$N$8-1),4)="Read",LEFT(INDIRECT("'Reading History'!E"&amp;$N78+$N$8-1),LEN(INDIRECT("'Reading History'!E"&amp;$N78+$N$8-1))-5),INDIRECT("'Reading History'!E"&amp;$N78+$N$8-1)))</f>
        <v>Actual</v>
      </c>
      <c r="G78" s="19">
        <f ca="1">IF($A78="","",+Rates!V72)</f>
        <v>5.7599999999999909</v>
      </c>
      <c r="H78" s="19">
        <f ca="1">IF($A78="","",+Rates!W72)</f>
        <v>4697.2800000000107</v>
      </c>
      <c r="I78" s="19">
        <f ca="1">IF($A78="","",+Rates!X72)</f>
        <v>591.35400000000004</v>
      </c>
      <c r="J78" s="19">
        <f ca="1">IF($A78="","",Rates!$Y72)</f>
        <v>149.12</v>
      </c>
      <c r="K78" s="19">
        <f ca="1">IF($A78="","",+Rates!Z72)</f>
        <v>5443.51</v>
      </c>
      <c r="L78" s="47">
        <f t="shared" ref="L78:L141" ca="1" si="11">IF($A78="","",IF(F79="Estimate",+(E78+E79)/(D78+D79),IF(F78="Estimate",+(E78+E77)/(D78+D77),+E78/D78))/24*1000)</f>
        <v>60677.083333333336</v>
      </c>
      <c r="N78">
        <f t="shared" ca="1" si="8"/>
        <v>67</v>
      </c>
    </row>
    <row r="79" spans="1:14" x14ac:dyDescent="0.2">
      <c r="A79" s="2" t="str">
        <f ca="1">IF(ROW()&gt;($N$9-$N$8+12),"",INDIRECT("'Reading History'!A"&amp;$N79+$N$8-1))</f>
        <v>Electric</v>
      </c>
      <c r="B79" s="4">
        <f ca="1">INDIRECT("'Reading History'!B"&amp;$N$8+N78)</f>
        <v>41949.349317129629</v>
      </c>
      <c r="C79" s="17">
        <f ca="1">IF($A79="","",INDIRECT("'Reading History'!G"&amp;$N79+$N$8-1))</f>
        <v>8084</v>
      </c>
      <c r="D79" s="17">
        <f ca="1">IF($A79="","",INDIRECT("'Reading History'!H"&amp;$N79+$N$8-1))</f>
        <v>29</v>
      </c>
      <c r="E79" s="47">
        <f ca="1">IF($A79="","",INDIRECT("'Reading History'!I"&amp;$N79+$N$8-1))</f>
        <v>33800</v>
      </c>
      <c r="F79" s="7" t="str">
        <f ca="1">IF($A79="","",IF(RIGHT(INDIRECT("'Reading History'!E"&amp;$N79+$N$8-1),4)="Read",LEFT(INDIRECT("'Reading History'!E"&amp;$N79+$N$8-1),LEN(INDIRECT("'Reading History'!E"&amp;$N79+$N$8-1))-5),INDIRECT("'Reading History'!E"&amp;$N79+$N$8-1)))</f>
        <v>Actual</v>
      </c>
      <c r="G79" s="19">
        <f ca="1">IF($A79="","",+Rates!V73)</f>
        <v>5.760000000000014</v>
      </c>
      <c r="H79" s="19">
        <f ca="1">IF($A79="","",+Rates!W73)</f>
        <v>3407.0399999999931</v>
      </c>
      <c r="I79" s="19">
        <f ca="1">IF($A79="","",+Rates!X73)</f>
        <v>490.94499999999999</v>
      </c>
      <c r="J79" s="19">
        <f ca="1">IF($A79="","",Rates!$Y73)</f>
        <v>108.16000000000001</v>
      </c>
      <c r="K79" s="19">
        <f ca="1">IF($A79="","",+Rates!Z73)</f>
        <v>4011.91</v>
      </c>
      <c r="L79" s="47">
        <f t="shared" ca="1" si="11"/>
        <v>48563.218390804592</v>
      </c>
      <c r="N79">
        <f t="shared" ca="1" si="8"/>
        <v>68</v>
      </c>
    </row>
    <row r="80" spans="1:14" x14ac:dyDescent="0.2">
      <c r="A80" s="2" t="str">
        <f ca="1">IF(ROW()&gt;($N$9-$N$8+12),"",INDIRECT("'Reading History'!A"&amp;$N80+$N$8-1))</f>
        <v>Electric</v>
      </c>
      <c r="B80" s="4">
        <f ca="1">INDIRECT("'Reading History'!B"&amp;$N$8+N79)</f>
        <v>41920.47934027778</v>
      </c>
      <c r="C80" s="17">
        <f ca="1">IF($A80="","",INDIRECT("'Reading History'!G"&amp;$N80+$N$8-1))</f>
        <v>7915</v>
      </c>
      <c r="D80" s="17">
        <f ca="1">IF($A80="","",INDIRECT("'Reading History'!H"&amp;$N80+$N$8-1))</f>
        <v>30</v>
      </c>
      <c r="E80" s="47">
        <f ca="1">IF($A80="","",INDIRECT("'Reading History'!I"&amp;$N80+$N$8-1))</f>
        <v>37800</v>
      </c>
      <c r="F80" s="7" t="str">
        <f ca="1">IF($A80="","",IF(RIGHT(INDIRECT("'Reading History'!E"&amp;$N80+$N$8-1),4)="Read",LEFT(INDIRECT("'Reading History'!E"&amp;$N80+$N$8-1),LEN(INDIRECT("'Reading History'!E"&amp;$N80+$N$8-1))-5),INDIRECT("'Reading History'!E"&amp;$N80+$N$8-1)))</f>
        <v>Actual</v>
      </c>
      <c r="G80" s="19">
        <f ca="1">IF($A80="","",+Rates!V74)</f>
        <v>5.7599999999999909</v>
      </c>
      <c r="H80" s="19">
        <f ca="1">IF($A80="","",+Rates!W74)</f>
        <v>3946.0680000000011</v>
      </c>
      <c r="I80" s="19">
        <f ca="1">IF($A80="","",+Rates!X74)</f>
        <v>-20.563199999999998</v>
      </c>
      <c r="J80" s="19">
        <f ca="1">IF($A80="","",Rates!$Y74)</f>
        <v>120.96000000000001</v>
      </c>
      <c r="K80" s="19">
        <f ca="1">IF($A80="","",+Rates!Z74)</f>
        <v>4052.23</v>
      </c>
      <c r="L80" s="47">
        <f t="shared" ca="1" si="11"/>
        <v>52500</v>
      </c>
      <c r="N80">
        <f t="shared" ca="1" si="8"/>
        <v>69</v>
      </c>
    </row>
    <row r="81" spans="1:14" x14ac:dyDescent="0.2">
      <c r="A81" s="2" t="str">
        <f ca="1">IF(ROW()&gt;($N$9-$N$8+12),"",INDIRECT("'Reading History'!A"&amp;$N81+$N$8-1))</f>
        <v>Electric</v>
      </c>
      <c r="B81" s="4">
        <f ca="1">INDIRECT("'Reading History'!B"&amp;$N$8+N80)</f>
        <v>41890.572141203702</v>
      </c>
      <c r="C81" s="17">
        <f ca="1">IF($A81="","",INDIRECT("'Reading History'!G"&amp;$N81+$N$8-1))</f>
        <v>7726</v>
      </c>
      <c r="D81" s="17">
        <f ca="1">IF($A81="","",INDIRECT("'Reading History'!H"&amp;$N81+$N$8-1))</f>
        <v>33</v>
      </c>
      <c r="E81" s="47">
        <f ca="1">IF($A81="","",INDIRECT("'Reading History'!I"&amp;$N81+$N$8-1))</f>
        <v>49000</v>
      </c>
      <c r="F81" s="7" t="str">
        <f ca="1">IF($A81="","",IF(RIGHT(INDIRECT("'Reading History'!E"&amp;$N81+$N$8-1),4)="Read",LEFT(INDIRECT("'Reading History'!E"&amp;$N81+$N$8-1),LEN(INDIRECT("'Reading History'!E"&amp;$N81+$N$8-1))-5),INDIRECT("'Reading History'!E"&amp;$N81+$N$8-1)))</f>
        <v>Actual</v>
      </c>
      <c r="G81" s="19">
        <f ca="1">IF($A81="","",+Rates!V75)</f>
        <v>5.759999999999998</v>
      </c>
      <c r="H81" s="19">
        <f ca="1">IF($A81="","",+Rates!W75)</f>
        <v>5693.8</v>
      </c>
      <c r="I81" s="19">
        <f ca="1">IF($A81="","",+Rates!X75)</f>
        <v>354.858</v>
      </c>
      <c r="J81" s="19">
        <f ca="1">IF($A81="","",Rates!$Y75)</f>
        <v>156.80000000000001</v>
      </c>
      <c r="K81" s="19">
        <f ca="1">IF($A81="","",+Rates!Z75)</f>
        <v>6211.22</v>
      </c>
      <c r="L81" s="47">
        <f t="shared" ca="1" si="11"/>
        <v>61868.686868686862</v>
      </c>
      <c r="N81">
        <f t="shared" ca="1" si="8"/>
        <v>70</v>
      </c>
    </row>
    <row r="82" spans="1:14" x14ac:dyDescent="0.2">
      <c r="A82" s="2" t="str">
        <f t="shared" ref="A82:A145" ca="1" si="12">IF(ROW()&gt;($N$9-$N$8+12),"",INDIRECT("'Reading History'!A"&amp;$N82+$N$8-1))</f>
        <v>Electric</v>
      </c>
      <c r="B82" s="4">
        <f t="shared" ref="B82:B116" ca="1" si="13">INDIRECT("'Reading History'!B"&amp;$N$8+N81)</f>
        <v>41857.470046296294</v>
      </c>
      <c r="C82" s="17">
        <f t="shared" ref="C82:C145" ca="1" si="14">IF($A82="","",INDIRECT("'Reading History'!G"&amp;$N82+$N$8-1))</f>
        <v>7481</v>
      </c>
      <c r="D82" s="17">
        <f t="shared" ref="D82:D145" ca="1" si="15">IF($A82="","",INDIRECT("'Reading History'!H"&amp;$N82+$N$8-1))</f>
        <v>28</v>
      </c>
      <c r="E82" s="47">
        <f t="shared" ref="E82:E145" ca="1" si="16">IF($A82="","",INDIRECT("'Reading History'!I"&amp;$N82+$N$8-1))</f>
        <v>42200</v>
      </c>
      <c r="F82" s="7" t="str">
        <f t="shared" ref="F82:F145" ca="1" si="17">IF($A82="","",IF(RIGHT(INDIRECT("'Reading History'!E"&amp;$N82+$N$8-1),4)="Read",LEFT(INDIRECT("'Reading History'!E"&amp;$N82+$N$8-1),LEN(INDIRECT("'Reading History'!E"&amp;$N82+$N$8-1))-5),INDIRECT("'Reading History'!E"&amp;$N82+$N$8-1)))</f>
        <v>Actual</v>
      </c>
      <c r="G82" s="19">
        <f ca="1">IF($A82="","",+Rates!V76)</f>
        <v>5.7600000000000069</v>
      </c>
      <c r="H82" s="19">
        <f ca="1">IF($A82="","",+Rates!W76)</f>
        <v>4903.6400000000003</v>
      </c>
      <c r="I82" s="19">
        <f ca="1">IF($A82="","",+Rates!X76)</f>
        <v>386.42540000000002</v>
      </c>
      <c r="J82" s="19">
        <f ca="1">IF($A82="","",Rates!$Y76)</f>
        <v>135.04000000000002</v>
      </c>
      <c r="K82" s="19">
        <f ca="1">IF($A82="","",+Rates!Z76)</f>
        <v>5430.8700000000008</v>
      </c>
      <c r="L82" s="47">
        <f t="shared" ca="1" si="11"/>
        <v>62797.619047619046</v>
      </c>
      <c r="N82">
        <f t="shared" ref="N82:N116" ca="1" si="18">IF(ROW()&gt;($N$9-$N$8+12),0,MATCH(B82,INDIRECT("'Reading History'!B"&amp;$N$8&amp;":b"&amp;$N$9),-1))</f>
        <v>71</v>
      </c>
    </row>
    <row r="83" spans="1:14" x14ac:dyDescent="0.2">
      <c r="A83" s="2" t="str">
        <f t="shared" ca="1" si="12"/>
        <v>Electric</v>
      </c>
      <c r="B83" s="4">
        <f t="shared" ca="1" si="13"/>
        <v>41829.407094907408</v>
      </c>
      <c r="C83" s="17">
        <f t="shared" ca="1" si="14"/>
        <v>7270</v>
      </c>
      <c r="D83" s="17">
        <f t="shared" ca="1" si="15"/>
        <v>34</v>
      </c>
      <c r="E83" s="47">
        <f t="shared" ca="1" si="16"/>
        <v>49000</v>
      </c>
      <c r="F83" s="7" t="str">
        <f t="shared" ca="1" si="17"/>
        <v>Actual</v>
      </c>
      <c r="G83" s="19">
        <f ca="1">IF($A83="","",+Rates!V77)</f>
        <v>5.7599999999999909</v>
      </c>
      <c r="H83" s="19">
        <f ca="1">IF($A83="","",+Rates!W77)</f>
        <v>5693.8</v>
      </c>
      <c r="I83" s="19">
        <f ca="1">IF($A83="","",+Rates!X77)</f>
        <v>88.983999999999995</v>
      </c>
      <c r="J83" s="19">
        <f ca="1">IF($A83="","",Rates!$Y77)</f>
        <v>156.80000000000001</v>
      </c>
      <c r="K83" s="19">
        <f ca="1">IF($A83="","",+Rates!Z77)</f>
        <v>5945.34</v>
      </c>
      <c r="L83" s="47">
        <f t="shared" ca="1" si="11"/>
        <v>60049.01960784314</v>
      </c>
      <c r="N83">
        <f t="shared" ca="1" si="18"/>
        <v>72</v>
      </c>
    </row>
    <row r="84" spans="1:14" x14ac:dyDescent="0.2">
      <c r="A84" s="2" t="str">
        <f t="shared" ca="1" si="12"/>
        <v>Electric</v>
      </c>
      <c r="B84" s="4">
        <f t="shared" ca="1" si="13"/>
        <v>41795.518055555556</v>
      </c>
      <c r="C84" s="17">
        <f t="shared" ca="1" si="14"/>
        <v>7025</v>
      </c>
      <c r="D84" s="17">
        <f t="shared" ca="1" si="15"/>
        <v>30</v>
      </c>
      <c r="E84" s="47">
        <f t="shared" ca="1" si="16"/>
        <v>39800</v>
      </c>
      <c r="F84" s="7" t="str">
        <f t="shared" ca="1" si="17"/>
        <v>Actual</v>
      </c>
      <c r="G84" s="19">
        <f ca="1">IF($A84="","",+Rates!V78)</f>
        <v>5.760000000000006</v>
      </c>
      <c r="H84" s="19">
        <f ca="1">IF($A84="","",+Rates!W78)</f>
        <v>4440.884</v>
      </c>
      <c r="I84" s="19">
        <f ca="1">IF($A84="","",+Rates!X78)</f>
        <v>1003.4376</v>
      </c>
      <c r="J84" s="19">
        <f ca="1">IF($A84="","",Rates!$Y78)</f>
        <v>127.36</v>
      </c>
      <c r="K84" s="19">
        <f ca="1">IF($A84="","",+Rates!Z78)</f>
        <v>5577.44</v>
      </c>
      <c r="L84" s="47">
        <f t="shared" ca="1" si="11"/>
        <v>55277.777777777781</v>
      </c>
      <c r="N84">
        <f t="shared" ca="1" si="18"/>
        <v>73</v>
      </c>
    </row>
    <row r="85" spans="1:14" x14ac:dyDescent="0.2">
      <c r="A85" s="2" t="str">
        <f t="shared" ca="1" si="12"/>
        <v>Electric</v>
      </c>
      <c r="B85" s="4">
        <f t="shared" ca="1" si="13"/>
        <v>41765.537129629629</v>
      </c>
      <c r="C85" s="17">
        <f t="shared" ca="1" si="14"/>
        <v>6826</v>
      </c>
      <c r="D85" s="17">
        <f t="shared" ca="1" si="15"/>
        <v>28</v>
      </c>
      <c r="E85" s="47">
        <f t="shared" ca="1" si="16"/>
        <v>33200</v>
      </c>
      <c r="F85" s="7" t="str">
        <f t="shared" ca="1" si="17"/>
        <v>Actual</v>
      </c>
      <c r="G85" s="19">
        <f ca="1">IF($A85="","",+Rates!V79)</f>
        <v>5.7600000000000069</v>
      </c>
      <c r="H85" s="19">
        <f ca="1">IF($A85="","",+Rates!W79)</f>
        <v>3346.5600000000022</v>
      </c>
      <c r="I85" s="19">
        <f ca="1">IF($A85="","",+Rates!X79)</f>
        <v>300.95800000000003</v>
      </c>
      <c r="J85" s="19">
        <f ca="1">IF($A85="","",Rates!$Y79)</f>
        <v>106.24000000000001</v>
      </c>
      <c r="K85" s="19">
        <f ca="1">IF($A85="","",+Rates!Z79)</f>
        <v>3759.52</v>
      </c>
      <c r="L85" s="47">
        <f t="shared" ca="1" si="11"/>
        <v>49404.761904761908</v>
      </c>
      <c r="N85">
        <f t="shared" ca="1" si="18"/>
        <v>74</v>
      </c>
    </row>
    <row r="86" spans="1:14" x14ac:dyDescent="0.2">
      <c r="A86" s="2" t="str">
        <f t="shared" ca="1" si="12"/>
        <v>Electric</v>
      </c>
      <c r="B86" s="4">
        <f t="shared" ca="1" si="13"/>
        <v>41737.369641203702</v>
      </c>
      <c r="C86" s="17">
        <f t="shared" ca="1" si="14"/>
        <v>6660</v>
      </c>
      <c r="D86" s="17">
        <f t="shared" ca="1" si="15"/>
        <v>29</v>
      </c>
      <c r="E86" s="47">
        <f t="shared" ca="1" si="16"/>
        <v>36000</v>
      </c>
      <c r="F86" s="7" t="str">
        <f t="shared" ca="1" si="17"/>
        <v>Actual</v>
      </c>
      <c r="G86" s="19">
        <f ca="1">IF($A86="","",+Rates!V80)</f>
        <v>5.7599999999999989</v>
      </c>
      <c r="H86" s="19">
        <f ca="1">IF($A86="","",+Rates!W80)</f>
        <v>3628.800000000002</v>
      </c>
      <c r="I86" s="19">
        <f ca="1">IF($A86="","",+Rates!X80)</f>
        <v>139.28399999999999</v>
      </c>
      <c r="J86" s="19">
        <f ca="1">IF($A86="","",Rates!$Y80)</f>
        <v>115.2</v>
      </c>
      <c r="K86" s="19">
        <f ca="1">IF($A86="","",+Rates!Z80)</f>
        <v>3889.0400000000004</v>
      </c>
      <c r="L86" s="47">
        <f t="shared" ca="1" si="11"/>
        <v>51724.137931034486</v>
      </c>
      <c r="N86">
        <f t="shared" ca="1" si="18"/>
        <v>75</v>
      </c>
    </row>
    <row r="87" spans="1:14" x14ac:dyDescent="0.2">
      <c r="A87" s="2" t="str">
        <f t="shared" ca="1" si="12"/>
        <v>Electric</v>
      </c>
      <c r="B87" s="4">
        <f t="shared" ca="1" si="13"/>
        <v>41708.410902777781</v>
      </c>
      <c r="C87" s="17">
        <f t="shared" ca="1" si="14"/>
        <v>6480</v>
      </c>
      <c r="D87" s="17">
        <f t="shared" ca="1" si="15"/>
        <v>33</v>
      </c>
      <c r="E87" s="47">
        <f t="shared" ca="1" si="16"/>
        <v>35400</v>
      </c>
      <c r="F87" s="7" t="str">
        <f t="shared" ca="1" si="17"/>
        <v>Actual</v>
      </c>
      <c r="G87" s="19">
        <f ca="1">IF($A87="","",+Rates!V81)</f>
        <v>5.759999999999998</v>
      </c>
      <c r="H87" s="19">
        <f ca="1">IF($A87="","",+Rates!W81)</f>
        <v>3568.3199999999997</v>
      </c>
      <c r="I87" s="19">
        <f ca="1">IF($A87="","",+Rates!X81)</f>
        <v>252.93300000000002</v>
      </c>
      <c r="J87" s="19">
        <f ca="1">IF($A87="","",Rates!$Y81)</f>
        <v>113.28</v>
      </c>
      <c r="K87" s="19">
        <f ca="1">IF($A87="","",+Rates!Z81)</f>
        <v>3940.2900000000004</v>
      </c>
      <c r="L87" s="47">
        <f t="shared" ca="1" si="11"/>
        <v>44696.969696969696</v>
      </c>
      <c r="N87">
        <f t="shared" ca="1" si="18"/>
        <v>76</v>
      </c>
    </row>
    <row r="88" spans="1:14" x14ac:dyDescent="0.2">
      <c r="A88" s="2" t="str">
        <f t="shared" ca="1" si="12"/>
        <v>Electric</v>
      </c>
      <c r="B88" s="4">
        <f t="shared" ca="1" si="13"/>
        <v>41675.732569444444</v>
      </c>
      <c r="C88" s="17">
        <f t="shared" ca="1" si="14"/>
        <v>6303</v>
      </c>
      <c r="D88" s="17">
        <f t="shared" ca="1" si="15"/>
        <v>29</v>
      </c>
      <c r="E88" s="47">
        <f t="shared" ca="1" si="16"/>
        <v>39400</v>
      </c>
      <c r="F88" s="7" t="str">
        <f t="shared" ca="1" si="17"/>
        <v>Actual</v>
      </c>
      <c r="G88" s="19">
        <f ca="1">IF($A88="","",+Rates!V82)</f>
        <v>5.7599999999999989</v>
      </c>
      <c r="H88" s="19">
        <f ca="1">IF($A88="","",+Rates!W82)</f>
        <v>3971.5199999999968</v>
      </c>
      <c r="I88" s="19">
        <f ca="1">IF($A88="","",+Rates!X82)</f>
        <v>143.25839999999999</v>
      </c>
      <c r="J88" s="19">
        <f ca="1">IF($A88="","",Rates!$Y82)</f>
        <v>126.08000000000001</v>
      </c>
      <c r="K88" s="19">
        <f ca="1">IF($A88="","",+Rates!Z82)</f>
        <v>4246.62</v>
      </c>
      <c r="L88" s="47">
        <f t="shared" ca="1" si="11"/>
        <v>56609.195402298843</v>
      </c>
      <c r="N88">
        <f t="shared" ca="1" si="18"/>
        <v>77</v>
      </c>
    </row>
    <row r="89" spans="1:14" x14ac:dyDescent="0.2">
      <c r="A89" s="2" t="str">
        <f t="shared" ca="1" si="12"/>
        <v>Electric</v>
      </c>
      <c r="B89" s="4">
        <f t="shared" ca="1" si="13"/>
        <v>41646.743888888886</v>
      </c>
      <c r="C89" s="17">
        <f t="shared" ca="1" si="14"/>
        <v>6106</v>
      </c>
      <c r="D89" s="17">
        <f t="shared" ca="1" si="15"/>
        <v>32</v>
      </c>
      <c r="E89" s="47">
        <f t="shared" ca="1" si="16"/>
        <v>37000</v>
      </c>
      <c r="F89" s="7" t="str">
        <f t="shared" ca="1" si="17"/>
        <v>Actual</v>
      </c>
      <c r="G89" s="19">
        <f ca="1">IF($A89="","",+Rates!V83)</f>
        <v>5.759999999999998</v>
      </c>
      <c r="H89" s="19">
        <f ca="1">IF($A89="","",+Rates!W83)</f>
        <v>3729.6</v>
      </c>
      <c r="I89" s="19">
        <f ca="1">IF($A89="","",+Rates!X83)</f>
        <v>583.97099999999989</v>
      </c>
      <c r="J89" s="19">
        <f ca="1">IF($A89="","",Rates!$Y83)</f>
        <v>118.4</v>
      </c>
      <c r="K89" s="19">
        <f ca="1">IF($A89="","",+Rates!Z83)</f>
        <v>4437.7299999999996</v>
      </c>
      <c r="L89" s="47">
        <f t="shared" ca="1" si="11"/>
        <v>48177.083333333336</v>
      </c>
      <c r="N89">
        <f t="shared" ca="1" si="18"/>
        <v>78</v>
      </c>
    </row>
    <row r="90" spans="1:14" x14ac:dyDescent="0.2">
      <c r="A90" s="2" t="str">
        <f t="shared" ca="1" si="12"/>
        <v>Electric</v>
      </c>
      <c r="B90" s="4">
        <f t="shared" ca="1" si="13"/>
        <v>41614.539849537039</v>
      </c>
      <c r="C90" s="17">
        <f t="shared" ca="1" si="14"/>
        <v>5921</v>
      </c>
      <c r="D90" s="17">
        <f t="shared" ca="1" si="15"/>
        <v>31</v>
      </c>
      <c r="E90" s="47">
        <f t="shared" ca="1" si="16"/>
        <v>33000</v>
      </c>
      <c r="F90" s="7" t="str">
        <f t="shared" ca="1" si="17"/>
        <v>Actual</v>
      </c>
      <c r="G90" s="19">
        <f ca="1">IF($A90="","",+Rates!V84)</f>
        <v>5.759999999999998</v>
      </c>
      <c r="H90" s="19">
        <f ca="1">IF($A90="","",+Rates!W84)</f>
        <v>3326.4000000000005</v>
      </c>
      <c r="I90" s="19">
        <f ca="1">IF($A90="","",+Rates!X84)</f>
        <v>372.24</v>
      </c>
      <c r="J90" s="19">
        <f ca="1">IF($A90="","",Rates!$Y84)</f>
        <v>105.60000000000001</v>
      </c>
      <c r="K90" s="19">
        <f ca="1">IF($A90="","",+Rates!Z84)</f>
        <v>3810.0000000000005</v>
      </c>
      <c r="L90" s="47">
        <f t="shared" ca="1" si="11"/>
        <v>44354.838709677417</v>
      </c>
      <c r="N90">
        <f t="shared" ca="1" si="18"/>
        <v>79</v>
      </c>
    </row>
    <row r="91" spans="1:14" x14ac:dyDescent="0.2">
      <c r="A91" s="2" t="str">
        <f t="shared" ca="1" si="12"/>
        <v>Electric</v>
      </c>
      <c r="B91" s="4">
        <f t="shared" ca="1" si="13"/>
        <v>41583</v>
      </c>
      <c r="C91" s="17">
        <f t="shared" ca="1" si="14"/>
        <v>5756</v>
      </c>
      <c r="D91" s="17">
        <f t="shared" ca="1" si="15"/>
        <v>32</v>
      </c>
      <c r="E91" s="47">
        <f t="shared" ca="1" si="16"/>
        <v>35200</v>
      </c>
      <c r="F91" s="7" t="str">
        <f t="shared" ca="1" si="17"/>
        <v>Actual</v>
      </c>
      <c r="G91" s="19">
        <f ca="1">IF($A91="","",+Rates!V85)</f>
        <v>5.7600000000000051</v>
      </c>
      <c r="H91" s="19">
        <f ca="1">IF($A91="","",+Rates!W85)</f>
        <v>3548.16</v>
      </c>
      <c r="I91" s="19">
        <f ca="1">IF($A91="","",+Rates!X85)</f>
        <v>5.4560000000000004</v>
      </c>
      <c r="J91" s="19">
        <f ca="1">IF($A91="","",Rates!$Y85)</f>
        <v>112.64</v>
      </c>
      <c r="K91" s="19">
        <f ca="1">IF($A91="","",+Rates!Z85)</f>
        <v>3672.02</v>
      </c>
      <c r="L91" s="47">
        <f t="shared" ca="1" si="11"/>
        <v>45833.333333333336</v>
      </c>
      <c r="N91">
        <f t="shared" ca="1" si="18"/>
        <v>80</v>
      </c>
    </row>
    <row r="92" spans="1:14" x14ac:dyDescent="0.2">
      <c r="A92" s="2" t="str">
        <f t="shared" ca="1" si="12"/>
        <v>Electric</v>
      </c>
      <c r="B92" s="4">
        <f t="shared" ca="1" si="13"/>
        <v>41551.46166666667</v>
      </c>
      <c r="C92" s="17">
        <f t="shared" ca="1" si="14"/>
        <v>5580</v>
      </c>
      <c r="D92" s="17">
        <f t="shared" ca="1" si="15"/>
        <v>28</v>
      </c>
      <c r="E92" s="47">
        <f t="shared" ca="1" si="16"/>
        <v>42000</v>
      </c>
      <c r="F92" s="7" t="str">
        <f t="shared" ca="1" si="17"/>
        <v>Actual</v>
      </c>
      <c r="G92" s="19">
        <f ca="1">IF($A92="","",+Rates!V86)</f>
        <v>5.7599999999999989</v>
      </c>
      <c r="H92" s="19">
        <f ca="1">IF($A92="","",+Rates!W86)</f>
        <v>4441.4999999999982</v>
      </c>
      <c r="I92" s="19">
        <f ca="1">IF($A92="","",+Rates!X86)</f>
        <v>-160.566</v>
      </c>
      <c r="J92" s="19">
        <f ca="1">IF($A92="","",Rates!$Y86)</f>
        <v>134.4</v>
      </c>
      <c r="K92" s="19">
        <f ca="1">IF($A92="","",+Rates!Z86)</f>
        <v>4421.09</v>
      </c>
      <c r="L92" s="47">
        <f t="shared" ca="1" si="11"/>
        <v>62500</v>
      </c>
      <c r="N92">
        <f t="shared" ca="1" si="18"/>
        <v>81</v>
      </c>
    </row>
    <row r="93" spans="1:14" x14ac:dyDescent="0.2">
      <c r="A93" s="2" t="str">
        <f t="shared" ca="1" si="12"/>
        <v>Electric</v>
      </c>
      <c r="B93" s="4">
        <f t="shared" ca="1" si="13"/>
        <v>41523.515393518515</v>
      </c>
      <c r="C93" s="17">
        <f t="shared" ca="1" si="14"/>
        <v>5370</v>
      </c>
      <c r="D93" s="17">
        <f t="shared" ca="1" si="15"/>
        <v>29</v>
      </c>
      <c r="E93" s="47">
        <f t="shared" ca="1" si="16"/>
        <v>44400</v>
      </c>
      <c r="F93" s="7" t="str">
        <f t="shared" ca="1" si="17"/>
        <v>Actual</v>
      </c>
      <c r="G93" s="19">
        <f ca="1">IF($A93="","",+Rates!V87)</f>
        <v>5.7599999999999989</v>
      </c>
      <c r="H93" s="19">
        <f ca="1">IF($A93="","",+Rates!W87)</f>
        <v>5159.28</v>
      </c>
      <c r="I93" s="19">
        <f ca="1">IF($A93="","",+Rates!X87)</f>
        <v>31.479600000000001</v>
      </c>
      <c r="J93" s="19">
        <f ca="1">IF($A93="","",Rates!$Y87)</f>
        <v>142.08000000000001</v>
      </c>
      <c r="K93" s="19">
        <f ca="1">IF($A93="","",+Rates!Z87)</f>
        <v>5338.5999999999995</v>
      </c>
      <c r="L93" s="47">
        <f t="shared" ca="1" si="11"/>
        <v>63793.103448275862</v>
      </c>
      <c r="N93">
        <f t="shared" ca="1" si="18"/>
        <v>82</v>
      </c>
    </row>
    <row r="94" spans="1:14" x14ac:dyDescent="0.2">
      <c r="A94" s="2" t="str">
        <f t="shared" ca="1" si="12"/>
        <v>Electric</v>
      </c>
      <c r="B94" s="4">
        <f t="shared" ca="1" si="13"/>
        <v>41494.360486111109</v>
      </c>
      <c r="C94" s="17">
        <f t="shared" ca="1" si="14"/>
        <v>5148</v>
      </c>
      <c r="D94" s="17">
        <f t="shared" ca="1" si="15"/>
        <v>31</v>
      </c>
      <c r="E94" s="47">
        <f t="shared" ca="1" si="16"/>
        <v>46800</v>
      </c>
      <c r="F94" s="7" t="str">
        <f t="shared" ca="1" si="17"/>
        <v>Actual</v>
      </c>
      <c r="G94" s="19">
        <f ca="1">IF($A94="","",+Rates!V88)</f>
        <v>5.759999999999998</v>
      </c>
      <c r="H94" s="19">
        <f ca="1">IF($A94="","",+Rates!W88)</f>
        <v>5438.16</v>
      </c>
      <c r="I94" s="19">
        <f ca="1">IF($A94="","",+Rates!X88)</f>
        <v>141.804</v>
      </c>
      <c r="J94" s="19">
        <f ca="1">IF($A94="","",Rates!$Y88)</f>
        <v>149.76000000000002</v>
      </c>
      <c r="K94" s="19">
        <f ca="1">IF($A94="","",+Rates!Z88)</f>
        <v>5735.4800000000005</v>
      </c>
      <c r="L94" s="47">
        <f t="shared" ca="1" si="11"/>
        <v>62903.225806451614</v>
      </c>
      <c r="N94">
        <f t="shared" ca="1" si="18"/>
        <v>83</v>
      </c>
    </row>
    <row r="95" spans="1:14" x14ac:dyDescent="0.2">
      <c r="A95" s="2" t="str">
        <f t="shared" ca="1" si="12"/>
        <v>Electric</v>
      </c>
      <c r="B95" s="4">
        <f t="shared" ca="1" si="13"/>
        <v>41463.545706018522</v>
      </c>
      <c r="C95" s="17">
        <f t="shared" ca="1" si="14"/>
        <v>4914</v>
      </c>
      <c r="D95" s="17">
        <f t="shared" ca="1" si="15"/>
        <v>33</v>
      </c>
      <c r="E95" s="47">
        <f t="shared" ca="1" si="16"/>
        <v>42600</v>
      </c>
      <c r="F95" s="7" t="str">
        <f t="shared" ca="1" si="17"/>
        <v>Actual</v>
      </c>
      <c r="G95" s="19">
        <f ca="1">IF($A95="","",+Rates!V89)</f>
        <v>5.759999999999998</v>
      </c>
      <c r="H95" s="19">
        <f ca="1">IF($A95="","",+Rates!W89)</f>
        <v>4950.12</v>
      </c>
      <c r="I95" s="19">
        <f ca="1">IF($A95="","",+Rates!X89)</f>
        <v>304.0788</v>
      </c>
      <c r="J95" s="19">
        <f ca="1">IF($A95="","",Rates!$Y89)</f>
        <v>136.32</v>
      </c>
      <c r="K95" s="19">
        <f ca="1">IF($A95="","",+Rates!Z89)</f>
        <v>5396.28</v>
      </c>
      <c r="L95" s="47">
        <f t="shared" ca="1" si="11"/>
        <v>53787.878787878792</v>
      </c>
      <c r="N95">
        <f t="shared" ca="1" si="18"/>
        <v>84</v>
      </c>
    </row>
    <row r="96" spans="1:14" x14ac:dyDescent="0.2">
      <c r="A96" s="2" t="str">
        <f t="shared" ca="1" si="12"/>
        <v>Electric</v>
      </c>
      <c r="B96" s="4">
        <f t="shared" ca="1" si="13"/>
        <v>41430.392106481479</v>
      </c>
      <c r="C96" s="17">
        <f t="shared" ca="1" si="14"/>
        <v>4701</v>
      </c>
      <c r="D96" s="17">
        <f t="shared" ca="1" si="15"/>
        <v>30</v>
      </c>
      <c r="E96" s="47">
        <f t="shared" ca="1" si="16"/>
        <v>36600</v>
      </c>
      <c r="F96" s="7" t="str">
        <f t="shared" ca="1" si="17"/>
        <v>Actual</v>
      </c>
      <c r="G96" s="19">
        <f ca="1">IF($A96="","",+Rates!V90)</f>
        <v>5.7600000000000025</v>
      </c>
      <c r="H96" s="19">
        <f ca="1">IF($A96="","",+Rates!W90)</f>
        <v>4083.828</v>
      </c>
      <c r="I96" s="19">
        <f ca="1">IF($A96="","",+Rates!X90)</f>
        <v>331.04699999999997</v>
      </c>
      <c r="J96" s="19">
        <f ca="1">IF($A96="","",Rates!$Y90)</f>
        <v>117.12</v>
      </c>
      <c r="K96" s="19">
        <f ca="1">IF($A96="","",+Rates!Z90)</f>
        <v>4537.76</v>
      </c>
      <c r="L96" s="47">
        <f t="shared" ca="1" si="11"/>
        <v>50833.333333333336</v>
      </c>
      <c r="N96">
        <f t="shared" ca="1" si="18"/>
        <v>85</v>
      </c>
    </row>
    <row r="97" spans="1:14" x14ac:dyDescent="0.2">
      <c r="A97" s="2" t="str">
        <f t="shared" ca="1" si="12"/>
        <v>Electric</v>
      </c>
      <c r="B97" s="4">
        <f t="shared" ca="1" si="13"/>
        <v>41400.53087962963</v>
      </c>
      <c r="C97" s="17">
        <f t="shared" ca="1" si="14"/>
        <v>4518</v>
      </c>
      <c r="D97" s="17">
        <f t="shared" ca="1" si="15"/>
        <v>32</v>
      </c>
      <c r="E97" s="47">
        <f t="shared" ca="1" si="16"/>
        <v>37000</v>
      </c>
      <c r="F97" s="7" t="str">
        <f t="shared" ca="1" si="17"/>
        <v>Actual</v>
      </c>
      <c r="G97" s="19">
        <f ca="1">IF($A97="","",+Rates!V91)</f>
        <v>5.7599999999999989</v>
      </c>
      <c r="H97" s="19">
        <f ca="1">IF($A97="","",+Rates!W91)</f>
        <v>3729.6</v>
      </c>
      <c r="I97" s="19">
        <f ca="1">IF($A97="","",+Rates!X91)</f>
        <v>255.96599999999998</v>
      </c>
      <c r="J97" s="19">
        <f ca="1">IF($A97="","",Rates!$Y91)</f>
        <v>118.4</v>
      </c>
      <c r="K97" s="19">
        <f ca="1">IF($A97="","",+Rates!Z91)</f>
        <v>4109.7299999999996</v>
      </c>
      <c r="L97" s="47">
        <f t="shared" ca="1" si="11"/>
        <v>48177.083333333336</v>
      </c>
      <c r="N97">
        <f t="shared" ca="1" si="18"/>
        <v>86</v>
      </c>
    </row>
    <row r="98" spans="1:14" x14ac:dyDescent="0.2">
      <c r="A98" s="2" t="str">
        <f t="shared" ca="1" si="12"/>
        <v>Electric</v>
      </c>
      <c r="B98" s="4">
        <f t="shared" ca="1" si="13"/>
        <v>41368.583831018521</v>
      </c>
      <c r="C98" s="17">
        <f t="shared" ca="1" si="14"/>
        <v>4333</v>
      </c>
      <c r="D98" s="17">
        <f t="shared" ca="1" si="15"/>
        <v>31</v>
      </c>
      <c r="E98" s="47">
        <f t="shared" ca="1" si="16"/>
        <v>36600</v>
      </c>
      <c r="F98" s="7" t="str">
        <f t="shared" ca="1" si="17"/>
        <v>Actual</v>
      </c>
      <c r="G98" s="19">
        <f ca="1">IF($A98="","",+Rates!V92)</f>
        <v>5.76</v>
      </c>
      <c r="H98" s="19">
        <f ca="1">IF($A98="","",+Rates!W92)</f>
        <v>3689.28</v>
      </c>
      <c r="I98" s="19">
        <f ca="1">IF($A98="","",+Rates!X92)</f>
        <v>185.26919999999998</v>
      </c>
      <c r="J98" s="19">
        <f ca="1">IF($A98="","",Rates!$Y92)</f>
        <v>117.12</v>
      </c>
      <c r="K98" s="19">
        <f ca="1">IF($A98="","",+Rates!Z92)</f>
        <v>3997.4300000000003</v>
      </c>
      <c r="L98" s="47">
        <f t="shared" ca="1" si="11"/>
        <v>49193.548387096773</v>
      </c>
      <c r="N98">
        <f t="shared" ca="1" si="18"/>
        <v>87</v>
      </c>
    </row>
    <row r="99" spans="1:14" x14ac:dyDescent="0.2">
      <c r="A99" s="2" t="str">
        <f t="shared" ca="1" si="12"/>
        <v>Electric</v>
      </c>
      <c r="B99" s="4">
        <f t="shared" ca="1" si="13"/>
        <v>41337.617268518516</v>
      </c>
      <c r="C99" s="17">
        <f t="shared" ca="1" si="14"/>
        <v>4150</v>
      </c>
      <c r="D99" s="17">
        <f t="shared" ca="1" si="15"/>
        <v>25</v>
      </c>
      <c r="E99" s="47">
        <f t="shared" ca="1" si="16"/>
        <v>33600</v>
      </c>
      <c r="F99" s="7" t="str">
        <f t="shared" ca="1" si="17"/>
        <v>Actual</v>
      </c>
      <c r="G99" s="19">
        <f ca="1">IF($A99="","",+Rates!V93)</f>
        <v>4.8007999999999997</v>
      </c>
      <c r="H99" s="19">
        <f ca="1">IF($A99="","",+Rates!W93)</f>
        <v>3327.7440000000001</v>
      </c>
      <c r="I99" s="19">
        <f ca="1">IF($A99="","",+Rates!X93)</f>
        <v>341.54400000000004</v>
      </c>
      <c r="J99" s="19">
        <f ca="1">IF($A99="","",Rates!$Y93)</f>
        <v>107.52000000000001</v>
      </c>
      <c r="K99" s="19">
        <f ca="1">IF($A99="","",+Rates!Z93)</f>
        <v>3781.6007999999997</v>
      </c>
      <c r="L99" s="47">
        <f t="shared" ca="1" si="11"/>
        <v>56000</v>
      </c>
      <c r="N99">
        <f t="shared" ca="1" si="18"/>
        <v>88</v>
      </c>
    </row>
    <row r="100" spans="1:14" x14ac:dyDescent="0.2">
      <c r="A100" s="2" t="str">
        <f t="shared" ca="1" si="12"/>
        <v>Electric</v>
      </c>
      <c r="B100" s="4">
        <f t="shared" ca="1" si="13"/>
        <v>41312.375439814816</v>
      </c>
      <c r="C100" s="17">
        <f t="shared" ca="1" si="14"/>
        <v>3982</v>
      </c>
      <c r="D100" s="17">
        <f t="shared" ca="1" si="15"/>
        <v>31</v>
      </c>
      <c r="E100" s="47">
        <f t="shared" ca="1" si="16"/>
        <v>37200</v>
      </c>
      <c r="F100" s="7" t="str">
        <f t="shared" ca="1" si="17"/>
        <v>Actual</v>
      </c>
      <c r="G100" s="19">
        <f ca="1">IF($A100="","",+Rates!V94)</f>
        <v>4.669999999999999</v>
      </c>
      <c r="H100" s="19">
        <f ca="1">IF($A100="","",+Rates!W94)</f>
        <v>3675.3599999999951</v>
      </c>
      <c r="I100" s="19">
        <f ca="1">IF($A100="","",+Rates!X94)</f>
        <v>82.137599999999992</v>
      </c>
      <c r="J100" s="19">
        <f ca="1">IF($A100="","",Rates!$Y94)</f>
        <v>119.04</v>
      </c>
      <c r="K100" s="19">
        <f ca="1">IF($A100="","",+Rates!Z94)</f>
        <v>3881.21</v>
      </c>
      <c r="L100" s="47">
        <f t="shared" ca="1" si="11"/>
        <v>50000</v>
      </c>
      <c r="N100">
        <f t="shared" ca="1" si="18"/>
        <v>89</v>
      </c>
    </row>
    <row r="101" spans="1:14" x14ac:dyDescent="0.2">
      <c r="A101" s="2" t="str">
        <f t="shared" ca="1" si="12"/>
        <v>Electric</v>
      </c>
      <c r="B101" s="4">
        <f t="shared" ca="1" si="13"/>
        <v>41281.368252314816</v>
      </c>
      <c r="C101" s="17">
        <f t="shared" ca="1" si="14"/>
        <v>3796</v>
      </c>
      <c r="D101" s="17">
        <f t="shared" ca="1" si="15"/>
        <v>34</v>
      </c>
      <c r="E101" s="47">
        <f t="shared" ca="1" si="16"/>
        <v>35200</v>
      </c>
      <c r="F101" s="7" t="str">
        <f t="shared" ca="1" si="17"/>
        <v>Actual</v>
      </c>
      <c r="G101" s="19">
        <f ca="1">IF($A101="","",+Rates!V95)</f>
        <v>4.669999999999999</v>
      </c>
      <c r="H101" s="19">
        <f ca="1">IF($A101="","",+Rates!W95)</f>
        <v>3477.7600000000011</v>
      </c>
      <c r="I101" s="19">
        <f ca="1">IF($A101="","",+Rates!X95)</f>
        <v>320.35519999999997</v>
      </c>
      <c r="J101" s="19">
        <f ca="1">IF($A101="","",Rates!$Y95)</f>
        <v>112.64</v>
      </c>
      <c r="K101" s="19">
        <f ca="1">IF($A101="","",+Rates!Z95)</f>
        <v>3915.4300000000003</v>
      </c>
      <c r="L101" s="47">
        <f t="shared" ca="1" si="11"/>
        <v>43137.254901960783</v>
      </c>
      <c r="N101">
        <f t="shared" ca="1" si="18"/>
        <v>90</v>
      </c>
    </row>
    <row r="102" spans="1:14" x14ac:dyDescent="0.2">
      <c r="A102" s="2" t="str">
        <f t="shared" ca="1" si="12"/>
        <v>Electric</v>
      </c>
      <c r="B102" s="4">
        <f t="shared" ca="1" si="13"/>
        <v>41247.509039351855</v>
      </c>
      <c r="C102" s="17">
        <f t="shared" ca="1" si="14"/>
        <v>3620</v>
      </c>
      <c r="D102" s="17">
        <f t="shared" ca="1" si="15"/>
        <v>29</v>
      </c>
      <c r="E102" s="47">
        <f t="shared" ca="1" si="16"/>
        <v>33200</v>
      </c>
      <c r="F102" s="7" t="str">
        <f t="shared" ca="1" si="17"/>
        <v>Actual</v>
      </c>
      <c r="G102" s="19">
        <f ca="1">IF($A102="","",+Rates!V96)</f>
        <v>4.6700000000000026</v>
      </c>
      <c r="H102" s="19">
        <f ca="1">IF($A102="","",+Rates!W96)</f>
        <v>3280.1600000000017</v>
      </c>
      <c r="I102" s="19">
        <f ca="1">IF($A102="","",+Rates!X96)</f>
        <v>171.17920000000001</v>
      </c>
      <c r="J102" s="19">
        <f ca="1">IF($A102="","",Rates!$Y96)</f>
        <v>106.24000000000001</v>
      </c>
      <c r="K102" s="19">
        <f ca="1">IF($A102="","",+Rates!Z96)</f>
        <v>3562.2499999999995</v>
      </c>
      <c r="L102" s="47">
        <f t="shared" ca="1" si="11"/>
        <v>47701.149425287353</v>
      </c>
      <c r="N102">
        <f t="shared" ca="1" si="18"/>
        <v>91</v>
      </c>
    </row>
    <row r="103" spans="1:14" x14ac:dyDescent="0.2">
      <c r="A103" s="2" t="str">
        <f t="shared" ca="1" si="12"/>
        <v>Electric</v>
      </c>
      <c r="B103" s="4">
        <f t="shared" ca="1" si="13"/>
        <v>41218.418113425927</v>
      </c>
      <c r="C103" s="17">
        <f t="shared" ca="1" si="14"/>
        <v>3454</v>
      </c>
      <c r="D103" s="17">
        <f t="shared" ca="1" si="15"/>
        <v>32</v>
      </c>
      <c r="E103" s="47">
        <f t="shared" ca="1" si="16"/>
        <v>37000</v>
      </c>
      <c r="F103" s="7" t="str">
        <f t="shared" ca="1" si="17"/>
        <v>Actual</v>
      </c>
      <c r="G103" s="19">
        <f ca="1">IF($A103="","",+Rates!V97)</f>
        <v>4.6699999999999982</v>
      </c>
      <c r="H103" s="19">
        <f ca="1">IF($A103="","",+Rates!W97)</f>
        <v>3655.6</v>
      </c>
      <c r="I103" s="19">
        <f ca="1">IF($A103="","",+Rates!X97)</f>
        <v>64.712999999999994</v>
      </c>
      <c r="J103" s="19">
        <f ca="1">IF($A103="","",Rates!$Y97)</f>
        <v>118.4</v>
      </c>
      <c r="K103" s="19">
        <f ca="1">IF($A103="","",+Rates!Z97)</f>
        <v>3843.38</v>
      </c>
      <c r="L103" s="47">
        <f t="shared" ca="1" si="11"/>
        <v>48177.083333333336</v>
      </c>
      <c r="N103">
        <f t="shared" ca="1" si="18"/>
        <v>92</v>
      </c>
    </row>
    <row r="104" spans="1:14" x14ac:dyDescent="0.2">
      <c r="A104" s="2" t="str">
        <f t="shared" ca="1" si="12"/>
        <v>Electric</v>
      </c>
      <c r="B104" s="4">
        <f t="shared" ca="1" si="13"/>
        <v>41186.34270833333</v>
      </c>
      <c r="C104" s="17">
        <f t="shared" ca="1" si="14"/>
        <v>3269</v>
      </c>
      <c r="D104" s="17">
        <f t="shared" ca="1" si="15"/>
        <v>29</v>
      </c>
      <c r="E104" s="47">
        <f t="shared" ca="1" si="16"/>
        <v>38800</v>
      </c>
      <c r="F104" s="7" t="str">
        <f t="shared" ca="1" si="17"/>
        <v>Actual</v>
      </c>
      <c r="G104" s="19">
        <f ca="1">IF($A104="","",+Rates!V98)</f>
        <v>4.6699999999999982</v>
      </c>
      <c r="H104" s="19">
        <f ca="1">IF($A104="","",+Rates!W98)</f>
        <v>4036.8007999999986</v>
      </c>
      <c r="I104" s="19">
        <f ca="1">IF($A104="","",+Rates!X98)</f>
        <v>-205.52359999999999</v>
      </c>
      <c r="J104" s="19">
        <f ca="1">IF($A104="","",Rates!$Y98)</f>
        <v>124.16000000000001</v>
      </c>
      <c r="K104" s="19">
        <f ca="1">IF($A104="","",+Rates!Z98)</f>
        <v>3960.11</v>
      </c>
      <c r="L104" s="47">
        <f t="shared" ca="1" si="11"/>
        <v>55747.126436781604</v>
      </c>
      <c r="N104">
        <f t="shared" ca="1" si="18"/>
        <v>93</v>
      </c>
    </row>
    <row r="105" spans="1:14" x14ac:dyDescent="0.2">
      <c r="A105" s="2" t="str">
        <f t="shared" ca="1" si="12"/>
        <v>Electric</v>
      </c>
      <c r="B105" s="4">
        <f t="shared" ca="1" si="13"/>
        <v>41157.424039351848</v>
      </c>
      <c r="C105" s="17">
        <f t="shared" ca="1" si="14"/>
        <v>3075</v>
      </c>
      <c r="D105" s="17">
        <f t="shared" ca="1" si="15"/>
        <v>30</v>
      </c>
      <c r="E105" s="47">
        <f t="shared" ca="1" si="16"/>
        <v>45200</v>
      </c>
      <c r="F105" s="7" t="str">
        <f t="shared" ca="1" si="17"/>
        <v>Actual</v>
      </c>
      <c r="G105" s="19">
        <f ca="1">IF($A105="","",+Rates!V99)</f>
        <v>4.6700000000000008</v>
      </c>
      <c r="H105" s="19">
        <f ca="1">IF($A105="","",+Rates!W99)</f>
        <v>5152.8</v>
      </c>
      <c r="I105" s="19">
        <f ca="1">IF($A105="","",+Rates!X99)</f>
        <v>-267.358</v>
      </c>
      <c r="J105" s="19">
        <f ca="1">IF($A105="","",Rates!$Y99)</f>
        <v>144.64000000000001</v>
      </c>
      <c r="K105" s="19">
        <f ca="1">IF($A105="","",+Rates!Z99)</f>
        <v>5034.7500000000009</v>
      </c>
      <c r="L105" s="47">
        <f t="shared" ca="1" si="11"/>
        <v>62777.777777777781</v>
      </c>
      <c r="N105">
        <f t="shared" ca="1" si="18"/>
        <v>94</v>
      </c>
    </row>
    <row r="106" spans="1:14" x14ac:dyDescent="0.2">
      <c r="A106" s="2" t="str">
        <f t="shared" ca="1" si="12"/>
        <v>Electric</v>
      </c>
      <c r="B106" s="4">
        <f t="shared" ca="1" si="13"/>
        <v>41127.34574074074</v>
      </c>
      <c r="C106" s="17">
        <f t="shared" ca="1" si="14"/>
        <v>2849</v>
      </c>
      <c r="D106" s="17">
        <f t="shared" ca="1" si="15"/>
        <v>32</v>
      </c>
      <c r="E106" s="47">
        <f t="shared" ca="1" si="16"/>
        <v>54800</v>
      </c>
      <c r="F106" s="7" t="str">
        <f t="shared" ca="1" si="17"/>
        <v>Actual</v>
      </c>
      <c r="G106" s="19">
        <f ca="1">IF($A106="","",+Rates!V100)</f>
        <v>4.6700000000000017</v>
      </c>
      <c r="H106" s="19">
        <f ca="1">IF($A106="","",+Rates!W100)</f>
        <v>6247.2</v>
      </c>
      <c r="I106" s="19">
        <f ca="1">IF($A106="","",+Rates!X100)</f>
        <v>-68.006799999999998</v>
      </c>
      <c r="J106" s="19">
        <f ca="1">IF($A106="","",Rates!$Y100)</f>
        <v>175.36</v>
      </c>
      <c r="K106" s="19">
        <f ca="1">IF($A106="","",+Rates!Z100)</f>
        <v>6359.2199999999993</v>
      </c>
      <c r="L106" s="47">
        <f t="shared" ca="1" si="11"/>
        <v>71354.166666666672</v>
      </c>
      <c r="N106">
        <f t="shared" ca="1" si="18"/>
        <v>95</v>
      </c>
    </row>
    <row r="107" spans="1:14" x14ac:dyDescent="0.2">
      <c r="A107" s="2" t="str">
        <f t="shared" ca="1" si="12"/>
        <v>Electric</v>
      </c>
      <c r="B107" s="4">
        <f t="shared" ca="1" si="13"/>
        <v>41095.355081018519</v>
      </c>
      <c r="C107" s="17">
        <f t="shared" ca="1" si="14"/>
        <v>2575</v>
      </c>
      <c r="D107" s="17">
        <f t="shared" ca="1" si="15"/>
        <v>31</v>
      </c>
      <c r="E107" s="47">
        <f t="shared" ca="1" si="16"/>
        <v>45600</v>
      </c>
      <c r="F107" s="7" t="str">
        <f t="shared" ca="1" si="17"/>
        <v>Actual</v>
      </c>
      <c r="G107" s="19">
        <f ca="1">IF($A107="","",+Rates!V101)</f>
        <v>4.669999999999999</v>
      </c>
      <c r="H107" s="19">
        <f ca="1">IF($A107="","",+Rates!W101)</f>
        <v>5198.4000000000005</v>
      </c>
      <c r="I107" s="19">
        <f ca="1">IF($A107="","",+Rates!X101)</f>
        <v>202.46400000000003</v>
      </c>
      <c r="J107" s="19">
        <f ca="1">IF($A107="","",Rates!$Y101)</f>
        <v>145.92000000000002</v>
      </c>
      <c r="K107" s="19">
        <f ca="1">IF($A107="","",+Rates!Z101)</f>
        <v>5551.45</v>
      </c>
      <c r="L107" s="47">
        <f t="shared" ca="1" si="11"/>
        <v>61290.322580645159</v>
      </c>
      <c r="N107">
        <f t="shared" ca="1" si="18"/>
        <v>96</v>
      </c>
    </row>
    <row r="108" spans="1:14" x14ac:dyDescent="0.2">
      <c r="A108" s="2" t="str">
        <f t="shared" ca="1" si="12"/>
        <v>Electric</v>
      </c>
      <c r="B108" s="4">
        <f t="shared" ca="1" si="13"/>
        <v>41064.548055555555</v>
      </c>
      <c r="C108" s="17">
        <f t="shared" ca="1" si="14"/>
        <v>2347</v>
      </c>
      <c r="D108" s="17">
        <f t="shared" ca="1" si="15"/>
        <v>31</v>
      </c>
      <c r="E108" s="47">
        <f t="shared" ca="1" si="16"/>
        <v>40800</v>
      </c>
      <c r="F108" s="7" t="str">
        <f t="shared" ca="1" si="17"/>
        <v>Actual</v>
      </c>
      <c r="G108" s="19">
        <f ca="1">IF($A108="","",+Rates!V102)</f>
        <v>4.669999999999999</v>
      </c>
      <c r="H108" s="19">
        <f ca="1">IF($A108="","",+Rates!W102)</f>
        <v>4431.1495999999997</v>
      </c>
      <c r="I108" s="19">
        <f ca="1">IF($A108="","",+Rates!X102)</f>
        <v>427.8288</v>
      </c>
      <c r="J108" s="19">
        <f ca="1">IF($A108="","",Rates!$Y102)</f>
        <v>130.56</v>
      </c>
      <c r="K108" s="19">
        <f ca="1">IF($A108="","",+Rates!Z102)</f>
        <v>4994.21</v>
      </c>
      <c r="L108" s="47">
        <f t="shared" ca="1" si="11"/>
        <v>54838.709677419356</v>
      </c>
      <c r="N108">
        <f t="shared" ca="1" si="18"/>
        <v>97</v>
      </c>
    </row>
    <row r="109" spans="1:14" x14ac:dyDescent="0.2">
      <c r="A109" s="2" t="str">
        <f t="shared" ca="1" si="12"/>
        <v>Electric</v>
      </c>
      <c r="B109" s="4">
        <f t="shared" ca="1" si="13"/>
        <v>41033.344606481478</v>
      </c>
      <c r="C109" s="17">
        <f t="shared" ca="1" si="14"/>
        <v>2143</v>
      </c>
      <c r="D109" s="17">
        <f t="shared" ca="1" si="15"/>
        <v>30</v>
      </c>
      <c r="E109" s="47">
        <f t="shared" ca="1" si="16"/>
        <v>36000</v>
      </c>
      <c r="F109" s="7" t="str">
        <f t="shared" ca="1" si="17"/>
        <v>Actual</v>
      </c>
      <c r="G109" s="19">
        <f ca="1">IF($A109="","",+Rates!V103)</f>
        <v>4.67</v>
      </c>
      <c r="H109" s="19">
        <f ca="1">IF($A109="","",+Rates!W103)</f>
        <v>3556.8</v>
      </c>
      <c r="I109" s="19">
        <f ca="1">IF($A109="","",+Rates!X103)</f>
        <v>264.74400000000003</v>
      </c>
      <c r="J109" s="19">
        <f ca="1">IF($A109="","",Rates!$Y103)</f>
        <v>115.2</v>
      </c>
      <c r="K109" s="19">
        <f ca="1">IF($A109="","",+Rates!Z103)</f>
        <v>3941.41</v>
      </c>
      <c r="L109" s="47">
        <f t="shared" ca="1" si="11"/>
        <v>50000</v>
      </c>
      <c r="N109">
        <f t="shared" ca="1" si="18"/>
        <v>98</v>
      </c>
    </row>
    <row r="110" spans="1:14" x14ac:dyDescent="0.2">
      <c r="A110" s="2" t="str">
        <f t="shared" ca="1" si="12"/>
        <v>Electric</v>
      </c>
      <c r="B110" s="4">
        <f t="shared" ca="1" si="13"/>
        <v>41003.366238425922</v>
      </c>
      <c r="C110" s="17">
        <f t="shared" ca="1" si="14"/>
        <v>1963</v>
      </c>
      <c r="D110" s="17">
        <f t="shared" ca="1" si="15"/>
        <v>30</v>
      </c>
      <c r="E110" s="47">
        <f t="shared" ca="1" si="16"/>
        <v>38600</v>
      </c>
      <c r="F110" s="7" t="str">
        <f t="shared" ca="1" si="17"/>
        <v>Actual</v>
      </c>
      <c r="G110" s="19">
        <f ca="1">IF($A110="","",+Rates!V104)</f>
        <v>4.67</v>
      </c>
      <c r="H110" s="19">
        <f ca="1">IF($A110="","",+Rates!W104)</f>
        <v>3813.6800000000003</v>
      </c>
      <c r="I110" s="19">
        <f ca="1">IF($A110="","",+Rates!X104)</f>
        <v>308.72280000000001</v>
      </c>
      <c r="J110" s="19">
        <f ca="1">IF($A110="","",Rates!$Y104)</f>
        <v>123.52000000000001</v>
      </c>
      <c r="K110" s="19">
        <f ca="1">IF($A110="","",+Rates!Z104)</f>
        <v>4250.59</v>
      </c>
      <c r="L110" s="47">
        <f t="shared" ca="1" si="11"/>
        <v>53611.111111111117</v>
      </c>
      <c r="N110">
        <f t="shared" ca="1" si="18"/>
        <v>99</v>
      </c>
    </row>
    <row r="111" spans="1:14" x14ac:dyDescent="0.2">
      <c r="A111" s="2" t="str">
        <f t="shared" ca="1" si="12"/>
        <v>Electric</v>
      </c>
      <c r="B111" s="4">
        <f t="shared" ca="1" si="13"/>
        <v>40973.359699074077</v>
      </c>
      <c r="C111" s="17">
        <f t="shared" ca="1" si="14"/>
        <v>1770</v>
      </c>
      <c r="D111" s="17">
        <f t="shared" ca="1" si="15"/>
        <v>31</v>
      </c>
      <c r="E111" s="47">
        <f t="shared" ca="1" si="16"/>
        <v>36600</v>
      </c>
      <c r="F111" s="7" t="str">
        <f t="shared" ca="1" si="17"/>
        <v>Actual</v>
      </c>
      <c r="G111" s="19">
        <f ca="1">IF($A111="","",+Rates!V105)</f>
        <v>3.6509677419354842</v>
      </c>
      <c r="H111" s="19">
        <f ca="1">IF($A111="","",+Rates!W105)</f>
        <v>2717.1367741935487</v>
      </c>
      <c r="I111" s="19">
        <f ca="1">IF($A111="","",+Rates!X105)</f>
        <v>0</v>
      </c>
      <c r="J111" s="19">
        <f ca="1">IF($A111="","",Rates!$Y105)</f>
        <v>117.12</v>
      </c>
      <c r="K111" s="19">
        <f ca="1">IF($A111="","",+Rates!Z105)</f>
        <v>2837.9109677419351</v>
      </c>
      <c r="L111" s="47">
        <f t="shared" ca="1" si="11"/>
        <v>49193.548387096773</v>
      </c>
      <c r="N111">
        <f t="shared" ca="1" si="18"/>
        <v>100</v>
      </c>
    </row>
    <row r="112" spans="1:14" x14ac:dyDescent="0.2">
      <c r="A112" s="2" t="str">
        <f t="shared" ca="1" si="12"/>
        <v>Electric</v>
      </c>
      <c r="B112" s="4">
        <f t="shared" ca="1" si="13"/>
        <v>40942.498067129629</v>
      </c>
      <c r="C112" s="17">
        <f t="shared" ca="1" si="14"/>
        <v>1587</v>
      </c>
      <c r="D112" s="17">
        <f t="shared" ca="1" si="15"/>
        <v>30</v>
      </c>
      <c r="E112" s="47">
        <f t="shared" ca="1" si="16"/>
        <v>41800</v>
      </c>
      <c r="F112" s="7" t="str">
        <f t="shared" ca="1" si="17"/>
        <v>Actual</v>
      </c>
      <c r="G112" s="19">
        <f ca="1">IF($A112="","",+Rates!V106)</f>
        <v>3.5</v>
      </c>
      <c r="H112" s="19">
        <f ca="1">IF($A112="","",+Rates!W106)</f>
        <v>2951.0800000000127</v>
      </c>
      <c r="I112" s="19">
        <f ca="1">IF($A112="","",+Rates!X106)</f>
        <v>1180.0140000000001</v>
      </c>
      <c r="J112" s="19">
        <f ca="1">IF($A112="","",Rates!$Y106)</f>
        <v>133.76000000000002</v>
      </c>
      <c r="K112" s="19">
        <f ca="1">IF($A112="","",+Rates!Z106)</f>
        <v>4268.3500000000004</v>
      </c>
      <c r="L112" s="47">
        <f t="shared" ca="1" si="11"/>
        <v>58055.555555555547</v>
      </c>
      <c r="N112">
        <f t="shared" ca="1" si="18"/>
        <v>101</v>
      </c>
    </row>
    <row r="113" spans="1:14" x14ac:dyDescent="0.2">
      <c r="A113" s="2" t="str">
        <f t="shared" ca="1" si="12"/>
        <v>Electric</v>
      </c>
      <c r="B113" s="4">
        <f t="shared" ca="1" si="13"/>
        <v>40912.512245370373</v>
      </c>
      <c r="C113" s="17">
        <f t="shared" ca="1" si="14"/>
        <v>1378</v>
      </c>
      <c r="D113" s="17">
        <f t="shared" ca="1" si="15"/>
        <v>29</v>
      </c>
      <c r="E113" s="47">
        <f t="shared" ca="1" si="16"/>
        <v>37600</v>
      </c>
      <c r="F113" s="7" t="str">
        <f t="shared" ca="1" si="17"/>
        <v>Actual</v>
      </c>
      <c r="G113" s="19">
        <f ca="1">IF($A113="","",+Rates!V107)</f>
        <v>3.5</v>
      </c>
      <c r="H113" s="19">
        <f ca="1">IF($A113="","",+Rates!W107)</f>
        <v>2654.5599999999949</v>
      </c>
      <c r="I113" s="19">
        <f ca="1">IF($A113="","",+Rates!X107)</f>
        <v>1097.356</v>
      </c>
      <c r="J113" s="19">
        <f ca="1">IF($A113="","",Rates!$Y107)</f>
        <v>120.32000000000001</v>
      </c>
      <c r="K113" s="19">
        <f ca="1">IF($A113="","",+Rates!Z107)</f>
        <v>3875.7400000000002</v>
      </c>
      <c r="L113" s="47">
        <f t="shared" ca="1" si="11"/>
        <v>54022.988505747126</v>
      </c>
      <c r="N113">
        <f t="shared" ca="1" si="18"/>
        <v>102</v>
      </c>
    </row>
    <row r="114" spans="1:14" x14ac:dyDescent="0.2">
      <c r="A114" s="2" t="str">
        <f t="shared" ca="1" si="12"/>
        <v>Electric</v>
      </c>
      <c r="B114" s="4">
        <f t="shared" ca="1" si="13"/>
        <v>40883.341238425928</v>
      </c>
      <c r="C114" s="17">
        <f t="shared" ca="1" si="14"/>
        <v>1190</v>
      </c>
      <c r="D114" s="17">
        <f t="shared" ca="1" si="15"/>
        <v>33</v>
      </c>
      <c r="E114" s="47">
        <f t="shared" ca="1" si="16"/>
        <v>36200</v>
      </c>
      <c r="F114" s="7" t="str">
        <f t="shared" ca="1" si="17"/>
        <v>Actual</v>
      </c>
      <c r="G114" s="19">
        <f ca="1">IF($A114="","",+Rates!V108)</f>
        <v>3.5</v>
      </c>
      <c r="H114" s="19">
        <f ca="1">IF($A114="","",+Rates!W108)</f>
        <v>2555.7200000000066</v>
      </c>
      <c r="I114" s="19">
        <f ca="1">IF($A114="","",+Rates!X108)</f>
        <v>964.87480000000005</v>
      </c>
      <c r="J114" s="19">
        <f ca="1">IF($A114="","",Rates!$Y108)</f>
        <v>115.84</v>
      </c>
      <c r="K114" s="19">
        <f ca="1">IF($A114="","",+Rates!Z108)</f>
        <v>3639.93</v>
      </c>
      <c r="L114" s="47">
        <f t="shared" ca="1" si="11"/>
        <v>45707.070707070707</v>
      </c>
      <c r="N114">
        <f t="shared" ca="1" si="18"/>
        <v>103</v>
      </c>
    </row>
    <row r="115" spans="1:14" x14ac:dyDescent="0.2">
      <c r="A115" s="2" t="str">
        <f t="shared" ca="1" si="12"/>
        <v>Electric</v>
      </c>
      <c r="B115" s="4">
        <f t="shared" ca="1" si="13"/>
        <v>40850.342581018522</v>
      </c>
      <c r="C115" s="17">
        <f t="shared" ca="1" si="14"/>
        <v>1009</v>
      </c>
      <c r="D115" s="17">
        <f t="shared" ca="1" si="15"/>
        <v>31</v>
      </c>
      <c r="E115" s="47">
        <f t="shared" ca="1" si="16"/>
        <v>37400</v>
      </c>
      <c r="F115" s="7" t="str">
        <f t="shared" ca="1" si="17"/>
        <v>Actual</v>
      </c>
      <c r="G115" s="19">
        <f ca="1">IF($A115="","",+Rates!V109)</f>
        <v>3.5</v>
      </c>
      <c r="H115" s="19">
        <f ca="1">IF($A115="","",+Rates!W109)</f>
        <v>2640.4399999999928</v>
      </c>
      <c r="I115" s="19">
        <f ca="1">IF($A115="","",+Rates!X109)</f>
        <v>744.97059999999999</v>
      </c>
      <c r="J115" s="19">
        <f ca="1">IF($A115="","",Rates!$Y109)</f>
        <v>119.68</v>
      </c>
      <c r="K115" s="19">
        <f ca="1">IF($A115="","",+Rates!Z109)</f>
        <v>3508.5899999999997</v>
      </c>
      <c r="L115" s="47">
        <f t="shared" ca="1" si="11"/>
        <v>50268.817204301078</v>
      </c>
      <c r="N115">
        <f t="shared" ca="1" si="18"/>
        <v>104</v>
      </c>
    </row>
    <row r="116" spans="1:14" x14ac:dyDescent="0.2">
      <c r="A116" s="2" t="str">
        <f t="shared" ca="1" si="12"/>
        <v>Electric</v>
      </c>
      <c r="B116" s="4">
        <f t="shared" ca="1" si="13"/>
        <v>40819.479641203703</v>
      </c>
      <c r="C116" s="17">
        <f t="shared" ca="1" si="14"/>
        <v>822</v>
      </c>
      <c r="D116" s="17">
        <f t="shared" ca="1" si="15"/>
        <v>27</v>
      </c>
      <c r="E116" s="47">
        <f t="shared" ca="1" si="16"/>
        <v>33800</v>
      </c>
      <c r="F116" s="7" t="str">
        <f t="shared" ca="1" si="17"/>
        <v>Actual</v>
      </c>
      <c r="G116" s="19">
        <f ca="1">IF($A116="","",+Rates!V110)</f>
        <v>3.5</v>
      </c>
      <c r="H116" s="19">
        <f ca="1">IF($A116="","",+Rates!W110)</f>
        <v>2549.6514999999986</v>
      </c>
      <c r="I116" s="19">
        <f ca="1">IF($A116="","",+Rates!X110)</f>
        <v>636.65679999999998</v>
      </c>
      <c r="J116" s="19">
        <f ca="1">IF($A116="","",Rates!$Y110)</f>
        <v>108.16000000000001</v>
      </c>
      <c r="K116" s="19">
        <f ca="1">IF($A116="","",+Rates!Z110)</f>
        <v>3297.97</v>
      </c>
      <c r="L116" s="47">
        <f t="shared" ca="1" si="11"/>
        <v>52160.493827160499</v>
      </c>
      <c r="N116">
        <f t="shared" ca="1" si="18"/>
        <v>105</v>
      </c>
    </row>
    <row r="117" spans="1:14" x14ac:dyDescent="0.2">
      <c r="A117" s="2" t="str">
        <f t="shared" ca="1" si="12"/>
        <v>Electric</v>
      </c>
      <c r="B117" s="4">
        <f t="shared" ref="B117:B180" ca="1" si="19">INDIRECT("'Reading History'!B"&amp;$N$8+N116)</f>
        <v>40792.493321759262</v>
      </c>
      <c r="C117" s="17">
        <f t="shared" ca="1" si="14"/>
        <v>653</v>
      </c>
      <c r="D117" s="17">
        <f t="shared" ca="1" si="15"/>
        <v>34</v>
      </c>
      <c r="E117" s="47">
        <f t="shared" ca="1" si="16"/>
        <v>49400</v>
      </c>
      <c r="F117" s="7" t="str">
        <f t="shared" ca="1" si="17"/>
        <v>Actual</v>
      </c>
      <c r="G117" s="19">
        <f ca="1">IF($A117="","",+Rates!V111)</f>
        <v>3.5</v>
      </c>
      <c r="H117" s="19">
        <f ca="1">IF($A117="","",+Rates!W111)</f>
        <v>4203.9399999999996</v>
      </c>
      <c r="I117" s="19">
        <f ca="1">IF($A117="","",+Rates!X111)</f>
        <v>741.29640000000006</v>
      </c>
      <c r="J117" s="19">
        <f ca="1">IF($A117="","",Rates!$Y111)</f>
        <v>158.08000000000001</v>
      </c>
      <c r="K117" s="19">
        <f ca="1">IF($A117="","",+Rates!Z111)</f>
        <v>5106.82</v>
      </c>
      <c r="L117" s="47">
        <f t="shared" ca="1" si="11"/>
        <v>60539.215686274511</v>
      </c>
      <c r="N117">
        <f t="shared" ref="N117:N180" ca="1" si="20">IF(ROW()&gt;($N$9-$N$8+12),0,MATCH(B117,INDIRECT("'Reading History'!B"&amp;$N$8&amp;":b"&amp;$N$9),-1))</f>
        <v>106</v>
      </c>
    </row>
    <row r="118" spans="1:14" x14ac:dyDescent="0.2">
      <c r="A118" s="2" t="str">
        <f t="shared" ca="1" si="12"/>
        <v>Electric</v>
      </c>
      <c r="B118" s="4">
        <f t="shared" ca="1" si="19"/>
        <v>40758.353263888886</v>
      </c>
      <c r="C118" s="17">
        <f t="shared" ca="1" si="14"/>
        <v>406</v>
      </c>
      <c r="D118" s="17">
        <f t="shared" ca="1" si="15"/>
        <v>26</v>
      </c>
      <c r="E118" s="47">
        <f t="shared" ca="1" si="16"/>
        <v>40800</v>
      </c>
      <c r="F118" s="7" t="str">
        <f t="shared" ca="1" si="17"/>
        <v>Actual</v>
      </c>
      <c r="G118" s="19">
        <f ca="1">IF($A118="","",+Rates!V112)</f>
        <v>3.5</v>
      </c>
      <c r="H118" s="19">
        <f ca="1">IF($A118="","",+Rates!W112)</f>
        <v>3472.08</v>
      </c>
      <c r="I118" s="19">
        <f ca="1">IF($A118="","",+Rates!X112)</f>
        <v>963.53280000000007</v>
      </c>
      <c r="J118" s="19">
        <f ca="1">IF($A118="","",Rates!$Y112)</f>
        <v>130.56</v>
      </c>
      <c r="K118" s="19">
        <f ca="1">IF($A118="","",+Rates!Z112)</f>
        <v>4569.67</v>
      </c>
      <c r="L118" s="47">
        <f t="shared" ca="1" si="11"/>
        <v>69047.619047619053</v>
      </c>
      <c r="N118">
        <f t="shared" ca="1" si="20"/>
        <v>107</v>
      </c>
    </row>
    <row r="119" spans="1:14" x14ac:dyDescent="0.2">
      <c r="A119" s="2" t="str">
        <f t="shared" ca="1" si="12"/>
        <v>Electric</v>
      </c>
      <c r="B119" s="4">
        <f t="shared" ca="1" si="19"/>
        <v>40732</v>
      </c>
      <c r="C119" s="17">
        <f t="shared" ca="1" si="14"/>
        <v>202</v>
      </c>
      <c r="D119" s="17">
        <f t="shared" ca="1" si="15"/>
        <v>23</v>
      </c>
      <c r="E119" s="47">
        <f t="shared" ca="1" si="16"/>
        <v>40400</v>
      </c>
      <c r="F119" s="7" t="str">
        <f t="shared" ca="1" si="17"/>
        <v>Estimate</v>
      </c>
      <c r="G119" s="19">
        <f ca="1">IF($A119="","",+Rates!V113)</f>
        <v>3.5</v>
      </c>
      <c r="H119" s="19">
        <f ca="1">IF($A119="","",+Rates!W113)</f>
        <v>3438.04</v>
      </c>
      <c r="I119" s="19">
        <f ca="1">IF($A119="","",+Rates!X113)</f>
        <v>1044.5016000000001</v>
      </c>
      <c r="J119" s="19">
        <f ca="1">IF($A119="","",Rates!$Y113)</f>
        <v>129.28</v>
      </c>
      <c r="K119" s="19">
        <f ca="1">IF($A119="","",+Rates!Z113)</f>
        <v>4615.32</v>
      </c>
      <c r="L119" s="47">
        <f t="shared" ca="1" si="11"/>
        <v>69047.619047619053</v>
      </c>
      <c r="N119">
        <f t="shared" ca="1" si="20"/>
        <v>108</v>
      </c>
    </row>
    <row r="120" spans="1:14" x14ac:dyDescent="0.2">
      <c r="A120" s="2" t="str">
        <f t="shared" ca="1" si="12"/>
        <v>Electric</v>
      </c>
      <c r="B120" s="4">
        <f t="shared" ca="1" si="19"/>
        <v>40709</v>
      </c>
      <c r="C120" s="17">
        <f t="shared" ca="1" si="14"/>
        <v>2737</v>
      </c>
      <c r="D120" s="17">
        <f t="shared" ca="1" si="15"/>
        <v>6</v>
      </c>
      <c r="E120" s="47">
        <f t="shared" ca="1" si="16"/>
        <v>8600</v>
      </c>
      <c r="F120" s="7" t="str">
        <f t="shared" ca="1" si="17"/>
        <v>Actual</v>
      </c>
      <c r="G120" s="19">
        <f ca="1">IF($A120="","",+Rates!V114)</f>
        <v>0.70000000000000007</v>
      </c>
      <c r="H120" s="19">
        <f ca="1">IF($A120="","",+Rates!W114)</f>
        <v>731.86</v>
      </c>
      <c r="I120" s="19">
        <f ca="1">IF($A120="","",+Rates!X114)</f>
        <v>273.3596</v>
      </c>
      <c r="J120" s="19">
        <f ca="1">IF($A120="","",Rates!$Y114)</f>
        <v>27.52</v>
      </c>
      <c r="K120" s="19">
        <f ca="1">IF($A120="","",+Rates!Z114)</f>
        <v>1033.44</v>
      </c>
      <c r="L120" s="47">
        <f t="shared" ca="1" si="11"/>
        <v>59722.222222222219</v>
      </c>
      <c r="N120">
        <f t="shared" ca="1" si="20"/>
        <v>109</v>
      </c>
    </row>
    <row r="121" spans="1:14" x14ac:dyDescent="0.2">
      <c r="A121" s="2" t="str">
        <f t="shared" ca="1" si="12"/>
        <v>Electric</v>
      </c>
      <c r="B121" s="4">
        <f t="shared" ca="1" si="19"/>
        <v>40703.395682870374</v>
      </c>
      <c r="C121" s="17">
        <f t="shared" ca="1" si="14"/>
        <v>2694</v>
      </c>
      <c r="D121" s="17">
        <f t="shared" ca="1" si="15"/>
        <v>34</v>
      </c>
      <c r="E121" s="47">
        <f t="shared" ca="1" si="16"/>
        <v>50000</v>
      </c>
      <c r="F121" s="7" t="str">
        <f t="shared" ca="1" si="17"/>
        <v>Actual</v>
      </c>
      <c r="G121" s="19">
        <f ca="1">IF($A121="","",+Rates!V115)</f>
        <v>3.5</v>
      </c>
      <c r="H121" s="19">
        <f ca="1">IF($A121="","",+Rates!W115)</f>
        <v>4063.0925000000016</v>
      </c>
      <c r="I121" s="19">
        <f ca="1">IF($A121="","",+Rates!X115)</f>
        <v>1589.3000000000002</v>
      </c>
      <c r="J121" s="19">
        <f ca="1">IF($A121="","",Rates!$Y115)</f>
        <v>160</v>
      </c>
      <c r="K121" s="19">
        <f ca="1">IF($A121="","",+Rates!Z115)</f>
        <v>5815.89</v>
      </c>
      <c r="L121" s="47">
        <f t="shared" ca="1" si="11"/>
        <v>61274.509803921566</v>
      </c>
      <c r="N121">
        <f t="shared" ca="1" si="20"/>
        <v>110</v>
      </c>
    </row>
    <row r="122" spans="1:14" x14ac:dyDescent="0.2">
      <c r="A122" s="2" t="str">
        <f t="shared" ca="1" si="12"/>
        <v>Electric</v>
      </c>
      <c r="B122" s="4">
        <f t="shared" ca="1" si="19"/>
        <v>40669.327581018515</v>
      </c>
      <c r="C122" s="17">
        <f t="shared" ca="1" si="14"/>
        <v>2444</v>
      </c>
      <c r="D122" s="17">
        <f t="shared" ca="1" si="15"/>
        <v>28</v>
      </c>
      <c r="E122" s="47">
        <f t="shared" ca="1" si="16"/>
        <v>34200</v>
      </c>
      <c r="F122" s="7" t="str">
        <f t="shared" ca="1" si="17"/>
        <v>Actual</v>
      </c>
      <c r="G122" s="19">
        <f ca="1">IF($A122="","",+Rates!V116)</f>
        <v>3.5</v>
      </c>
      <c r="H122" s="19">
        <f ca="1">IF($A122="","",+Rates!W116)</f>
        <v>2414.5199999999963</v>
      </c>
      <c r="I122" s="19">
        <f ca="1">IF($A122="","",+Rates!X116)</f>
        <v>768.303</v>
      </c>
      <c r="J122" s="19">
        <f ca="1">IF($A122="","",Rates!$Y116)</f>
        <v>109.44000000000001</v>
      </c>
      <c r="K122" s="19">
        <f ca="1">IF($A122="","",+Rates!Z116)</f>
        <v>3295.7599999999998</v>
      </c>
      <c r="L122" s="47">
        <f t="shared" ca="1" si="11"/>
        <v>50892.857142857138</v>
      </c>
      <c r="N122">
        <f t="shared" ca="1" si="20"/>
        <v>111</v>
      </c>
    </row>
    <row r="123" spans="1:14" x14ac:dyDescent="0.2">
      <c r="A123" s="2" t="str">
        <f t="shared" ca="1" si="12"/>
        <v>Electric</v>
      </c>
      <c r="B123" s="4">
        <f t="shared" ca="1" si="19"/>
        <v>40641.51116898148</v>
      </c>
      <c r="C123" s="17">
        <f t="shared" ca="1" si="14"/>
        <v>2273</v>
      </c>
      <c r="D123" s="17">
        <f t="shared" ca="1" si="15"/>
        <v>29</v>
      </c>
      <c r="E123" s="47">
        <f t="shared" ca="1" si="16"/>
        <v>37400</v>
      </c>
      <c r="F123" s="7" t="str">
        <f t="shared" ca="1" si="17"/>
        <v>Actual</v>
      </c>
      <c r="G123" s="19">
        <f ca="1">IF($A123="","",+Rates!V117)</f>
        <v>3.5</v>
      </c>
      <c r="H123" s="19">
        <f ca="1">IF($A123="","",+Rates!W117)</f>
        <v>2640.4399999999951</v>
      </c>
      <c r="I123" s="19">
        <f ca="1">IF($A123="","",+Rates!X117)</f>
        <v>937.95460000000003</v>
      </c>
      <c r="J123" s="19">
        <f ca="1">IF($A123="","",Rates!$Y117)</f>
        <v>119.68</v>
      </c>
      <c r="K123" s="19">
        <f ca="1">IF($A123="","",+Rates!Z117)</f>
        <v>3701.57</v>
      </c>
      <c r="L123" s="47">
        <f t="shared" ca="1" si="11"/>
        <v>53735.632183908048</v>
      </c>
      <c r="N123">
        <f t="shared" ca="1" si="20"/>
        <v>112</v>
      </c>
    </row>
    <row r="124" spans="1:14" x14ac:dyDescent="0.2">
      <c r="A124" s="2" t="str">
        <f t="shared" ca="1" si="12"/>
        <v>Electric</v>
      </c>
      <c r="B124" s="4">
        <f t="shared" ca="1" si="19"/>
        <v>40612.446064814816</v>
      </c>
      <c r="C124" s="17">
        <f t="shared" ca="1" si="14"/>
        <v>2086</v>
      </c>
      <c r="D124" s="17">
        <f t="shared" ca="1" si="15"/>
        <v>30</v>
      </c>
      <c r="E124" s="47">
        <f t="shared" ca="1" si="16"/>
        <v>35000</v>
      </c>
      <c r="F124" s="7" t="str">
        <f t="shared" ca="1" si="17"/>
        <v>Actual</v>
      </c>
      <c r="G124" s="19">
        <f ca="1">IF($A124="","",+Rates!V118)</f>
        <v>3.5</v>
      </c>
      <c r="H124" s="19">
        <f ca="1">IF($A124="","",+Rates!W118)</f>
        <v>2471.0000000000109</v>
      </c>
      <c r="I124" s="19">
        <f ca="1">IF($A124="","",+Rates!X118)</f>
        <v>780.43</v>
      </c>
      <c r="J124" s="19">
        <f ca="1">IF($A124="","",Rates!$Y118)</f>
        <v>112</v>
      </c>
      <c r="K124" s="19">
        <f ca="1">IF($A124="","",+Rates!Z118)</f>
        <v>3366.93</v>
      </c>
      <c r="L124" s="47">
        <f t="shared" ca="1" si="11"/>
        <v>54237.288135593219</v>
      </c>
      <c r="N124">
        <f t="shared" ca="1" si="20"/>
        <v>113</v>
      </c>
    </row>
    <row r="125" spans="1:14" x14ac:dyDescent="0.2">
      <c r="A125" s="2" t="str">
        <f t="shared" ca="1" si="12"/>
        <v>Electric</v>
      </c>
      <c r="B125" s="4">
        <f t="shared" ca="1" si="19"/>
        <v>40582</v>
      </c>
      <c r="C125" s="17">
        <f t="shared" ca="1" si="14"/>
        <v>1911</v>
      </c>
      <c r="D125" s="17">
        <f t="shared" ca="1" si="15"/>
        <v>29</v>
      </c>
      <c r="E125" s="47">
        <f t="shared" ca="1" si="16"/>
        <v>41800</v>
      </c>
      <c r="F125" s="7" t="str">
        <f t="shared" ca="1" si="17"/>
        <v>Estimate</v>
      </c>
      <c r="G125" s="19">
        <f ca="1">IF($A125="","",+Rates!V119)</f>
        <v>3.5</v>
      </c>
      <c r="H125" s="19">
        <f ca="1">IF($A125="","",+Rates!W119)</f>
        <v>2951.0799999999945</v>
      </c>
      <c r="I125" s="19">
        <f ca="1">IF($A125="","",+Rates!X119)</f>
        <v>885.57479999999998</v>
      </c>
      <c r="J125" s="19">
        <f ca="1">IF($A125="","",Rates!$Y119)</f>
        <v>133.76000000000002</v>
      </c>
      <c r="K125" s="19">
        <f ca="1">IF($A125="","",+Rates!Z119)</f>
        <v>3973.91</v>
      </c>
      <c r="L125" s="47">
        <f t="shared" ca="1" si="11"/>
        <v>54237.288135593219</v>
      </c>
      <c r="N125">
        <f t="shared" ca="1" si="20"/>
        <v>114</v>
      </c>
    </row>
    <row r="126" spans="1:14" x14ac:dyDescent="0.2">
      <c r="A126" s="2" t="str">
        <f t="shared" ca="1" si="12"/>
        <v>Electric</v>
      </c>
      <c r="B126" s="4">
        <f t="shared" ca="1" si="19"/>
        <v>40553.333553240744</v>
      </c>
      <c r="C126" s="17">
        <f t="shared" ca="1" si="14"/>
        <v>1702</v>
      </c>
      <c r="D126" s="17">
        <f t="shared" ca="1" si="15"/>
        <v>35</v>
      </c>
      <c r="E126" s="47">
        <f t="shared" ca="1" si="16"/>
        <v>44800</v>
      </c>
      <c r="F126" s="7" t="str">
        <f t="shared" ca="1" si="17"/>
        <v>Actual</v>
      </c>
      <c r="G126" s="19">
        <f ca="1">IF($A126="","",+Rates!V120)</f>
        <v>3.5</v>
      </c>
      <c r="H126" s="19">
        <f ca="1">IF($A126="","",+Rates!W120)</f>
        <v>3162.8800000000047</v>
      </c>
      <c r="I126" s="19">
        <f ca="1">IF($A126="","",+Rates!X120)</f>
        <v>1108.2175999999999</v>
      </c>
      <c r="J126" s="19">
        <f ca="1">IF($A126="","",Rates!$Y120)</f>
        <v>143.36000000000001</v>
      </c>
      <c r="K126" s="19">
        <f ca="1">IF($A126="","",+Rates!Z120)</f>
        <v>4417.96</v>
      </c>
      <c r="L126" s="47">
        <f t="shared" ca="1" si="11"/>
        <v>53333.333333333336</v>
      </c>
      <c r="N126">
        <f t="shared" ca="1" si="20"/>
        <v>115</v>
      </c>
    </row>
    <row r="127" spans="1:14" x14ac:dyDescent="0.2">
      <c r="A127" s="2" t="str">
        <f t="shared" ca="1" si="12"/>
        <v>Electric</v>
      </c>
      <c r="B127" s="4">
        <f t="shared" ca="1" si="19"/>
        <v>40518.330821759257</v>
      </c>
      <c r="C127" s="17">
        <f t="shared" ca="1" si="14"/>
        <v>1478</v>
      </c>
      <c r="D127" s="17">
        <f t="shared" ca="1" si="15"/>
        <v>32</v>
      </c>
      <c r="E127" s="47">
        <f t="shared" ca="1" si="16"/>
        <v>42000</v>
      </c>
      <c r="F127" s="7" t="str">
        <f t="shared" ca="1" si="17"/>
        <v>Actual</v>
      </c>
      <c r="G127" s="19">
        <f ca="1">IF($A127="","",+Rates!V121)</f>
        <v>3.5</v>
      </c>
      <c r="H127" s="19">
        <f ca="1">IF($A127="","",+Rates!W121)</f>
        <v>2965.1999999999907</v>
      </c>
      <c r="I127" s="19">
        <f ca="1">IF($A127="","",+Rates!X121)</f>
        <v>923.24400000000003</v>
      </c>
      <c r="J127" s="19">
        <f ca="1">IF($A127="","",Rates!$Y121)</f>
        <v>134.4</v>
      </c>
      <c r="K127" s="19">
        <f ca="1">IF($A127="","",+Rates!Z121)</f>
        <v>4026.3399999999997</v>
      </c>
      <c r="L127" s="47">
        <f t="shared" ca="1" si="11"/>
        <v>54687.5</v>
      </c>
      <c r="N127">
        <f t="shared" ca="1" si="20"/>
        <v>116</v>
      </c>
    </row>
    <row r="128" spans="1:14" x14ac:dyDescent="0.2">
      <c r="A128" s="2" t="str">
        <f t="shared" ca="1" si="12"/>
        <v>Electric</v>
      </c>
      <c r="B128" s="4">
        <f t="shared" ca="1" si="19"/>
        <v>40486.329328703701</v>
      </c>
      <c r="C128" s="17">
        <f t="shared" ca="1" si="14"/>
        <v>1268</v>
      </c>
      <c r="D128" s="17">
        <f t="shared" ca="1" si="15"/>
        <v>27</v>
      </c>
      <c r="E128" s="47">
        <f t="shared" ca="1" si="16"/>
        <v>37400</v>
      </c>
      <c r="F128" s="7" t="str">
        <f t="shared" ca="1" si="17"/>
        <v>Actual</v>
      </c>
      <c r="G128" s="19">
        <f ca="1">IF($A128="","",+Rates!V122)</f>
        <v>3.5</v>
      </c>
      <c r="H128" s="19">
        <f ca="1">IF($A128="","",+Rates!W122)</f>
        <v>2640.4399999999978</v>
      </c>
      <c r="I128" s="19">
        <f ca="1">IF($A128="","",+Rates!X122)</f>
        <v>717.29460000000006</v>
      </c>
      <c r="J128" s="19">
        <f ca="1">IF($A128="","",Rates!$Y122)</f>
        <v>119.68</v>
      </c>
      <c r="K128" s="19">
        <f ca="1">IF($A128="","",+Rates!Z122)</f>
        <v>3480.91</v>
      </c>
      <c r="L128" s="47">
        <f t="shared" ca="1" si="11"/>
        <v>57716.049382716054</v>
      </c>
      <c r="N128">
        <f t="shared" ca="1" si="20"/>
        <v>117</v>
      </c>
    </row>
    <row r="129" spans="1:14" x14ac:dyDescent="0.2">
      <c r="A129" s="2" t="str">
        <f t="shared" ca="1" si="12"/>
        <v>Electric</v>
      </c>
      <c r="B129" s="4">
        <f t="shared" ca="1" si="19"/>
        <v>40459.33394675926</v>
      </c>
      <c r="C129" s="17">
        <f t="shared" ca="1" si="14"/>
        <v>1081</v>
      </c>
      <c r="D129" s="17">
        <f t="shared" ca="1" si="15"/>
        <v>29</v>
      </c>
      <c r="E129" s="47">
        <f t="shared" ca="1" si="16"/>
        <v>48200</v>
      </c>
      <c r="F129" s="7" t="str">
        <f t="shared" ca="1" si="17"/>
        <v>Actual</v>
      </c>
      <c r="G129" s="19">
        <f ca="1">IF($A129="","",+Rates!V123)</f>
        <v>3.5</v>
      </c>
      <c r="H129" s="19">
        <f ca="1">IF($A129="","",+Rates!W123)</f>
        <v>3547.5140000000047</v>
      </c>
      <c r="I129" s="19">
        <f ca="1">IF($A129="","",+Rates!X123)</f>
        <v>782.47879999999998</v>
      </c>
      <c r="J129" s="19">
        <f ca="1">IF($A129="","",Rates!$Y123)</f>
        <v>154.24</v>
      </c>
      <c r="K129" s="19">
        <f ca="1">IF($A129="","",+Rates!Z123)</f>
        <v>4487.7299999999996</v>
      </c>
      <c r="L129" s="47">
        <f t="shared" ca="1" si="11"/>
        <v>69252.873563218382</v>
      </c>
      <c r="N129">
        <f t="shared" ca="1" si="20"/>
        <v>118</v>
      </c>
    </row>
    <row r="130" spans="1:14" x14ac:dyDescent="0.2">
      <c r="A130" s="2" t="str">
        <f t="shared" ca="1" si="12"/>
        <v>Electric</v>
      </c>
      <c r="B130" s="4">
        <f t="shared" ca="1" si="19"/>
        <v>40430.333333333336</v>
      </c>
      <c r="C130" s="17">
        <f t="shared" ca="1" si="14"/>
        <v>840</v>
      </c>
      <c r="D130" s="17">
        <f t="shared" ca="1" si="15"/>
        <v>31</v>
      </c>
      <c r="E130" s="47">
        <f t="shared" ca="1" si="16"/>
        <v>55000</v>
      </c>
      <c r="F130" s="7" t="str">
        <f t="shared" ca="1" si="17"/>
        <v>Actual</v>
      </c>
      <c r="G130" s="19">
        <f ca="1">IF($A130="","",+Rates!V124)</f>
        <v>3.5</v>
      </c>
      <c r="H130" s="19">
        <f ca="1">IF($A130="","",+Rates!W124)</f>
        <v>4680.5</v>
      </c>
      <c r="I130" s="19">
        <f ca="1">IF($A130="","",+Rates!X124)</f>
        <v>1106.105</v>
      </c>
      <c r="J130" s="19">
        <f ca="1">IF($A130="","",Rates!$Y124)</f>
        <v>176</v>
      </c>
      <c r="K130" s="19">
        <f ca="1">IF($A130="","",+Rates!Z124)</f>
        <v>5966.11</v>
      </c>
      <c r="L130" s="47">
        <f t="shared" ca="1" si="11"/>
        <v>73924.731182795702</v>
      </c>
      <c r="N130">
        <f t="shared" ca="1" si="20"/>
        <v>119</v>
      </c>
    </row>
    <row r="131" spans="1:14" x14ac:dyDescent="0.2">
      <c r="A131" s="2" t="str">
        <f t="shared" ca="1" si="12"/>
        <v>Electric</v>
      </c>
      <c r="B131" s="4">
        <f t="shared" ca="1" si="19"/>
        <v>40399.356550925928</v>
      </c>
      <c r="C131" s="17">
        <f t="shared" ca="1" si="14"/>
        <v>565</v>
      </c>
      <c r="D131" s="17">
        <f t="shared" ca="1" si="15"/>
        <v>32</v>
      </c>
      <c r="E131" s="47">
        <f t="shared" ca="1" si="16"/>
        <v>67400</v>
      </c>
      <c r="F131" s="7" t="str">
        <f t="shared" ca="1" si="17"/>
        <v>Actual</v>
      </c>
      <c r="G131" s="19">
        <f ca="1">IF($A131="","",+Rates!V125)</f>
        <v>3.5</v>
      </c>
      <c r="H131" s="19">
        <f ca="1">IF($A131="","",+Rates!W125)</f>
        <v>5735.74</v>
      </c>
      <c r="I131" s="19">
        <f ca="1">IF($A131="","",+Rates!X125)</f>
        <v>1417.422</v>
      </c>
      <c r="J131" s="19">
        <f ca="1">IF($A131="","",Rates!$Y125)</f>
        <v>215.68</v>
      </c>
      <c r="K131" s="19">
        <f ca="1">IF($A131="","",+Rates!Z125)</f>
        <v>7372.34</v>
      </c>
      <c r="L131" s="47">
        <f t="shared" ca="1" si="11"/>
        <v>87760.416666666672</v>
      </c>
      <c r="N131">
        <f t="shared" ca="1" si="20"/>
        <v>120</v>
      </c>
    </row>
    <row r="132" spans="1:14" x14ac:dyDescent="0.2">
      <c r="A132" s="2" t="str">
        <f t="shared" ca="1" si="12"/>
        <v>Electric</v>
      </c>
      <c r="B132" s="4">
        <f t="shared" ca="1" si="19"/>
        <v>40367.360486111109</v>
      </c>
      <c r="C132" s="17">
        <f t="shared" ca="1" si="14"/>
        <v>228</v>
      </c>
      <c r="D132" s="17">
        <f t="shared" ca="1" si="15"/>
        <v>30</v>
      </c>
      <c r="E132" s="47">
        <f t="shared" ca="1" si="16"/>
        <v>52600</v>
      </c>
      <c r="F132" s="7" t="str">
        <f t="shared" ca="1" si="17"/>
        <v>Actual</v>
      </c>
      <c r="G132" s="19">
        <f ca="1">IF($A132="","",+Rates!V126)</f>
        <v>3.5</v>
      </c>
      <c r="H132" s="19">
        <f ca="1">IF($A132="","",+Rates!W126)</f>
        <v>4476.2599999999993</v>
      </c>
      <c r="I132" s="19">
        <f ca="1">IF($A132="","",+Rates!X126)</f>
        <v>1195.8084000000001</v>
      </c>
      <c r="J132" s="19">
        <f ca="1">IF($A132="","",Rates!$Y126)</f>
        <v>168.32000000000002</v>
      </c>
      <c r="K132" s="19">
        <f ca="1">IF($A132="","",+Rates!Z126)</f>
        <v>5843.8899999999994</v>
      </c>
      <c r="L132" s="47">
        <f t="shared" ca="1" si="11"/>
        <v>73055.555555555562</v>
      </c>
      <c r="N132">
        <f t="shared" ca="1" si="20"/>
        <v>121</v>
      </c>
    </row>
    <row r="133" spans="1:14" x14ac:dyDescent="0.2">
      <c r="A133" s="2" t="str">
        <f t="shared" ca="1" si="12"/>
        <v>Electric</v>
      </c>
      <c r="B133" s="4">
        <f t="shared" ca="1" si="19"/>
        <v>40337.548414351855</v>
      </c>
      <c r="C133" s="17">
        <f t="shared" ca="1" si="14"/>
        <v>9965</v>
      </c>
      <c r="D133" s="17">
        <f t="shared" ca="1" si="15"/>
        <v>32</v>
      </c>
      <c r="E133" s="47">
        <f t="shared" ca="1" si="16"/>
        <v>54600</v>
      </c>
      <c r="F133" s="7" t="str">
        <f t="shared" ca="1" si="17"/>
        <v>Actual</v>
      </c>
      <c r="G133" s="19">
        <f ca="1">IF($A133="","",+Rates!V127)</f>
        <v>3.5</v>
      </c>
      <c r="H133" s="19">
        <f ca="1">IF($A133="","",+Rates!W127)</f>
        <v>4448.5349999999999</v>
      </c>
      <c r="I133" s="19">
        <f ca="1">IF($A133="","",+Rates!X127)</f>
        <v>873.76379999999995</v>
      </c>
      <c r="J133" s="19">
        <f ca="1">IF($A133="","",Rates!$Y127)</f>
        <v>174.72</v>
      </c>
      <c r="K133" s="19">
        <f ca="1">IF($A133="","",+Rates!Z127)</f>
        <v>5500.52</v>
      </c>
      <c r="L133" s="47">
        <f t="shared" ca="1" si="11"/>
        <v>71093.75</v>
      </c>
      <c r="N133">
        <f t="shared" ca="1" si="20"/>
        <v>122</v>
      </c>
    </row>
    <row r="134" spans="1:14" x14ac:dyDescent="0.2">
      <c r="A134" s="2" t="str">
        <f t="shared" ca="1" si="12"/>
        <v>Electric</v>
      </c>
      <c r="B134" s="4">
        <f t="shared" ca="1" si="19"/>
        <v>40305.337233796294</v>
      </c>
      <c r="C134" s="17">
        <f t="shared" ca="1" si="14"/>
        <v>9692</v>
      </c>
      <c r="D134" s="17">
        <f t="shared" ca="1" si="15"/>
        <v>29</v>
      </c>
      <c r="E134" s="47">
        <f t="shared" ca="1" si="16"/>
        <v>42200</v>
      </c>
      <c r="F134" s="7" t="str">
        <f t="shared" ca="1" si="17"/>
        <v>Actual</v>
      </c>
      <c r="G134" s="19">
        <f ca="1">IF($A134="","",+Rates!V128)</f>
        <v>3.5</v>
      </c>
      <c r="H134" s="19">
        <f ca="1">IF($A134="","",+Rates!W128)</f>
        <v>2979.3200000000047</v>
      </c>
      <c r="I134" s="19">
        <f ca="1">IF($A134="","",+Rates!X128)</f>
        <v>607.30020000000002</v>
      </c>
      <c r="J134" s="19">
        <f ca="1">IF($A134="","",Rates!$Y128)</f>
        <v>135.04000000000002</v>
      </c>
      <c r="K134" s="19">
        <f ca="1">IF($A134="","",+Rates!Z128)</f>
        <v>3725.16</v>
      </c>
      <c r="L134" s="47">
        <f t="shared" ca="1" si="11"/>
        <v>60632.183908045983</v>
      </c>
      <c r="N134">
        <f t="shared" ca="1" si="20"/>
        <v>123</v>
      </c>
    </row>
    <row r="135" spans="1:14" x14ac:dyDescent="0.2">
      <c r="A135" s="2" t="str">
        <f t="shared" ca="1" si="12"/>
        <v>Electric</v>
      </c>
      <c r="B135" s="4">
        <f t="shared" ca="1" si="19"/>
        <v>40276.33898148148</v>
      </c>
      <c r="C135" s="17">
        <f t="shared" ca="1" si="14"/>
        <v>9481</v>
      </c>
      <c r="D135" s="17">
        <f t="shared" ca="1" si="15"/>
        <v>31</v>
      </c>
      <c r="E135" s="47">
        <f t="shared" ca="1" si="16"/>
        <v>46200</v>
      </c>
      <c r="F135" s="7" t="str">
        <f t="shared" ca="1" si="17"/>
        <v>Actual</v>
      </c>
      <c r="G135" s="19">
        <f ca="1">IF($A135="","",+Rates!V129)</f>
        <v>3.5</v>
      </c>
      <c r="H135" s="19">
        <f ca="1">IF($A135="","",+Rates!W129)</f>
        <v>3261.7200000000012</v>
      </c>
      <c r="I135" s="19">
        <f ca="1">IF($A135="","",+Rates!X129)</f>
        <v>808.73099999999999</v>
      </c>
      <c r="J135" s="19">
        <f ca="1">IF($A135="","",Rates!$Y129)</f>
        <v>147.84</v>
      </c>
      <c r="K135" s="19">
        <f ca="1">IF($A135="","",+Rates!Z129)</f>
        <v>4221.79</v>
      </c>
      <c r="L135" s="47">
        <f t="shared" ca="1" si="11"/>
        <v>59745.762711864409</v>
      </c>
      <c r="N135">
        <f t="shared" ca="1" si="20"/>
        <v>124</v>
      </c>
    </row>
    <row r="136" spans="1:14" x14ac:dyDescent="0.2">
      <c r="A136" s="2" t="str">
        <f t="shared" ca="1" si="12"/>
        <v>Electric</v>
      </c>
      <c r="B136" s="4">
        <f t="shared" ca="1" si="19"/>
        <v>40245</v>
      </c>
      <c r="C136" s="17">
        <f t="shared" ca="1" si="14"/>
        <v>9250</v>
      </c>
      <c r="D136" s="17">
        <f t="shared" ca="1" si="15"/>
        <v>28</v>
      </c>
      <c r="E136" s="47">
        <f t="shared" ca="1" si="16"/>
        <v>38400</v>
      </c>
      <c r="F136" s="7" t="str">
        <f t="shared" ca="1" si="17"/>
        <v>Estimate</v>
      </c>
      <c r="G136" s="19">
        <f ca="1">IF($A136="","",+Rates!V130)</f>
        <v>3.5</v>
      </c>
      <c r="H136" s="19">
        <f ca="1">IF($A136="","",+Rates!W130)</f>
        <v>2711.0399999999959</v>
      </c>
      <c r="I136" s="19">
        <f ca="1">IF($A136="","",+Rates!X130)</f>
        <v>436.95359999999999</v>
      </c>
      <c r="J136" s="19">
        <f ca="1">IF($A136="","",Rates!$Y130)</f>
        <v>122.88000000000001</v>
      </c>
      <c r="K136" s="19">
        <f ca="1">IF($A136="","",+Rates!Z130)</f>
        <v>3274.37</v>
      </c>
      <c r="L136" s="47">
        <f t="shared" ca="1" si="11"/>
        <v>59745.762711864409</v>
      </c>
      <c r="N136">
        <f t="shared" ca="1" si="20"/>
        <v>125</v>
      </c>
    </row>
    <row r="137" spans="1:14" x14ac:dyDescent="0.2">
      <c r="A137" s="2" t="str">
        <f t="shared" ca="1" si="12"/>
        <v>Electric</v>
      </c>
      <c r="B137" s="4">
        <f t="shared" ca="1" si="19"/>
        <v>40217.378483796296</v>
      </c>
      <c r="C137" s="17">
        <f t="shared" ca="1" si="14"/>
        <v>9058</v>
      </c>
      <c r="D137" s="17">
        <f t="shared" ca="1" si="15"/>
        <v>28</v>
      </c>
      <c r="E137" s="47">
        <f t="shared" ca="1" si="16"/>
        <v>40400</v>
      </c>
      <c r="F137" s="7" t="str">
        <f t="shared" ca="1" si="17"/>
        <v>Actual</v>
      </c>
      <c r="G137" s="19">
        <f ca="1">IF($A137="","",+Rates!V131)</f>
        <v>3.5</v>
      </c>
      <c r="H137" s="19">
        <f ca="1">IF($A137="","",+Rates!W131)</f>
        <v>2852.2399999999961</v>
      </c>
      <c r="I137" s="19">
        <f ca="1">IF($A137="","",+Rates!X131)</f>
        <v>695.97079999999994</v>
      </c>
      <c r="J137" s="19">
        <f ca="1">IF($A137="","",Rates!$Y131)</f>
        <v>129.28</v>
      </c>
      <c r="K137" s="19">
        <f ca="1">IF($A137="","",+Rates!Z131)</f>
        <v>3680.9900000000002</v>
      </c>
      <c r="L137" s="47">
        <f t="shared" ca="1" si="11"/>
        <v>60119.047619047618</v>
      </c>
      <c r="N137">
        <f t="shared" ca="1" si="20"/>
        <v>126</v>
      </c>
    </row>
    <row r="138" spans="1:14" x14ac:dyDescent="0.2">
      <c r="A138" s="2" t="str">
        <f t="shared" ca="1" si="12"/>
        <v>Electric</v>
      </c>
      <c r="B138" s="4">
        <f t="shared" ca="1" si="19"/>
        <v>40189.558634259258</v>
      </c>
      <c r="C138" s="17">
        <f t="shared" ca="1" si="14"/>
        <v>8856</v>
      </c>
      <c r="D138" s="17">
        <f t="shared" ca="1" si="15"/>
        <v>34</v>
      </c>
      <c r="E138" s="47">
        <f t="shared" ca="1" si="16"/>
        <v>44000</v>
      </c>
      <c r="F138" s="7" t="str">
        <f t="shared" ca="1" si="17"/>
        <v>Actual</v>
      </c>
      <c r="G138" s="19">
        <f ca="1">IF($A138="","",+Rates!V132)</f>
        <v>3.5</v>
      </c>
      <c r="H138" s="19">
        <f ca="1">IF($A138="","",+Rates!W132)</f>
        <v>3106.400000000006</v>
      </c>
      <c r="I138" s="19">
        <f ca="1">IF($A138="","",+Rates!X132)</f>
        <v>731.10399999999993</v>
      </c>
      <c r="J138" s="19">
        <f ca="1">IF($A138="","",Rates!$Y132)</f>
        <v>140.80000000000001</v>
      </c>
      <c r="K138" s="19">
        <f ca="1">IF($A138="","",+Rates!Z132)</f>
        <v>3981.8</v>
      </c>
      <c r="L138" s="47">
        <f t="shared" ca="1" si="11"/>
        <v>53921.568627450972</v>
      </c>
      <c r="N138">
        <f t="shared" ca="1" si="20"/>
        <v>127</v>
      </c>
    </row>
    <row r="139" spans="1:14" x14ac:dyDescent="0.2">
      <c r="A139" s="2" t="str">
        <f t="shared" ca="1" si="12"/>
        <v>Electric</v>
      </c>
      <c r="B139" s="4">
        <f t="shared" ca="1" si="19"/>
        <v>40155.486608796295</v>
      </c>
      <c r="C139" s="17">
        <f t="shared" ca="1" si="14"/>
        <v>8636</v>
      </c>
      <c r="D139" s="17">
        <f t="shared" ca="1" si="15"/>
        <v>29</v>
      </c>
      <c r="E139" s="47">
        <f t="shared" ca="1" si="16"/>
        <v>37600</v>
      </c>
      <c r="F139" s="7" t="str">
        <f t="shared" ca="1" si="17"/>
        <v>Actual</v>
      </c>
      <c r="G139" s="19">
        <f ca="1">IF($A139="","",+Rates!V133)</f>
        <v>3.5</v>
      </c>
      <c r="H139" s="19">
        <f ca="1">IF($A139="","",+Rates!W133)</f>
        <v>2654.5599999999949</v>
      </c>
      <c r="I139" s="19">
        <f ca="1">IF($A139="","",+Rates!X133)</f>
        <v>790.61520000000007</v>
      </c>
      <c r="J139" s="19">
        <f ca="1">IF($A139="","",Rates!$Y133)</f>
        <v>120.32000000000001</v>
      </c>
      <c r="K139" s="19">
        <f ca="1">IF($A139="","",+Rates!Z133)</f>
        <v>3569</v>
      </c>
      <c r="L139" s="47">
        <f t="shared" ca="1" si="11"/>
        <v>54022.988505747126</v>
      </c>
      <c r="N139">
        <f t="shared" ca="1" si="20"/>
        <v>128</v>
      </c>
    </row>
    <row r="140" spans="1:14" x14ac:dyDescent="0.2">
      <c r="A140" s="2" t="str">
        <f t="shared" ca="1" si="12"/>
        <v>Electric</v>
      </c>
      <c r="B140" s="4">
        <f t="shared" ca="1" si="19"/>
        <v>40126.346238425926</v>
      </c>
      <c r="C140" s="17">
        <f t="shared" ca="1" si="14"/>
        <v>8448</v>
      </c>
      <c r="D140" s="17">
        <f t="shared" ca="1" si="15"/>
        <v>33</v>
      </c>
      <c r="E140" s="47">
        <f t="shared" ca="1" si="16"/>
        <v>41200</v>
      </c>
      <c r="F140" s="7" t="str">
        <f t="shared" ca="1" si="17"/>
        <v>Actual</v>
      </c>
      <c r="G140" s="19">
        <f ca="1">IF($A140="","",+Rates!V134)</f>
        <v>3.5</v>
      </c>
      <c r="H140" s="19">
        <f ca="1">IF($A140="","",+Rates!W134)</f>
        <v>2908.7199999999984</v>
      </c>
      <c r="I140" s="19">
        <f ca="1">IF($A140="","",+Rates!X134)</f>
        <v>723.22479999999996</v>
      </c>
      <c r="J140" s="19">
        <f ca="1">IF($A140="","",Rates!$Y134)</f>
        <v>131.84</v>
      </c>
      <c r="K140" s="19">
        <f ca="1">IF($A140="","",+Rates!Z134)</f>
        <v>3767.2799999999997</v>
      </c>
      <c r="L140" s="47">
        <f t="shared" ca="1" si="11"/>
        <v>52020.202020202021</v>
      </c>
      <c r="N140">
        <f t="shared" ca="1" si="20"/>
        <v>129</v>
      </c>
    </row>
    <row r="141" spans="1:14" x14ac:dyDescent="0.2">
      <c r="A141" s="2" t="str">
        <f t="shared" ca="1" si="12"/>
        <v>Electric</v>
      </c>
      <c r="B141" s="4">
        <f t="shared" ca="1" si="19"/>
        <v>40093.353738425925</v>
      </c>
      <c r="C141" s="17">
        <f t="shared" ca="1" si="14"/>
        <v>8242</v>
      </c>
      <c r="D141" s="17">
        <f t="shared" ca="1" si="15"/>
        <v>29</v>
      </c>
      <c r="E141" s="47">
        <f t="shared" ca="1" si="16"/>
        <v>41600</v>
      </c>
      <c r="F141" s="7" t="str">
        <f t="shared" ca="1" si="17"/>
        <v>Actual</v>
      </c>
      <c r="G141" s="19">
        <f ca="1">IF($A141="","",+Rates!V135)</f>
        <v>3.5</v>
      </c>
      <c r="H141" s="19">
        <f ca="1">IF($A141="","",+Rates!W135)</f>
        <v>3082.5545000000034</v>
      </c>
      <c r="I141" s="19">
        <f ca="1">IF($A141="","",+Rates!X135)</f>
        <v>926.0992</v>
      </c>
      <c r="J141" s="19">
        <f ca="1">IF($A141="","",Rates!$Y135)</f>
        <v>133.12</v>
      </c>
      <c r="K141" s="19">
        <f ca="1">IF($A141="","",+Rates!Z135)</f>
        <v>4145.2700000000004</v>
      </c>
      <c r="L141" s="47">
        <f t="shared" ca="1" si="11"/>
        <v>59770.114942528744</v>
      </c>
      <c r="N141">
        <f t="shared" ca="1" si="20"/>
        <v>130</v>
      </c>
    </row>
    <row r="142" spans="1:14" x14ac:dyDescent="0.2">
      <c r="A142" s="2" t="str">
        <f t="shared" ca="1" si="12"/>
        <v>Electric</v>
      </c>
      <c r="B142" s="4">
        <f t="shared" ca="1" si="19"/>
        <v>40064.434641203705</v>
      </c>
      <c r="C142" s="17">
        <f t="shared" ca="1" si="14"/>
        <v>8034</v>
      </c>
      <c r="D142" s="17">
        <f t="shared" ca="1" si="15"/>
        <v>33</v>
      </c>
      <c r="E142" s="47">
        <f t="shared" ca="1" si="16"/>
        <v>53200</v>
      </c>
      <c r="F142" s="7" t="str">
        <f t="shared" ca="1" si="17"/>
        <v>Actual</v>
      </c>
      <c r="G142" s="19">
        <f ca="1">IF($A142="","",+Rates!V136)</f>
        <v>3.5</v>
      </c>
      <c r="H142" s="19">
        <f ca="1">IF($A142="","",+Rates!W136)</f>
        <v>4527.32</v>
      </c>
      <c r="I142" s="19">
        <f ca="1">IF($A142="","",+Rates!X136)</f>
        <v>1302.07</v>
      </c>
      <c r="J142" s="19">
        <f ca="1">IF($A142="","",Rates!$Y136)</f>
        <v>170.24</v>
      </c>
      <c r="K142" s="19">
        <f ca="1">IF($A142="","",+Rates!Z136)</f>
        <v>6003.1299999999992</v>
      </c>
      <c r="L142" s="47">
        <f t="shared" ref="L142:L205" ca="1" si="21">IF($A142="","",IF(F143="Estimate",+(E142+E143)/(D142+D143),IF(F142="Estimate",+(E142+E141)/(D142+D141),+E142/D142))/24*1000)</f>
        <v>67171.717171717159</v>
      </c>
      <c r="N142">
        <f t="shared" ca="1" si="20"/>
        <v>131</v>
      </c>
    </row>
    <row r="143" spans="1:14" x14ac:dyDescent="0.2">
      <c r="A143" s="2" t="str">
        <f t="shared" ca="1" si="12"/>
        <v>Electric</v>
      </c>
      <c r="B143" s="4">
        <f t="shared" ca="1" si="19"/>
        <v>40031.393703703703</v>
      </c>
      <c r="C143" s="17">
        <f t="shared" ca="1" si="14"/>
        <v>7768</v>
      </c>
      <c r="D143" s="17">
        <f t="shared" ca="1" si="15"/>
        <v>29</v>
      </c>
      <c r="E143" s="47">
        <f t="shared" ca="1" si="16"/>
        <v>49600</v>
      </c>
      <c r="F143" s="7" t="str">
        <f t="shared" ca="1" si="17"/>
        <v>Actual</v>
      </c>
      <c r="G143" s="19">
        <f ca="1">IF($A143="","",+Rates!V137)</f>
        <v>3.5</v>
      </c>
      <c r="H143" s="19">
        <f ca="1">IF($A143="","",+Rates!W137)</f>
        <v>4220.96</v>
      </c>
      <c r="I143" s="19">
        <f ca="1">IF($A143="","",+Rates!X137)</f>
        <v>929.80159999999989</v>
      </c>
      <c r="J143" s="19">
        <f ca="1">IF($A143="","",Rates!$Y137)</f>
        <v>158.72</v>
      </c>
      <c r="K143" s="19">
        <f ca="1">IF($A143="","",+Rates!Z137)</f>
        <v>5312.9800000000005</v>
      </c>
      <c r="L143" s="47">
        <f t="shared" ca="1" si="21"/>
        <v>71264.367816091966</v>
      </c>
      <c r="N143">
        <f t="shared" ca="1" si="20"/>
        <v>132</v>
      </c>
    </row>
    <row r="144" spans="1:14" x14ac:dyDescent="0.2">
      <c r="A144" s="2" t="str">
        <f t="shared" ca="1" si="12"/>
        <v>Electric</v>
      </c>
      <c r="B144" s="4">
        <f t="shared" ca="1" si="19"/>
        <v>40002.423159722224</v>
      </c>
      <c r="C144" s="17">
        <f t="shared" ca="1" si="14"/>
        <v>7520</v>
      </c>
      <c r="D144" s="17">
        <f t="shared" ca="1" si="15"/>
        <v>30</v>
      </c>
      <c r="E144" s="47">
        <f t="shared" ca="1" si="16"/>
        <v>53200</v>
      </c>
      <c r="F144" s="7" t="str">
        <f t="shared" ca="1" si="17"/>
        <v>Actual</v>
      </c>
      <c r="G144" s="19">
        <f ca="1">IF($A144="","",+Rates!V138)</f>
        <v>3.5</v>
      </c>
      <c r="H144" s="19">
        <f ca="1">IF($A144="","",+Rates!W138)</f>
        <v>4527.32</v>
      </c>
      <c r="I144" s="19">
        <f ca="1">IF($A144="","",+Rates!X138)</f>
        <v>1265.5748000000001</v>
      </c>
      <c r="J144" s="19">
        <f ca="1">IF($A144="","",Rates!$Y138)</f>
        <v>170.24</v>
      </c>
      <c r="K144" s="19">
        <f ca="1">IF($A144="","",+Rates!Z138)</f>
        <v>5966.6299999999992</v>
      </c>
      <c r="L144" s="47">
        <f t="shared" ca="1" si="21"/>
        <v>73888.888888888891</v>
      </c>
      <c r="N144">
        <f t="shared" ca="1" si="20"/>
        <v>133</v>
      </c>
    </row>
    <row r="145" spans="1:14" x14ac:dyDescent="0.2">
      <c r="A145" s="2" t="str">
        <f t="shared" ca="1" si="12"/>
        <v>Electric</v>
      </c>
      <c r="B145" s="4">
        <f t="shared" ca="1" si="19"/>
        <v>39972.346539351849</v>
      </c>
      <c r="C145" s="17">
        <f t="shared" ca="1" si="14"/>
        <v>7254</v>
      </c>
      <c r="D145" s="17">
        <f t="shared" ca="1" si="15"/>
        <v>31</v>
      </c>
      <c r="E145" s="47">
        <f t="shared" ca="1" si="16"/>
        <v>44000</v>
      </c>
      <c r="F145" s="7" t="str">
        <f t="shared" ca="1" si="17"/>
        <v>Actual</v>
      </c>
      <c r="G145" s="19">
        <f ca="1">IF($A145="","",+Rates!V139)</f>
        <v>3.5</v>
      </c>
      <c r="H145" s="19">
        <f ca="1">IF($A145="","",+Rates!W139)</f>
        <v>3600.3424999999988</v>
      </c>
      <c r="I145" s="19">
        <f ca="1">IF($A145="","",+Rates!X139)</f>
        <v>1254.8800000000001</v>
      </c>
      <c r="J145" s="19">
        <f ca="1">IF($A145="","",Rates!$Y139)</f>
        <v>140.80000000000001</v>
      </c>
      <c r="K145" s="19">
        <f ca="1">IF($A145="","",+Rates!Z139)</f>
        <v>4999.5200000000004</v>
      </c>
      <c r="L145" s="47">
        <f t="shared" ca="1" si="21"/>
        <v>59139.784946236556</v>
      </c>
      <c r="N145">
        <f t="shared" ca="1" si="20"/>
        <v>134</v>
      </c>
    </row>
    <row r="146" spans="1:14" x14ac:dyDescent="0.2">
      <c r="A146" s="2" t="str">
        <f t="shared" ref="A146:A209" ca="1" si="22">IF(ROW()&gt;($N$9-$N$8+12),"",INDIRECT("'Reading History'!A"&amp;$N146+$N$8-1))</f>
        <v>Electric</v>
      </c>
      <c r="B146" s="4">
        <f t="shared" ca="1" si="19"/>
        <v>39941.638854166667</v>
      </c>
      <c r="C146" s="17">
        <f t="shared" ref="C146:C209" ca="1" si="23">IF($A146="","",INDIRECT("'Reading History'!G"&amp;$N146+$N$8-1))</f>
        <v>7034</v>
      </c>
      <c r="D146" s="17">
        <f t="shared" ref="D146:D209" ca="1" si="24">IF($A146="","",INDIRECT("'Reading History'!H"&amp;$N146+$N$8-1))</f>
        <v>29</v>
      </c>
      <c r="E146" s="47">
        <f t="shared" ref="E146:E209" ca="1" si="25">IF($A146="","",INDIRECT("'Reading History'!I"&amp;$N146+$N$8-1))</f>
        <v>40600</v>
      </c>
      <c r="F146" s="7" t="str">
        <f t="shared" ref="F146:F209" ca="1" si="26">IF($A146="","",IF(RIGHT(INDIRECT("'Reading History'!E"&amp;$N146+$N$8-1),4)="Read",LEFT(INDIRECT("'Reading History'!E"&amp;$N146+$N$8-1),LEN(INDIRECT("'Reading History'!E"&amp;$N146+$N$8-1))-5),INDIRECT("'Reading History'!E"&amp;$N146+$N$8-1)))</f>
        <v>Actual</v>
      </c>
      <c r="G146" s="19">
        <f ca="1">IF($A146="","",+Rates!V140)</f>
        <v>3.5</v>
      </c>
      <c r="H146" s="19">
        <f ca="1">IF($A146="","",+Rates!W140)</f>
        <v>2866.3599999999997</v>
      </c>
      <c r="I146" s="19">
        <f ca="1">IF($A146="","",+Rates!X140)</f>
        <v>771.27819999999997</v>
      </c>
      <c r="J146" s="19">
        <f ca="1">IF($A146="","",Rates!$Y140)</f>
        <v>129.92000000000002</v>
      </c>
      <c r="K146" s="19">
        <f ca="1">IF($A146="","",+Rates!Z140)</f>
        <v>3771.0600000000004</v>
      </c>
      <c r="L146" s="47">
        <f t="shared" ca="1" si="21"/>
        <v>58333.333333333336</v>
      </c>
      <c r="N146">
        <f t="shared" ca="1" si="20"/>
        <v>135</v>
      </c>
    </row>
    <row r="147" spans="1:14" x14ac:dyDescent="0.2">
      <c r="A147" s="2" t="str">
        <f t="shared" ca="1" si="22"/>
        <v>Electric</v>
      </c>
      <c r="B147" s="4">
        <f t="shared" ca="1" si="19"/>
        <v>39912.516076388885</v>
      </c>
      <c r="C147" s="17">
        <f t="shared" ca="1" si="23"/>
        <v>6831</v>
      </c>
      <c r="D147" s="17">
        <f t="shared" ca="1" si="24"/>
        <v>30</v>
      </c>
      <c r="E147" s="47">
        <f t="shared" ca="1" si="25"/>
        <v>41800</v>
      </c>
      <c r="F147" s="7" t="str">
        <f t="shared" ca="1" si="26"/>
        <v>Actual</v>
      </c>
      <c r="G147" s="19">
        <f ca="1">IF($A147="","",+Rates!V141)</f>
        <v>3.5</v>
      </c>
      <c r="H147" s="19">
        <f ca="1">IF($A147="","",+Rates!W141)</f>
        <v>2951.0800000000027</v>
      </c>
      <c r="I147" s="19">
        <f ca="1">IF($A147="","",+Rates!X141)</f>
        <v>828.09979999999996</v>
      </c>
      <c r="J147" s="19">
        <f ca="1">IF($A147="","",Rates!$Y141)</f>
        <v>133.76000000000002</v>
      </c>
      <c r="K147" s="19">
        <f ca="1">IF($A147="","",+Rates!Z141)</f>
        <v>3916.4399999999996</v>
      </c>
      <c r="L147" s="47">
        <f t="shared" ca="1" si="21"/>
        <v>58055.555555555547</v>
      </c>
      <c r="N147">
        <f t="shared" ca="1" si="20"/>
        <v>136</v>
      </c>
    </row>
    <row r="148" spans="1:14" x14ac:dyDescent="0.2">
      <c r="A148" s="2" t="str">
        <f t="shared" ca="1" si="22"/>
        <v>Electric</v>
      </c>
      <c r="B148" s="4">
        <f t="shared" ca="1" si="19"/>
        <v>39882.41479166667</v>
      </c>
      <c r="C148" s="17">
        <f t="shared" ca="1" si="23"/>
        <v>6622</v>
      </c>
      <c r="D148" s="17">
        <f t="shared" ca="1" si="24"/>
        <v>35</v>
      </c>
      <c r="E148" s="47">
        <f t="shared" ca="1" si="25"/>
        <v>48000</v>
      </c>
      <c r="F148" s="7" t="str">
        <f t="shared" ca="1" si="26"/>
        <v>Actual</v>
      </c>
      <c r="G148" s="19">
        <f ca="1">IF($A148="","",+Rates!V142)</f>
        <v>3.5</v>
      </c>
      <c r="H148" s="19">
        <f ca="1">IF($A148="","",+Rates!W142)</f>
        <v>3388.7999999999997</v>
      </c>
      <c r="I148" s="19">
        <f ca="1">IF($A148="","",+Rates!X142)</f>
        <v>869.18399999999997</v>
      </c>
      <c r="J148" s="19">
        <f ca="1">IF($A148="","",Rates!$Y142)</f>
        <v>153.6</v>
      </c>
      <c r="K148" s="19">
        <f ca="1">IF($A148="","",+Rates!Z142)</f>
        <v>4415.0800000000008</v>
      </c>
      <c r="L148" s="47">
        <f t="shared" ca="1" si="21"/>
        <v>58196.721311475412</v>
      </c>
      <c r="N148">
        <f t="shared" ca="1" si="20"/>
        <v>137</v>
      </c>
    </row>
    <row r="149" spans="1:14" x14ac:dyDescent="0.2">
      <c r="A149" s="2" t="str">
        <f t="shared" ca="1" si="22"/>
        <v>Electric</v>
      </c>
      <c r="B149" s="4">
        <f t="shared" ca="1" si="19"/>
        <v>39847</v>
      </c>
      <c r="C149" s="17">
        <f t="shared" ca="1" si="23"/>
        <v>6382</v>
      </c>
      <c r="D149" s="17">
        <f t="shared" ca="1" si="24"/>
        <v>26</v>
      </c>
      <c r="E149" s="47">
        <f t="shared" ca="1" si="25"/>
        <v>37200</v>
      </c>
      <c r="F149" s="7" t="str">
        <f t="shared" ca="1" si="26"/>
        <v>Estimate</v>
      </c>
      <c r="G149" s="19">
        <f ca="1">IF($A149="","",+Rates!V143)</f>
        <v>3.5</v>
      </c>
      <c r="H149" s="19">
        <f ca="1">IF($A149="","",+Rates!W143)</f>
        <v>2626.3199999999993</v>
      </c>
      <c r="I149" s="19">
        <f ca="1">IF($A149="","",+Rates!X143)</f>
        <v>549.81600000000003</v>
      </c>
      <c r="J149" s="19">
        <f ca="1">IF($A149="","",Rates!$Y143)</f>
        <v>119.04</v>
      </c>
      <c r="K149" s="19">
        <f ca="1">IF($A149="","",+Rates!Z143)</f>
        <v>3298.6800000000003</v>
      </c>
      <c r="L149" s="47">
        <f t="shared" ca="1" si="21"/>
        <v>58196.721311475412</v>
      </c>
      <c r="N149">
        <f t="shared" ca="1" si="20"/>
        <v>138</v>
      </c>
    </row>
    <row r="150" spans="1:14" x14ac:dyDescent="0.2">
      <c r="A150" s="2" t="str">
        <f t="shared" ca="1" si="22"/>
        <v>Electric</v>
      </c>
      <c r="B150" s="4">
        <f t="shared" ca="1" si="19"/>
        <v>39821.447453703702</v>
      </c>
      <c r="C150" s="17">
        <f t="shared" ca="1" si="23"/>
        <v>6196</v>
      </c>
      <c r="D150" s="17">
        <f t="shared" ca="1" si="24"/>
        <v>31</v>
      </c>
      <c r="E150" s="47">
        <f t="shared" ca="1" si="25"/>
        <v>39000</v>
      </c>
      <c r="F150" s="7" t="str">
        <f t="shared" ca="1" si="26"/>
        <v>Actual</v>
      </c>
      <c r="G150" s="19">
        <f ca="1">IF($A150="","",+Rates!V144)</f>
        <v>3.5</v>
      </c>
      <c r="H150" s="19">
        <f ca="1">IF($A150="","",+Rates!W144)</f>
        <v>2753.400000000001</v>
      </c>
      <c r="I150" s="19">
        <f ca="1">IF($A150="","",+Rates!X144)</f>
        <v>325.49399999999997</v>
      </c>
      <c r="J150" s="19">
        <f ca="1">IF($A150="","",Rates!$Y144)</f>
        <v>124.80000000000001</v>
      </c>
      <c r="K150" s="19">
        <f ca="1">IF($A150="","",+Rates!Z144)</f>
        <v>3207.1900000000005</v>
      </c>
      <c r="L150" s="47">
        <f t="shared" ca="1" si="21"/>
        <v>52419.354838709674</v>
      </c>
      <c r="N150">
        <f t="shared" ca="1" si="20"/>
        <v>139</v>
      </c>
    </row>
    <row r="151" spans="1:14" x14ac:dyDescent="0.2">
      <c r="A151" s="2" t="str">
        <f t="shared" ca="1" si="22"/>
        <v>Electric</v>
      </c>
      <c r="B151" s="4">
        <f t="shared" ca="1" si="19"/>
        <v>39790.406863425924</v>
      </c>
      <c r="C151" s="17">
        <f t="shared" ca="1" si="23"/>
        <v>6001</v>
      </c>
      <c r="D151" s="17">
        <f t="shared" ca="1" si="24"/>
        <v>31</v>
      </c>
      <c r="E151" s="47">
        <f t="shared" ca="1" si="25"/>
        <v>38400</v>
      </c>
      <c r="F151" s="7" t="str">
        <f t="shared" ca="1" si="26"/>
        <v>Actual</v>
      </c>
      <c r="G151" s="19">
        <f ca="1">IF($A151="","",+Rates!V145)</f>
        <v>3.5</v>
      </c>
      <c r="H151" s="19">
        <f ca="1">IF($A151="","",+Rates!W145)</f>
        <v>2711.0399999999968</v>
      </c>
      <c r="I151" s="19">
        <f ca="1">IF($A151="","",+Rates!X145)</f>
        <v>426.43200000000002</v>
      </c>
      <c r="J151" s="19">
        <f ca="1">IF($A151="","",Rates!$Y145)</f>
        <v>122.88000000000001</v>
      </c>
      <c r="K151" s="19">
        <f ca="1">IF($A151="","",+Rates!Z145)</f>
        <v>3263.85</v>
      </c>
      <c r="L151" s="47">
        <f t="shared" ca="1" si="21"/>
        <v>51612.903225806454</v>
      </c>
      <c r="N151">
        <f t="shared" ca="1" si="20"/>
        <v>140</v>
      </c>
    </row>
    <row r="152" spans="1:14" x14ac:dyDescent="0.2">
      <c r="A152" s="2" t="str">
        <f t="shared" ca="1" si="22"/>
        <v>Electric</v>
      </c>
      <c r="B152" s="4">
        <f t="shared" ca="1" si="19"/>
        <v>39759.407152777778</v>
      </c>
      <c r="C152" s="17">
        <f t="shared" ca="1" si="23"/>
        <v>5809</v>
      </c>
      <c r="D152" s="17">
        <f t="shared" ca="1" si="24"/>
        <v>28</v>
      </c>
      <c r="E152" s="47">
        <f t="shared" ca="1" si="25"/>
        <v>36400</v>
      </c>
      <c r="F152" s="7" t="str">
        <f t="shared" ca="1" si="26"/>
        <v>Actual</v>
      </c>
      <c r="G152" s="19">
        <f ca="1">IF($A152="","",+Rates!V146)</f>
        <v>3.5</v>
      </c>
      <c r="H152" s="19">
        <f ca="1">IF($A152="","",+Rates!W146)</f>
        <v>2569.8400000000011</v>
      </c>
      <c r="I152" s="19">
        <f ca="1">IF($A152="","",+Rates!X146)</f>
        <v>538.39240000000007</v>
      </c>
      <c r="J152" s="19">
        <f ca="1">IF($A152="","",Rates!$Y146)</f>
        <v>116.48</v>
      </c>
      <c r="K152" s="19">
        <f ca="1">IF($A152="","",+Rates!Z146)</f>
        <v>3228.21</v>
      </c>
      <c r="L152" s="47">
        <f t="shared" ca="1" si="21"/>
        <v>54166.666666666664</v>
      </c>
      <c r="N152">
        <f t="shared" ca="1" si="20"/>
        <v>141</v>
      </c>
    </row>
    <row r="153" spans="1:14" x14ac:dyDescent="0.2">
      <c r="A153" s="2" t="str">
        <f t="shared" ca="1" si="22"/>
        <v>Electric</v>
      </c>
      <c r="B153" s="4">
        <f t="shared" ca="1" si="19"/>
        <v>39731.403981481482</v>
      </c>
      <c r="C153" s="17">
        <f t="shared" ca="1" si="23"/>
        <v>5627</v>
      </c>
      <c r="D153" s="17">
        <f t="shared" ca="1" si="24"/>
        <v>31</v>
      </c>
      <c r="E153" s="47">
        <f t="shared" ca="1" si="25"/>
        <v>44000</v>
      </c>
      <c r="F153" s="7" t="str">
        <f t="shared" ca="1" si="26"/>
        <v>Actual</v>
      </c>
      <c r="G153" s="19">
        <f ca="1">IF($A153="","",+Rates!V147)</f>
        <v>3.5</v>
      </c>
      <c r="H153" s="19">
        <f ca="1">IF($A153="","",+Rates!W147)</f>
        <v>3229.8819999999996</v>
      </c>
      <c r="I153" s="19">
        <f ca="1">IF($A153="","",+Rates!X147)</f>
        <v>555.67599999999993</v>
      </c>
      <c r="J153" s="19">
        <f ca="1">IF($A153="","",Rates!$Y147)</f>
        <v>140.80000000000001</v>
      </c>
      <c r="K153" s="19">
        <f ca="1">IF($A153="","",+Rates!Z147)</f>
        <v>3929.86</v>
      </c>
      <c r="L153" s="47">
        <f t="shared" ca="1" si="21"/>
        <v>59139.784946236556</v>
      </c>
      <c r="N153">
        <f t="shared" ca="1" si="20"/>
        <v>142</v>
      </c>
    </row>
    <row r="154" spans="1:14" x14ac:dyDescent="0.2">
      <c r="A154" s="2" t="str">
        <f t="shared" ca="1" si="22"/>
        <v>Electric</v>
      </c>
      <c r="B154" s="4">
        <f t="shared" ca="1" si="19"/>
        <v>39700.475057870368</v>
      </c>
      <c r="C154" s="17">
        <f t="shared" ca="1" si="23"/>
        <v>5407</v>
      </c>
      <c r="D154" s="17">
        <f t="shared" ca="1" si="24"/>
        <v>35</v>
      </c>
      <c r="E154" s="47">
        <f t="shared" ca="1" si="25"/>
        <v>54400</v>
      </c>
      <c r="F154" s="7" t="str">
        <f t="shared" ca="1" si="26"/>
        <v>Actual</v>
      </c>
      <c r="G154" s="19">
        <f ca="1">IF($A154="","",+Rates!V148)</f>
        <v>3.5</v>
      </c>
      <c r="H154" s="19">
        <f ca="1">IF($A154="","",+Rates!W148)</f>
        <v>4629.4399999999996</v>
      </c>
      <c r="I154" s="19">
        <f ca="1">IF($A154="","",+Rates!X148)</f>
        <v>916.85760000000005</v>
      </c>
      <c r="J154" s="19">
        <f ca="1">IF($A154="","",Rates!$Y148)</f>
        <v>174.08</v>
      </c>
      <c r="K154" s="19">
        <f ca="1">IF($A154="","",+Rates!Z148)</f>
        <v>5723.8799999999992</v>
      </c>
      <c r="L154" s="47">
        <f t="shared" ca="1" si="21"/>
        <v>64761.904761904756</v>
      </c>
      <c r="N154">
        <f t="shared" ca="1" si="20"/>
        <v>143</v>
      </c>
    </row>
    <row r="155" spans="1:14" x14ac:dyDescent="0.2">
      <c r="A155" s="2" t="str">
        <f t="shared" ca="1" si="22"/>
        <v>Electric</v>
      </c>
      <c r="B155" s="4">
        <f t="shared" ca="1" si="19"/>
        <v>39665.413969907408</v>
      </c>
      <c r="C155" s="17">
        <f t="shared" ca="1" si="23"/>
        <v>5135</v>
      </c>
      <c r="D155" s="17">
        <f t="shared" ca="1" si="24"/>
        <v>33</v>
      </c>
      <c r="E155" s="47">
        <f t="shared" ca="1" si="25"/>
        <v>54200</v>
      </c>
      <c r="F155" s="7" t="str">
        <f t="shared" ca="1" si="26"/>
        <v>Actual</v>
      </c>
      <c r="G155" s="19">
        <f ca="1">IF($A155="","",+Rates!V149)</f>
        <v>3.5</v>
      </c>
      <c r="H155" s="19">
        <f ca="1">IF($A155="","",+Rates!W149)</f>
        <v>4612.42</v>
      </c>
      <c r="I155" s="19">
        <f ca="1">IF($A155="","",+Rates!X149)</f>
        <v>1198.8498</v>
      </c>
      <c r="J155" s="19">
        <f ca="1">IF($A155="","",Rates!$Y149)</f>
        <v>173.44</v>
      </c>
      <c r="K155" s="19">
        <f ca="1">IF($A155="","",+Rates!Z149)</f>
        <v>5988.21</v>
      </c>
      <c r="L155" s="47">
        <f t="shared" ca="1" si="21"/>
        <v>68434.343434343435</v>
      </c>
      <c r="N155">
        <f t="shared" ca="1" si="20"/>
        <v>144</v>
      </c>
    </row>
    <row r="156" spans="1:14" x14ac:dyDescent="0.2">
      <c r="A156" s="2" t="str">
        <f t="shared" ca="1" si="22"/>
        <v>Electric</v>
      </c>
      <c r="B156" s="4">
        <f t="shared" ca="1" si="19"/>
        <v>39632.599363425928</v>
      </c>
      <c r="C156" s="17">
        <f t="shared" ca="1" si="23"/>
        <v>4864</v>
      </c>
      <c r="D156" s="17">
        <f t="shared" ca="1" si="24"/>
        <v>30</v>
      </c>
      <c r="E156" s="47">
        <f t="shared" ca="1" si="25"/>
        <v>49400</v>
      </c>
      <c r="F156" s="7" t="str">
        <f t="shared" ca="1" si="26"/>
        <v>Actual</v>
      </c>
      <c r="G156" s="19">
        <f ca="1">IF($A156="","",+Rates!V150)</f>
        <v>3.5</v>
      </c>
      <c r="H156" s="19">
        <f ca="1">IF($A156="","",+Rates!W150)</f>
        <v>4203.9399999999996</v>
      </c>
      <c r="I156" s="19">
        <f ca="1">IF($A156="","",+Rates!X150)</f>
        <v>1070.4485999999999</v>
      </c>
      <c r="J156" s="19">
        <f ca="1">IF($A156="","",Rates!$Y150)</f>
        <v>158.08000000000001</v>
      </c>
      <c r="K156" s="19">
        <f ca="1">IF($A156="","",+Rates!Z150)</f>
        <v>5435.9699999999993</v>
      </c>
      <c r="L156" s="47">
        <f t="shared" ca="1" si="21"/>
        <v>68611.111111111109</v>
      </c>
      <c r="N156">
        <f t="shared" ca="1" si="20"/>
        <v>145</v>
      </c>
    </row>
    <row r="157" spans="1:14" x14ac:dyDescent="0.2">
      <c r="A157" s="2" t="str">
        <f t="shared" ca="1" si="22"/>
        <v>Electric</v>
      </c>
      <c r="B157" s="4">
        <f t="shared" ca="1" si="19"/>
        <v>39602.345254629632</v>
      </c>
      <c r="C157" s="17">
        <f t="shared" ca="1" si="23"/>
        <v>4617</v>
      </c>
      <c r="D157" s="17">
        <f t="shared" ca="1" si="24"/>
        <v>29</v>
      </c>
      <c r="E157" s="47">
        <f t="shared" ca="1" si="25"/>
        <v>37400</v>
      </c>
      <c r="F157" s="7" t="str">
        <f t="shared" ca="1" si="26"/>
        <v>Actual</v>
      </c>
      <c r="G157" s="19">
        <f ca="1">IF($A157="","",+Rates!V151)</f>
        <v>3.5</v>
      </c>
      <c r="H157" s="19">
        <f ca="1">IF($A157="","",+Rates!W151)</f>
        <v>2995.7335000000003</v>
      </c>
      <c r="I157" s="19">
        <f ca="1">IF($A157="","",+Rates!X151)</f>
        <v>1255.2188000000001</v>
      </c>
      <c r="J157" s="19">
        <f ca="1">IF($A157="","",Rates!$Y151)</f>
        <v>119.68</v>
      </c>
      <c r="K157" s="19">
        <f ca="1">IF($A157="","",+Rates!Z151)</f>
        <v>4374.13</v>
      </c>
      <c r="L157" s="47">
        <f t="shared" ca="1" si="21"/>
        <v>53735.632183908048</v>
      </c>
      <c r="N157">
        <f t="shared" ca="1" si="20"/>
        <v>146</v>
      </c>
    </row>
    <row r="158" spans="1:14" x14ac:dyDescent="0.2">
      <c r="A158" s="2" t="str">
        <f t="shared" ca="1" si="22"/>
        <v>Electric</v>
      </c>
      <c r="B158" s="4">
        <f t="shared" ca="1" si="19"/>
        <v>39573.452233796299</v>
      </c>
      <c r="C158" s="17">
        <f t="shared" ca="1" si="23"/>
        <v>4430</v>
      </c>
      <c r="D158" s="17">
        <f t="shared" ca="1" si="24"/>
        <v>27</v>
      </c>
      <c r="E158" s="47">
        <f t="shared" ca="1" si="25"/>
        <v>35000</v>
      </c>
      <c r="F158" s="7" t="str">
        <f t="shared" ca="1" si="26"/>
        <v>Actual</v>
      </c>
      <c r="G158" s="19">
        <f ca="1">IF($A158="","",+Rates!V152)</f>
        <v>3.5</v>
      </c>
      <c r="H158" s="19">
        <f ca="1">IF($A158="","",+Rates!W152)</f>
        <v>2471</v>
      </c>
      <c r="I158" s="19">
        <f ca="1">IF($A158="","",+Rates!X152)</f>
        <v>201.95</v>
      </c>
      <c r="J158" s="19">
        <f ca="1">IF($A158="","",Rates!$Y152)</f>
        <v>112</v>
      </c>
      <c r="K158" s="19">
        <f ca="1">IF($A158="","",+Rates!Z152)</f>
        <v>2788.45</v>
      </c>
      <c r="L158" s="47">
        <f t="shared" ca="1" si="21"/>
        <v>54012.345679012345</v>
      </c>
      <c r="N158">
        <f t="shared" ca="1" si="20"/>
        <v>147</v>
      </c>
    </row>
    <row r="159" spans="1:14" x14ac:dyDescent="0.2">
      <c r="A159" s="2" t="str">
        <f t="shared" ca="1" si="22"/>
        <v>Electric</v>
      </c>
      <c r="B159" s="4">
        <f t="shared" ca="1" si="19"/>
        <v>39546.430763888886</v>
      </c>
      <c r="C159" s="17">
        <f t="shared" ca="1" si="23"/>
        <v>4255</v>
      </c>
      <c r="D159" s="17">
        <f t="shared" ca="1" si="24"/>
        <v>32</v>
      </c>
      <c r="E159" s="47">
        <f t="shared" ca="1" si="25"/>
        <v>40600</v>
      </c>
      <c r="F159" s="7" t="str">
        <f t="shared" ca="1" si="26"/>
        <v>Actual</v>
      </c>
      <c r="G159" s="19">
        <f ca="1">IF($A159="","",+Rates!V153)</f>
        <v>3.5</v>
      </c>
      <c r="H159" s="19">
        <f ca="1">IF($A159="","",+Rates!W153)</f>
        <v>2812.4381250000006</v>
      </c>
      <c r="I159" s="19">
        <f ca="1">IF($A159="","",+Rates!X153)</f>
        <v>398.81380000000001</v>
      </c>
      <c r="J159" s="19">
        <f ca="1">IF($A159="","",Rates!$Y153)</f>
        <v>129.92000000000002</v>
      </c>
      <c r="K159" s="19">
        <f ca="1">IF($A159="","",+Rates!Z153)</f>
        <v>3344.67</v>
      </c>
      <c r="L159" s="47">
        <f t="shared" ca="1" si="21"/>
        <v>52864.583333333336</v>
      </c>
      <c r="N159">
        <f t="shared" ca="1" si="20"/>
        <v>148</v>
      </c>
    </row>
    <row r="160" spans="1:14" x14ac:dyDescent="0.2">
      <c r="A160" s="2" t="str">
        <f t="shared" ca="1" si="22"/>
        <v>Electric</v>
      </c>
      <c r="B160" s="4">
        <f t="shared" ca="1" si="19"/>
        <v>39514.424826388888</v>
      </c>
      <c r="C160" s="17">
        <f t="shared" ca="1" si="23"/>
        <v>4052</v>
      </c>
      <c r="D160" s="17">
        <f t="shared" ca="1" si="24"/>
        <v>28</v>
      </c>
      <c r="E160" s="47">
        <f t="shared" ca="1" si="25"/>
        <v>38200</v>
      </c>
      <c r="F160" s="7" t="str">
        <f t="shared" ca="1" si="26"/>
        <v>Actual</v>
      </c>
      <c r="G160" s="19">
        <f ca="1">IF($A160="","",+Rates!V154)</f>
        <v>3.5</v>
      </c>
      <c r="H160" s="19">
        <f ca="1">IF($A160="","",+Rates!W154)</f>
        <v>2631.9799999999996</v>
      </c>
      <c r="I160" s="19">
        <f ca="1">IF($A160="","",+Rates!X154)</f>
        <v>326.41900000000004</v>
      </c>
      <c r="J160" s="19">
        <f ca="1">IF($A160="","",Rates!$Y154)</f>
        <v>122.24000000000001</v>
      </c>
      <c r="K160" s="19">
        <f ca="1">IF($A160="","",+Rates!Z154)</f>
        <v>3084.14</v>
      </c>
      <c r="L160" s="47">
        <f t="shared" ca="1" si="21"/>
        <v>56845.238095238092</v>
      </c>
      <c r="N160">
        <f t="shared" ca="1" si="20"/>
        <v>149</v>
      </c>
    </row>
    <row r="161" spans="1:14" x14ac:dyDescent="0.2">
      <c r="A161" s="2" t="str">
        <f t="shared" ca="1" si="22"/>
        <v>Electric</v>
      </c>
      <c r="B161" s="4">
        <f t="shared" ca="1" si="19"/>
        <v>39486.413935185185</v>
      </c>
      <c r="C161" s="17">
        <f t="shared" ca="1" si="23"/>
        <v>3861</v>
      </c>
      <c r="D161" s="17">
        <f t="shared" ca="1" si="24"/>
        <v>31</v>
      </c>
      <c r="E161" s="47">
        <f t="shared" ca="1" si="25"/>
        <v>44400</v>
      </c>
      <c r="F161" s="7" t="str">
        <f t="shared" ca="1" si="26"/>
        <v>Actual</v>
      </c>
      <c r="G161" s="19">
        <f ca="1">IF($A161="","",+Rates!V155)</f>
        <v>3.5</v>
      </c>
      <c r="H161" s="19">
        <f ca="1">IF($A161="","",+Rates!W155)</f>
        <v>3059.1600000000003</v>
      </c>
      <c r="I161" s="19">
        <f ca="1">IF($A161="","",+Rates!X155)</f>
        <v>443.82239999999996</v>
      </c>
      <c r="J161" s="19">
        <f ca="1">IF($A161="","",Rates!$Y155)</f>
        <v>142.08000000000001</v>
      </c>
      <c r="K161" s="19">
        <f ca="1">IF($A161="","",+Rates!Z155)</f>
        <v>3648.56</v>
      </c>
      <c r="L161" s="47">
        <f t="shared" ca="1" si="21"/>
        <v>59677.419354838712</v>
      </c>
      <c r="N161">
        <f t="shared" ca="1" si="20"/>
        <v>150</v>
      </c>
    </row>
    <row r="162" spans="1:14" x14ac:dyDescent="0.2">
      <c r="A162" s="2" t="str">
        <f t="shared" ca="1" si="22"/>
        <v>Electric</v>
      </c>
      <c r="B162" s="4">
        <f t="shared" ca="1" si="19"/>
        <v>39455.534675925926</v>
      </c>
      <c r="C162" s="17">
        <f t="shared" ca="1" si="23"/>
        <v>3639</v>
      </c>
      <c r="D162" s="17">
        <f t="shared" ca="1" si="24"/>
        <v>34</v>
      </c>
      <c r="E162" s="47">
        <f t="shared" ca="1" si="25"/>
        <v>41000</v>
      </c>
      <c r="F162" s="7" t="str">
        <f t="shared" ca="1" si="26"/>
        <v>Actual</v>
      </c>
      <c r="G162" s="19">
        <f ca="1">IF($A162="","",+Rates!V156)</f>
        <v>3.5</v>
      </c>
      <c r="H162" s="19">
        <f ca="1">IF($A162="","",+Rates!W156)</f>
        <v>2824.9</v>
      </c>
      <c r="I162" s="19">
        <f ca="1">IF($A162="","",+Rates!X156)</f>
        <v>825.16600000000005</v>
      </c>
      <c r="J162" s="19">
        <f ca="1">IF($A162="","",Rates!$Y156)</f>
        <v>131.20000000000002</v>
      </c>
      <c r="K162" s="19">
        <f ca="1">IF($A162="","",+Rates!Z156)</f>
        <v>3784.77</v>
      </c>
      <c r="L162" s="47">
        <f t="shared" ca="1" si="21"/>
        <v>50245.098039215693</v>
      </c>
      <c r="N162">
        <f t="shared" ca="1" si="20"/>
        <v>151</v>
      </c>
    </row>
    <row r="163" spans="1:14" x14ac:dyDescent="0.2">
      <c r="A163" s="2" t="str">
        <f t="shared" ca="1" si="22"/>
        <v>Electric</v>
      </c>
      <c r="B163" s="4">
        <f t="shared" ca="1" si="19"/>
        <v>39421.533993055556</v>
      </c>
      <c r="C163" s="17">
        <f t="shared" ca="1" si="23"/>
        <v>3434</v>
      </c>
      <c r="D163" s="17">
        <f t="shared" ca="1" si="24"/>
        <v>33</v>
      </c>
      <c r="E163" s="47">
        <f t="shared" ca="1" si="25"/>
        <v>40000</v>
      </c>
      <c r="F163" s="7" t="str">
        <f t="shared" ca="1" si="26"/>
        <v>Actual</v>
      </c>
      <c r="G163" s="19">
        <f ca="1">IF($A163="","",+Rates!V157)</f>
        <v>3.5</v>
      </c>
      <c r="H163" s="19">
        <f ca="1">IF($A163="","",+Rates!W157)</f>
        <v>2756</v>
      </c>
      <c r="I163" s="19">
        <f ca="1">IF($A163="","",+Rates!X157)</f>
        <v>606.20000000000005</v>
      </c>
      <c r="J163" s="19">
        <f ca="1">IF($A163="","",Rates!$Y157)</f>
        <v>128</v>
      </c>
      <c r="K163" s="19">
        <f ca="1">IF($A163="","",+Rates!Z157)</f>
        <v>3493.7</v>
      </c>
      <c r="L163" s="47">
        <f t="shared" ca="1" si="21"/>
        <v>56084.656084656082</v>
      </c>
      <c r="N163">
        <f t="shared" ca="1" si="20"/>
        <v>152</v>
      </c>
    </row>
    <row r="164" spans="1:14" x14ac:dyDescent="0.2">
      <c r="A164" s="2" t="str">
        <f t="shared" ca="1" si="22"/>
        <v>Electric</v>
      </c>
      <c r="B164" s="4">
        <f t="shared" ca="1" si="19"/>
        <v>39388</v>
      </c>
      <c r="C164" s="17">
        <f t="shared" ca="1" si="23"/>
        <v>3234</v>
      </c>
      <c r="D164" s="17">
        <f t="shared" ca="1" si="24"/>
        <v>30</v>
      </c>
      <c r="E164" s="47">
        <f t="shared" ca="1" si="25"/>
        <v>44800</v>
      </c>
      <c r="F164" s="7" t="str">
        <f t="shared" ca="1" si="26"/>
        <v>Estimate</v>
      </c>
      <c r="G164" s="19">
        <f ca="1">IF($A164="","",+Rates!V158)</f>
        <v>3.5</v>
      </c>
      <c r="H164" s="19">
        <f ca="1">IF($A164="","",+Rates!W158)</f>
        <v>3086.7200000000003</v>
      </c>
      <c r="I164" s="19">
        <f ca="1">IF($A164="","",+Rates!X158)</f>
        <v>714.42559999999992</v>
      </c>
      <c r="J164" s="19">
        <f ca="1">IF($A164="","",Rates!$Y158)</f>
        <v>143.36000000000001</v>
      </c>
      <c r="K164" s="19">
        <f ca="1">IF($A164="","",+Rates!Z158)</f>
        <v>3948.0099999999998</v>
      </c>
      <c r="L164" s="47">
        <f t="shared" ca="1" si="21"/>
        <v>56084.656084656082</v>
      </c>
      <c r="N164">
        <f t="shared" ca="1" si="20"/>
        <v>153</v>
      </c>
    </row>
    <row r="165" spans="1:14" x14ac:dyDescent="0.2">
      <c r="A165" s="2" t="str">
        <f t="shared" ca="1" si="22"/>
        <v>Electric</v>
      </c>
      <c r="B165" s="4">
        <f t="shared" ca="1" si="19"/>
        <v>39358.404664351852</v>
      </c>
      <c r="C165" s="17">
        <f t="shared" ca="1" si="23"/>
        <v>3010</v>
      </c>
      <c r="D165" s="17">
        <f t="shared" ca="1" si="24"/>
        <v>28</v>
      </c>
      <c r="E165" s="47">
        <f t="shared" ca="1" si="25"/>
        <v>51000</v>
      </c>
      <c r="F165" s="7" t="str">
        <f t="shared" ca="1" si="26"/>
        <v>Actual</v>
      </c>
      <c r="G165" s="19">
        <f ca="1">IF($A165="","",+Rates!V159)</f>
        <v>3.5</v>
      </c>
      <c r="H165" s="19">
        <f ca="1">IF($A165="","",+Rates!W159)</f>
        <v>3711.6505142857141</v>
      </c>
      <c r="I165" s="19">
        <f ca="1">IF($A165="","",+Rates!X159)</f>
        <v>925.44599999999991</v>
      </c>
      <c r="J165" s="19">
        <f ca="1">IF($A165="","",Rates!$Y159)</f>
        <v>163.20000000000002</v>
      </c>
      <c r="K165" s="19">
        <f ca="1">IF($A165="","",+Rates!Z159)</f>
        <v>4803.8</v>
      </c>
      <c r="L165" s="47">
        <f t="shared" ca="1" si="21"/>
        <v>75892.857142857145</v>
      </c>
      <c r="N165">
        <f t="shared" ca="1" si="20"/>
        <v>154</v>
      </c>
    </row>
    <row r="166" spans="1:14" x14ac:dyDescent="0.2">
      <c r="A166" s="2" t="str">
        <f t="shared" ca="1" si="22"/>
        <v>Electric</v>
      </c>
      <c r="B166" s="4">
        <f t="shared" ca="1" si="19"/>
        <v>39330.453368055554</v>
      </c>
      <c r="C166" s="17">
        <f t="shared" ca="1" si="23"/>
        <v>2755</v>
      </c>
      <c r="D166" s="17">
        <f t="shared" ca="1" si="24"/>
        <v>33</v>
      </c>
      <c r="E166" s="47">
        <f t="shared" ca="1" si="25"/>
        <v>72800</v>
      </c>
      <c r="F166" s="7" t="str">
        <f t="shared" ca="1" si="26"/>
        <v>Actual</v>
      </c>
      <c r="G166" s="19">
        <f ca="1">IF($A166="","",+Rates!V160)</f>
        <v>3.5</v>
      </c>
      <c r="H166" s="19">
        <f ca="1">IF($A166="","",+Rates!W160)</f>
        <v>5874.9599999999991</v>
      </c>
      <c r="I166" s="19">
        <f ca="1">IF($A166="","",+Rates!X160)</f>
        <v>935.77120000000002</v>
      </c>
      <c r="J166" s="19">
        <f ca="1">IF($A166="","",Rates!$Y160)</f>
        <v>232.96</v>
      </c>
      <c r="K166" s="19">
        <f ca="1">IF($A166="","",+Rates!Z160)</f>
        <v>7047.19</v>
      </c>
      <c r="L166" s="47">
        <f t="shared" ca="1" si="21"/>
        <v>91919.191919191915</v>
      </c>
      <c r="N166">
        <f t="shared" ca="1" si="20"/>
        <v>155</v>
      </c>
    </row>
    <row r="167" spans="1:14" x14ac:dyDescent="0.2">
      <c r="A167" s="2" t="str">
        <f t="shared" ca="1" si="22"/>
        <v>Electric</v>
      </c>
      <c r="B167" s="4">
        <f t="shared" ca="1" si="19"/>
        <v>39297.385057870371</v>
      </c>
      <c r="C167" s="17">
        <f t="shared" ca="1" si="23"/>
        <v>2391</v>
      </c>
      <c r="D167" s="17">
        <f t="shared" ca="1" si="24"/>
        <v>31</v>
      </c>
      <c r="E167" s="47">
        <f t="shared" ca="1" si="25"/>
        <v>54800</v>
      </c>
      <c r="F167" s="7" t="str">
        <f t="shared" ca="1" si="26"/>
        <v>Actual</v>
      </c>
      <c r="G167" s="19">
        <f ca="1">IF($A167="","",+Rates!V161)</f>
        <v>3.5</v>
      </c>
      <c r="H167" s="19">
        <f ca="1">IF($A167="","",+Rates!W161)</f>
        <v>4422.3599999999997</v>
      </c>
      <c r="I167" s="19">
        <f ca="1">IF($A167="","",+Rates!X161)</f>
        <v>570.74200000000008</v>
      </c>
      <c r="J167" s="19">
        <f ca="1">IF($A167="","",Rates!$Y161)</f>
        <v>175.36</v>
      </c>
      <c r="K167" s="19">
        <f ca="1">IF($A167="","",+Rates!Z161)</f>
        <v>5171.9599999999991</v>
      </c>
      <c r="L167" s="47">
        <f t="shared" ca="1" si="21"/>
        <v>73655.913978494631</v>
      </c>
      <c r="N167">
        <f t="shared" ca="1" si="20"/>
        <v>156</v>
      </c>
    </row>
    <row r="168" spans="1:14" x14ac:dyDescent="0.2">
      <c r="A168" s="2" t="str">
        <f t="shared" ca="1" si="22"/>
        <v>Electric</v>
      </c>
      <c r="B168" s="4">
        <f t="shared" ca="1" si="19"/>
        <v>39266.608819444446</v>
      </c>
      <c r="C168" s="17">
        <f t="shared" ca="1" si="23"/>
        <v>2117</v>
      </c>
      <c r="D168" s="17">
        <f t="shared" ca="1" si="24"/>
        <v>28</v>
      </c>
      <c r="E168" s="47">
        <f t="shared" ca="1" si="25"/>
        <v>49000</v>
      </c>
      <c r="F168" s="7" t="str">
        <f t="shared" ca="1" si="26"/>
        <v>Actual</v>
      </c>
      <c r="G168" s="19">
        <f ca="1">IF($A168="","",+Rates!V162)</f>
        <v>3.5</v>
      </c>
      <c r="H168" s="19">
        <f ca="1">IF($A168="","",+Rates!W162)</f>
        <v>3954.2999999999997</v>
      </c>
      <c r="I168" s="19">
        <f ca="1">IF($A168="","",+Rates!X162)</f>
        <v>243.38300000000001</v>
      </c>
      <c r="J168" s="19">
        <f ca="1">IF($A168="","",Rates!$Y162)</f>
        <v>156.80000000000001</v>
      </c>
      <c r="K168" s="19">
        <f ca="1">IF($A168="","",+Rates!Z162)</f>
        <v>4357.9800000000005</v>
      </c>
      <c r="L168" s="47">
        <f t="shared" ca="1" si="21"/>
        <v>72916.666666666672</v>
      </c>
      <c r="N168">
        <f t="shared" ca="1" si="20"/>
        <v>157</v>
      </c>
    </row>
    <row r="169" spans="1:14" x14ac:dyDescent="0.2">
      <c r="A169" s="2" t="str">
        <f t="shared" ca="1" si="22"/>
        <v>Electric</v>
      </c>
      <c r="B169" s="4">
        <f t="shared" ca="1" si="19"/>
        <v>39238.449791666666</v>
      </c>
      <c r="C169" s="17">
        <f t="shared" ca="1" si="23"/>
        <v>1872</v>
      </c>
      <c r="D169" s="17">
        <f t="shared" ca="1" si="24"/>
        <v>29</v>
      </c>
      <c r="E169" s="47">
        <f t="shared" ca="1" si="25"/>
        <v>45200</v>
      </c>
      <c r="F169" s="7" t="str">
        <f t="shared" ca="1" si="26"/>
        <v>Actual</v>
      </c>
      <c r="G169" s="19">
        <f ca="1">IF($A169="","",+Rates!V163)</f>
        <v>3.5</v>
      </c>
      <c r="H169" s="19">
        <f ca="1">IF($A169="","",+Rates!W163)</f>
        <v>3475.5677999999998</v>
      </c>
      <c r="I169" s="19">
        <f ca="1">IF($A169="","",+Rates!X163)</f>
        <v>652.64279999999997</v>
      </c>
      <c r="J169" s="19">
        <f ca="1">IF($A169="","",Rates!$Y163)</f>
        <v>144.64000000000001</v>
      </c>
      <c r="K169" s="19">
        <f ca="1">IF($A169="","",+Rates!Z163)</f>
        <v>4276.3500000000004</v>
      </c>
      <c r="L169" s="47">
        <f t="shared" ca="1" si="21"/>
        <v>64942.528735632179</v>
      </c>
      <c r="N169">
        <f t="shared" ca="1" si="20"/>
        <v>158</v>
      </c>
    </row>
    <row r="170" spans="1:14" x14ac:dyDescent="0.2">
      <c r="A170" s="2" t="str">
        <f t="shared" ca="1" si="22"/>
        <v>Electric</v>
      </c>
      <c r="B170" s="4">
        <f t="shared" ca="1" si="19"/>
        <v>39209.446562500001</v>
      </c>
      <c r="C170" s="17">
        <f t="shared" ca="1" si="23"/>
        <v>1646</v>
      </c>
      <c r="D170" s="17">
        <f t="shared" ca="1" si="24"/>
        <v>33</v>
      </c>
      <c r="E170" s="47">
        <f t="shared" ca="1" si="25"/>
        <v>43000</v>
      </c>
      <c r="F170" s="7" t="str">
        <f t="shared" ca="1" si="26"/>
        <v>Actual</v>
      </c>
      <c r="G170" s="19">
        <f ca="1">IF($A170="","",+Rates!V164)</f>
        <v>3.5</v>
      </c>
      <c r="H170" s="19">
        <f ca="1">IF($A170="","",+Rates!W164)</f>
        <v>2876.7</v>
      </c>
      <c r="I170" s="19">
        <f ca="1">IF($A170="","",+Rates!X164)</f>
        <v>275.673</v>
      </c>
      <c r="J170" s="19">
        <f ca="1">IF($A170="","",Rates!$Y164)</f>
        <v>137.6</v>
      </c>
      <c r="K170" s="19">
        <f ca="1">IF($A170="","",+Rates!Z164)</f>
        <v>3293.47</v>
      </c>
      <c r="L170" s="47">
        <f t="shared" ca="1" si="21"/>
        <v>54292.929292929293</v>
      </c>
      <c r="N170">
        <f t="shared" ca="1" si="20"/>
        <v>159</v>
      </c>
    </row>
    <row r="171" spans="1:14" x14ac:dyDescent="0.2">
      <c r="A171" s="2" t="str">
        <f t="shared" ca="1" si="22"/>
        <v>Electric</v>
      </c>
      <c r="B171" s="4">
        <f t="shared" ca="1" si="19"/>
        <v>39176.569120370368</v>
      </c>
      <c r="C171" s="17">
        <f t="shared" ca="1" si="23"/>
        <v>1431</v>
      </c>
      <c r="D171" s="17">
        <f t="shared" ca="1" si="24"/>
        <v>27</v>
      </c>
      <c r="E171" s="47">
        <f t="shared" ca="1" si="25"/>
        <v>35800</v>
      </c>
      <c r="F171" s="7" t="str">
        <f t="shared" ca="1" si="26"/>
        <v>Actual</v>
      </c>
      <c r="G171" s="19">
        <f ca="1">IF($A171="","",+Rates!V165)</f>
        <v>3.5</v>
      </c>
      <c r="H171" s="19">
        <f ca="1">IF($A171="","",+Rates!W165)</f>
        <v>2334.5577777777776</v>
      </c>
      <c r="I171" s="19">
        <f ca="1">IF($A171="","",+Rates!X165)</f>
        <v>94.619399999999999</v>
      </c>
      <c r="J171" s="19">
        <f ca="1">IF($A171="","",Rates!$Y165)</f>
        <v>114.56</v>
      </c>
      <c r="K171" s="19">
        <f ca="1">IF($A171="","",+Rates!Z165)</f>
        <v>2547.2399999999998</v>
      </c>
      <c r="L171" s="47">
        <f t="shared" ca="1" si="21"/>
        <v>55246.91358024691</v>
      </c>
      <c r="N171">
        <f t="shared" ca="1" si="20"/>
        <v>160</v>
      </c>
    </row>
    <row r="172" spans="1:14" x14ac:dyDescent="0.2">
      <c r="A172" s="2" t="str">
        <f t="shared" ca="1" si="22"/>
        <v>Electric</v>
      </c>
      <c r="B172" s="4">
        <f t="shared" ca="1" si="19"/>
        <v>39149.440960648149</v>
      </c>
      <c r="C172" s="17">
        <f t="shared" ca="1" si="23"/>
        <v>1252</v>
      </c>
      <c r="D172" s="17">
        <f t="shared" ca="1" si="24"/>
        <v>29</v>
      </c>
      <c r="E172" s="47">
        <f t="shared" ca="1" si="25"/>
        <v>40000</v>
      </c>
      <c r="F172" s="7" t="str">
        <f t="shared" ca="1" si="26"/>
        <v>Actual</v>
      </c>
      <c r="G172" s="19">
        <f ca="1">IF($A172="","",+Rates!V166)</f>
        <v>3.5</v>
      </c>
      <c r="H172" s="19">
        <f ca="1">IF($A172="","",+Rates!W166)</f>
        <v>2600</v>
      </c>
      <c r="I172" s="19">
        <f ca="1">IF($A172="","",+Rates!X166)</f>
        <v>219.28</v>
      </c>
      <c r="J172" s="19">
        <f ca="1">IF($A172="","",Rates!$Y166)</f>
        <v>128</v>
      </c>
      <c r="K172" s="19">
        <f ca="1">IF($A172="","",+Rates!Z166)</f>
        <v>2950.78</v>
      </c>
      <c r="L172" s="47">
        <f t="shared" ca="1" si="21"/>
        <v>57471.264367816097</v>
      </c>
      <c r="N172">
        <f t="shared" ca="1" si="20"/>
        <v>161</v>
      </c>
    </row>
    <row r="173" spans="1:14" x14ac:dyDescent="0.2">
      <c r="A173" s="2" t="str">
        <f t="shared" ca="1" si="22"/>
        <v>Electric</v>
      </c>
      <c r="B173" s="4">
        <f t="shared" ca="1" si="19"/>
        <v>39120.439166666663</v>
      </c>
      <c r="C173" s="17">
        <f t="shared" ca="1" si="23"/>
        <v>1052</v>
      </c>
      <c r="D173" s="17">
        <f t="shared" ca="1" si="24"/>
        <v>29</v>
      </c>
      <c r="E173" s="47">
        <f t="shared" ca="1" si="25"/>
        <v>41200</v>
      </c>
      <c r="F173" s="7" t="str">
        <f t="shared" ca="1" si="26"/>
        <v>Actual</v>
      </c>
      <c r="G173" s="19">
        <f ca="1">IF($A173="","",+Rates!V167)</f>
        <v>3.5</v>
      </c>
      <c r="H173" s="19">
        <f ca="1">IF($A173="","",+Rates!W167)</f>
        <v>2677.9999999999995</v>
      </c>
      <c r="I173" s="19">
        <f ca="1">IF($A173="","",+Rates!X167)</f>
        <v>149.92679999999999</v>
      </c>
      <c r="J173" s="19">
        <f ca="1">IF($A173="","",Rates!$Y167)</f>
        <v>131.84</v>
      </c>
      <c r="K173" s="19">
        <f ca="1">IF($A173="","",+Rates!Z167)</f>
        <v>2963.27</v>
      </c>
      <c r="L173" s="47">
        <f t="shared" ca="1" si="21"/>
        <v>59195.402298850575</v>
      </c>
      <c r="N173">
        <f t="shared" ca="1" si="20"/>
        <v>162</v>
      </c>
    </row>
    <row r="174" spans="1:14" x14ac:dyDescent="0.2">
      <c r="A174" s="2" t="str">
        <f t="shared" ca="1" si="22"/>
        <v>Electric</v>
      </c>
      <c r="B174" s="4">
        <f t="shared" ca="1" si="19"/>
        <v>39091.465405092589</v>
      </c>
      <c r="C174" s="17">
        <f t="shared" ca="1" si="23"/>
        <v>846</v>
      </c>
      <c r="D174" s="17">
        <f t="shared" ca="1" si="24"/>
        <v>35</v>
      </c>
      <c r="E174" s="47">
        <f t="shared" ca="1" si="25"/>
        <v>43600</v>
      </c>
      <c r="F174" s="7" t="str">
        <f t="shared" ca="1" si="26"/>
        <v>Actual</v>
      </c>
      <c r="G174" s="19">
        <f ca="1">IF($A174="","",+Rates!V168)</f>
        <v>3.5</v>
      </c>
      <c r="H174" s="19">
        <f ca="1">IF($A174="","",+Rates!W168)</f>
        <v>2833.9999999999995</v>
      </c>
      <c r="I174" s="19">
        <f ca="1">IF($A174="","",+Rates!X168)</f>
        <v>141.83079999999998</v>
      </c>
      <c r="J174" s="19">
        <f ca="1">IF($A174="","",Rates!$Y168)</f>
        <v>139.52000000000001</v>
      </c>
      <c r="K174" s="19">
        <f ca="1">IF($A174="","",+Rates!Z168)</f>
        <v>3118.85</v>
      </c>
      <c r="L174" s="47">
        <f t="shared" ca="1" si="21"/>
        <v>51904.761904761908</v>
      </c>
      <c r="N174">
        <f t="shared" ca="1" si="20"/>
        <v>163</v>
      </c>
    </row>
    <row r="175" spans="1:14" x14ac:dyDescent="0.2">
      <c r="A175" s="2" t="str">
        <f t="shared" ca="1" si="22"/>
        <v>Electric</v>
      </c>
      <c r="B175" s="4">
        <f t="shared" ca="1" si="19"/>
        <v>39056.388043981482</v>
      </c>
      <c r="C175" s="17">
        <f t="shared" ca="1" si="23"/>
        <v>628</v>
      </c>
      <c r="D175" s="17">
        <f t="shared" ca="1" si="24"/>
        <v>29</v>
      </c>
      <c r="E175" s="47">
        <f t="shared" ca="1" si="25"/>
        <v>36800</v>
      </c>
      <c r="F175" s="7" t="str">
        <f t="shared" ca="1" si="26"/>
        <v>Actual</v>
      </c>
      <c r="G175" s="19">
        <f ca="1">IF($A175="","",+Rates!V169)</f>
        <v>3.5</v>
      </c>
      <c r="H175" s="19">
        <f ca="1">IF($A175="","",+Rates!W169)</f>
        <v>2392.0000000000009</v>
      </c>
      <c r="I175" s="19">
        <f ca="1">IF($A175="","",+Rates!X169)</f>
        <v>195.92319999999998</v>
      </c>
      <c r="J175" s="19">
        <f ca="1">IF($A175="","",Rates!$Y169)</f>
        <v>117.76</v>
      </c>
      <c r="K175" s="19">
        <f ca="1">IF($A175="","",+Rates!Z169)</f>
        <v>2709.1800000000003</v>
      </c>
      <c r="L175" s="47">
        <f t="shared" ca="1" si="21"/>
        <v>52873.563218390809</v>
      </c>
      <c r="N175">
        <f t="shared" ca="1" si="20"/>
        <v>164</v>
      </c>
    </row>
    <row r="176" spans="1:14" x14ac:dyDescent="0.2">
      <c r="A176" s="2" t="str">
        <f t="shared" ca="1" si="22"/>
        <v>Electric</v>
      </c>
      <c r="B176" s="4">
        <f t="shared" ca="1" si="19"/>
        <v>39027.359189814815</v>
      </c>
      <c r="C176" s="17">
        <f t="shared" ca="1" si="23"/>
        <v>444</v>
      </c>
      <c r="D176" s="17">
        <f t="shared" ca="1" si="24"/>
        <v>32</v>
      </c>
      <c r="E176" s="47">
        <f t="shared" ca="1" si="25"/>
        <v>47800</v>
      </c>
      <c r="F176" s="7" t="str">
        <f t="shared" ca="1" si="26"/>
        <v>Actual</v>
      </c>
      <c r="G176" s="19">
        <f ca="1">IF($A176="","",+Rates!V170)</f>
        <v>3.5</v>
      </c>
      <c r="H176" s="19">
        <f ca="1">IF($A176="","",+Rates!W170)</f>
        <v>3107</v>
      </c>
      <c r="I176" s="19">
        <f ca="1">IF($A176="","",+Rates!X170)</f>
        <v>194.2114</v>
      </c>
      <c r="J176" s="19">
        <f ca="1">IF($A176="","",Rates!$Y170)</f>
        <v>152.96</v>
      </c>
      <c r="K176" s="19">
        <f ca="1">IF($A176="","",+Rates!Z170)</f>
        <v>3457.67</v>
      </c>
      <c r="L176" s="47">
        <f t="shared" ca="1" si="21"/>
        <v>62239.583333333336</v>
      </c>
      <c r="N176">
        <f t="shared" ca="1" si="20"/>
        <v>165</v>
      </c>
    </row>
    <row r="177" spans="1:14" x14ac:dyDescent="0.2">
      <c r="A177" s="2" t="str">
        <f t="shared" ca="1" si="22"/>
        <v>Electric</v>
      </c>
      <c r="B177" s="4">
        <f t="shared" ca="1" si="19"/>
        <v>38995.413136574076</v>
      </c>
      <c r="C177" s="17">
        <f t="shared" ca="1" si="23"/>
        <v>205</v>
      </c>
      <c r="D177" s="17">
        <f t="shared" ca="1" si="24"/>
        <v>27</v>
      </c>
      <c r="E177" s="47">
        <f t="shared" ca="1" si="25"/>
        <v>44200</v>
      </c>
      <c r="F177" s="7" t="str">
        <f t="shared" ca="1" si="26"/>
        <v>Actual</v>
      </c>
      <c r="G177" s="19">
        <f ca="1">IF($A177="","",+Rates!V171)</f>
        <v>3.5</v>
      </c>
      <c r="H177" s="19">
        <f ca="1">IF($A177="","",+Rates!W171)</f>
        <v>2916.6318222222221</v>
      </c>
      <c r="I177" s="19">
        <f ca="1">IF($A177="","",+Rates!X171)</f>
        <v>367.25780000000003</v>
      </c>
      <c r="J177" s="19">
        <f ca="1">IF($A177="","",Rates!$Y171)</f>
        <v>141.44</v>
      </c>
      <c r="K177" s="19">
        <f ca="1">IF($A177="","",+Rates!Z171)</f>
        <v>3428.8300000000004</v>
      </c>
      <c r="L177" s="47">
        <f t="shared" ca="1" si="21"/>
        <v>68209.876543209873</v>
      </c>
      <c r="N177">
        <f t="shared" ca="1" si="20"/>
        <v>166</v>
      </c>
    </row>
    <row r="178" spans="1:14" x14ac:dyDescent="0.2">
      <c r="A178" s="2" t="str">
        <f t="shared" ca="1" si="22"/>
        <v>Electric</v>
      </c>
      <c r="B178" s="4">
        <f t="shared" ca="1" si="19"/>
        <v>38968.373923611114</v>
      </c>
      <c r="C178" s="17">
        <f t="shared" ca="1" si="23"/>
        <v>9984</v>
      </c>
      <c r="D178" s="17">
        <f t="shared" ca="1" si="24"/>
        <v>30</v>
      </c>
      <c r="E178" s="47">
        <f t="shared" ca="1" si="25"/>
        <v>55400</v>
      </c>
      <c r="F178" s="7" t="str">
        <f t="shared" ca="1" si="26"/>
        <v>Actual</v>
      </c>
      <c r="G178" s="19">
        <f ca="1">IF($A178="","",+Rates!V172)</f>
        <v>3.5</v>
      </c>
      <c r="H178" s="19">
        <f ca="1">IF($A178="","",+Rates!W172)</f>
        <v>4077.44</v>
      </c>
      <c r="I178" s="19">
        <f ca="1">IF($A178="","",+Rates!X172)</f>
        <v>583.91600000000005</v>
      </c>
      <c r="J178" s="19">
        <f ca="1">IF($A178="","",Rates!$Y172)</f>
        <v>177.28</v>
      </c>
      <c r="K178" s="19">
        <f ca="1">IF($A178="","",+Rates!Z172)</f>
        <v>4842.1399999999994</v>
      </c>
      <c r="L178" s="47">
        <f t="shared" ca="1" si="21"/>
        <v>76944.444444444438</v>
      </c>
      <c r="N178">
        <f t="shared" ca="1" si="20"/>
        <v>167</v>
      </c>
    </row>
    <row r="179" spans="1:14" x14ac:dyDescent="0.2">
      <c r="A179" s="2" t="str">
        <f t="shared" ca="1" si="22"/>
        <v>Electric</v>
      </c>
      <c r="B179" s="4">
        <f t="shared" ca="1" si="19"/>
        <v>38938.363726851851</v>
      </c>
      <c r="C179" s="17">
        <f t="shared" ca="1" si="23"/>
        <v>9707</v>
      </c>
      <c r="D179" s="17">
        <f t="shared" ca="1" si="24"/>
        <v>29</v>
      </c>
      <c r="E179" s="47">
        <f t="shared" ca="1" si="25"/>
        <v>62000</v>
      </c>
      <c r="F179" s="7" t="str">
        <f t="shared" ca="1" si="26"/>
        <v>Actual</v>
      </c>
      <c r="G179" s="19">
        <f ca="1">IF($A179="","",+Rates!V173)</f>
        <v>3.5</v>
      </c>
      <c r="H179" s="19">
        <f ca="1">IF($A179="","",+Rates!W173)</f>
        <v>4563.2</v>
      </c>
      <c r="I179" s="19">
        <f ca="1">IF($A179="","",+Rates!X173)</f>
        <v>516.64599999999996</v>
      </c>
      <c r="J179" s="19">
        <f ca="1">IF($A179="","",Rates!$Y173)</f>
        <v>198.4</v>
      </c>
      <c r="K179" s="19">
        <f ca="1">IF($A179="","",+Rates!Z173)</f>
        <v>5281.7499999999991</v>
      </c>
      <c r="L179" s="47">
        <f t="shared" ca="1" si="21"/>
        <v>89080.459770114947</v>
      </c>
      <c r="N179">
        <f t="shared" ca="1" si="20"/>
        <v>168</v>
      </c>
    </row>
    <row r="180" spans="1:14" x14ac:dyDescent="0.2">
      <c r="A180" s="2" t="str">
        <f t="shared" ca="1" si="22"/>
        <v>Electric</v>
      </c>
      <c r="B180" s="4">
        <f t="shared" ca="1" si="19"/>
        <v>38909.438402777778</v>
      </c>
      <c r="C180" s="17">
        <f t="shared" ca="1" si="23"/>
        <v>9397</v>
      </c>
      <c r="D180" s="17">
        <f t="shared" ca="1" si="24"/>
        <v>32</v>
      </c>
      <c r="E180" s="47">
        <f t="shared" ca="1" si="25"/>
        <v>61200</v>
      </c>
      <c r="F180" s="7" t="str">
        <f t="shared" ca="1" si="26"/>
        <v>Actual</v>
      </c>
      <c r="G180" s="19">
        <f ca="1">IF($A180="","",+Rates!V174)</f>
        <v>3.5</v>
      </c>
      <c r="H180" s="19">
        <f ca="1">IF($A180="","",+Rates!W174)</f>
        <v>4504.32</v>
      </c>
      <c r="I180" s="19">
        <f ca="1">IF($A180="","",+Rates!X174)</f>
        <v>632.44079999999997</v>
      </c>
      <c r="J180" s="19">
        <f ca="1">IF($A180="","",Rates!$Y174)</f>
        <v>195.84</v>
      </c>
      <c r="K180" s="19">
        <f ca="1">IF($A180="","",+Rates!Z174)</f>
        <v>5336.1</v>
      </c>
      <c r="L180" s="47">
        <f t="shared" ca="1" si="21"/>
        <v>79687.5</v>
      </c>
      <c r="N180">
        <f t="shared" ca="1" si="20"/>
        <v>169</v>
      </c>
    </row>
    <row r="181" spans="1:14" x14ac:dyDescent="0.2">
      <c r="A181" s="2" t="str">
        <f t="shared" ca="1" si="22"/>
        <v>Electric</v>
      </c>
      <c r="B181" s="4">
        <f t="shared" ref="B181:B210" ca="1" si="27">INDIRECT("'Reading History'!B"&amp;$N$8+N180)</f>
        <v>38877.356689814813</v>
      </c>
      <c r="C181" s="17">
        <f t="shared" ca="1" si="23"/>
        <v>9091</v>
      </c>
      <c r="D181" s="17">
        <f t="shared" ca="1" si="24"/>
        <v>31</v>
      </c>
      <c r="E181" s="47">
        <f t="shared" ca="1" si="25"/>
        <v>56800</v>
      </c>
      <c r="F181" s="7" t="str">
        <f t="shared" ca="1" si="26"/>
        <v>Actual</v>
      </c>
      <c r="G181" s="19">
        <f ca="1">IF($A181="","",+Rates!V175)</f>
        <v>3.5</v>
      </c>
      <c r="H181" s="19">
        <f ca="1">IF($A181="","",+Rates!W175)</f>
        <v>4043.0549999999998</v>
      </c>
      <c r="I181" s="19">
        <f ca="1">IF($A181="","",+Rates!X175)</f>
        <v>438.2688</v>
      </c>
      <c r="J181" s="19">
        <f ca="1">IF($A181="","",Rates!$Y175)</f>
        <v>181.76000000000002</v>
      </c>
      <c r="K181" s="19">
        <f ca="1">IF($A181="","",+Rates!Z175)</f>
        <v>4666.59</v>
      </c>
      <c r="L181" s="47">
        <f t="shared" ca="1" si="21"/>
        <v>76344.086021505369</v>
      </c>
      <c r="N181">
        <f t="shared" ref="N181:N210" ca="1" si="28">IF(ROW()&gt;($N$9-$N$8+12),0,MATCH(B181,INDIRECT("'Reading History'!B"&amp;$N$8&amp;":b"&amp;$N$9),-1))</f>
        <v>170</v>
      </c>
    </row>
    <row r="182" spans="1:14" x14ac:dyDescent="0.2">
      <c r="A182" s="2" t="str">
        <f t="shared" ca="1" si="22"/>
        <v>Electric</v>
      </c>
      <c r="B182" s="4">
        <f t="shared" ca="1" si="27"/>
        <v>38846.35050925926</v>
      </c>
      <c r="C182" s="17">
        <f t="shared" ca="1" si="23"/>
        <v>8807</v>
      </c>
      <c r="D182" s="17">
        <f t="shared" ca="1" si="24"/>
        <v>32</v>
      </c>
      <c r="E182" s="47">
        <f t="shared" ca="1" si="25"/>
        <v>54200</v>
      </c>
      <c r="F182" s="7" t="str">
        <f t="shared" ca="1" si="26"/>
        <v>Actual</v>
      </c>
      <c r="G182" s="19">
        <f ca="1">IF($A182="","",+Rates!V176)</f>
        <v>3.5</v>
      </c>
      <c r="H182" s="19">
        <f ca="1">IF($A182="","",+Rates!W176)</f>
        <v>3311.62</v>
      </c>
      <c r="I182" s="19">
        <f ca="1">IF($A182="","",+Rates!X176)</f>
        <v>394.25080000000003</v>
      </c>
      <c r="J182" s="19">
        <f ca="1">IF($A182="","",Rates!$Y176)</f>
        <v>173.44</v>
      </c>
      <c r="K182" s="19">
        <f ca="1">IF($A182="","",+Rates!Z176)</f>
        <v>3882.81</v>
      </c>
      <c r="L182" s="47">
        <f t="shared" ca="1" si="21"/>
        <v>70572.916666666672</v>
      </c>
      <c r="N182">
        <f t="shared" ca="1" si="28"/>
        <v>171</v>
      </c>
    </row>
    <row r="183" spans="1:14" x14ac:dyDescent="0.2">
      <c r="A183" s="2" t="str">
        <f t="shared" ca="1" si="22"/>
        <v>Electric</v>
      </c>
      <c r="B183" s="4">
        <f t="shared" ca="1" si="27"/>
        <v>38814.354826388888</v>
      </c>
      <c r="C183" s="17">
        <f t="shared" ca="1" si="23"/>
        <v>8536</v>
      </c>
      <c r="D183" s="17">
        <f t="shared" ca="1" si="24"/>
        <v>34</v>
      </c>
      <c r="E183" s="47">
        <f t="shared" ca="1" si="25"/>
        <v>47400</v>
      </c>
      <c r="F183" s="7" t="str">
        <f t="shared" ca="1" si="26"/>
        <v>Actual</v>
      </c>
      <c r="G183" s="19">
        <f ca="1">IF($A183="","",+Rates!V177)</f>
        <v>3.5</v>
      </c>
      <c r="H183" s="19">
        <f ca="1">IF($A183="","",+Rates!W177)</f>
        <v>2747.8058823529409</v>
      </c>
      <c r="I183" s="19">
        <f ca="1">IF($A183="","",+Rates!X177)</f>
        <v>180.40440000000001</v>
      </c>
      <c r="J183" s="19">
        <f ca="1">IF($A183="","",Rates!$Y177)</f>
        <v>146.41051411764704</v>
      </c>
      <c r="K183" s="19">
        <f ca="1">IF($A183="","",+Rates!Z177)</f>
        <v>3078.12</v>
      </c>
      <c r="L183" s="47">
        <f t="shared" ca="1" si="21"/>
        <v>67385.057471264372</v>
      </c>
      <c r="N183">
        <f t="shared" ca="1" si="28"/>
        <v>172</v>
      </c>
    </row>
    <row r="184" spans="1:14" x14ac:dyDescent="0.2">
      <c r="A184" s="2" t="str">
        <f t="shared" ca="1" si="22"/>
        <v>Electric</v>
      </c>
      <c r="B184" s="4">
        <f t="shared" ca="1" si="27"/>
        <v>38780</v>
      </c>
      <c r="C184" s="17">
        <f t="shared" ca="1" si="23"/>
        <v>8299</v>
      </c>
      <c r="D184" s="17">
        <f t="shared" ca="1" si="24"/>
        <v>24</v>
      </c>
      <c r="E184" s="47">
        <f t="shared" ca="1" si="25"/>
        <v>46400</v>
      </c>
      <c r="F184" s="7" t="str">
        <f t="shared" ca="1" si="26"/>
        <v>Estimate</v>
      </c>
      <c r="G184" s="19">
        <f ca="1">IF($A184="","",+Rates!V178)</f>
        <v>3.5</v>
      </c>
      <c r="H184" s="19">
        <f ca="1">IF($A184="","",+Rates!W178)</f>
        <v>2658.7199999999989</v>
      </c>
      <c r="I184" s="19">
        <f ca="1">IF($A184="","",+Rates!X178)</f>
        <v>128.89920000000001</v>
      </c>
      <c r="J184" s="19">
        <f ca="1">IF($A184="","",Rates!$Y178)</f>
        <v>139.38095999999993</v>
      </c>
      <c r="K184" s="19">
        <f ca="1">IF($A184="","",+Rates!Z178)</f>
        <v>2930.5</v>
      </c>
      <c r="L184" s="47">
        <f t="shared" ca="1" si="21"/>
        <v>67385.057471264372</v>
      </c>
      <c r="N184">
        <f t="shared" ca="1" si="28"/>
        <v>173</v>
      </c>
    </row>
    <row r="185" spans="1:14" x14ac:dyDescent="0.2">
      <c r="A185" s="2" t="str">
        <f t="shared" ca="1" si="22"/>
        <v>Electric</v>
      </c>
      <c r="B185" s="4">
        <f t="shared" ca="1" si="27"/>
        <v>38756.415208333332</v>
      </c>
      <c r="C185" s="17">
        <f t="shared" ca="1" si="23"/>
        <v>8067</v>
      </c>
      <c r="D185" s="17">
        <f t="shared" ca="1" si="24"/>
        <v>30</v>
      </c>
      <c r="E185" s="47">
        <f t="shared" ca="1" si="25"/>
        <v>49600</v>
      </c>
      <c r="F185" s="7" t="str">
        <f t="shared" ca="1" si="26"/>
        <v>Actual</v>
      </c>
      <c r="G185" s="19">
        <f ca="1">IF($A185="","",+Rates!V179)</f>
        <v>3.5</v>
      </c>
      <c r="H185" s="19">
        <f ca="1">IF($A185="","",+Rates!W179)</f>
        <v>2842.0799999999995</v>
      </c>
      <c r="I185" s="19">
        <f ca="1">IF($A185="","",+Rates!X179)</f>
        <v>126.2816</v>
      </c>
      <c r="J185" s="19">
        <f ca="1">IF($A185="","",Rates!$Y179)</f>
        <v>148.41807999999997</v>
      </c>
      <c r="K185" s="19">
        <f ca="1">IF($A185="","",+Rates!Z179)</f>
        <v>3120.28</v>
      </c>
      <c r="L185" s="47">
        <f t="shared" ca="1" si="21"/>
        <v>68888.888888888891</v>
      </c>
      <c r="N185">
        <f t="shared" ca="1" si="28"/>
        <v>174</v>
      </c>
    </row>
    <row r="186" spans="1:14" x14ac:dyDescent="0.2">
      <c r="A186" s="2" t="str">
        <f t="shared" ca="1" si="22"/>
        <v>Electric</v>
      </c>
      <c r="B186" s="4">
        <f t="shared" ca="1" si="27"/>
        <v>38726.372361111113</v>
      </c>
      <c r="C186" s="17">
        <f t="shared" ca="1" si="23"/>
        <v>7819</v>
      </c>
      <c r="D186" s="17">
        <f t="shared" ca="1" si="24"/>
        <v>34</v>
      </c>
      <c r="E186" s="47">
        <f t="shared" ca="1" si="25"/>
        <v>50000</v>
      </c>
      <c r="F186" s="7" t="str">
        <f t="shared" ca="1" si="26"/>
        <v>Actual</v>
      </c>
      <c r="G186" s="19">
        <f ca="1">IF($A186="","",+Rates!V180)</f>
        <v>3.5</v>
      </c>
      <c r="H186" s="19">
        <f ca="1">IF($A186="","",+Rates!W180)</f>
        <v>2864.9999999999995</v>
      </c>
      <c r="I186" s="19">
        <f ca="1">IF($A186="","",+Rates!X180)</f>
        <v>164.29999999999998</v>
      </c>
      <c r="J186" s="19">
        <f ca="1">IF($A186="","",Rates!$Y180)</f>
        <v>151.465</v>
      </c>
      <c r="K186" s="19">
        <f ca="1">IF($A186="","",+Rates!Z180)</f>
        <v>3184.27</v>
      </c>
      <c r="L186" s="47">
        <f t="shared" ca="1" si="21"/>
        <v>61274.509803921566</v>
      </c>
      <c r="N186">
        <f t="shared" ca="1" si="28"/>
        <v>175</v>
      </c>
    </row>
    <row r="187" spans="1:14" x14ac:dyDescent="0.2">
      <c r="A187" s="2" t="str">
        <f t="shared" ca="1" si="22"/>
        <v>Electric</v>
      </c>
      <c r="B187" s="4">
        <f t="shared" ca="1" si="27"/>
        <v>38692.37128472222</v>
      </c>
      <c r="C187" s="17">
        <f t="shared" ca="1" si="23"/>
        <v>7569</v>
      </c>
      <c r="D187" s="17">
        <f t="shared" ca="1" si="24"/>
        <v>33</v>
      </c>
      <c r="E187" s="47">
        <f t="shared" ca="1" si="25"/>
        <v>50200</v>
      </c>
      <c r="F187" s="7" t="str">
        <f t="shared" ca="1" si="26"/>
        <v>Actual</v>
      </c>
      <c r="G187" s="19">
        <f ca="1">IF($A187="","",+Rates!V181)</f>
        <v>3.5</v>
      </c>
      <c r="H187" s="19">
        <f ca="1">IF($A187="","",+Rates!W181)</f>
        <v>2876.46</v>
      </c>
      <c r="I187" s="19">
        <f ca="1">IF($A187="","",+Rates!X181)</f>
        <v>438.04519999999997</v>
      </c>
      <c r="J187" s="19">
        <f ca="1">IF($A187="","",Rates!$Y181)</f>
        <v>160.64000000000001</v>
      </c>
      <c r="K187" s="19">
        <f ca="1">IF($A187="","",+Rates!Z181)</f>
        <v>3478.65</v>
      </c>
      <c r="L187" s="47">
        <f t="shared" ca="1" si="21"/>
        <v>63383.838383838389</v>
      </c>
      <c r="N187">
        <f t="shared" ca="1" si="28"/>
        <v>176</v>
      </c>
    </row>
    <row r="188" spans="1:14" x14ac:dyDescent="0.2">
      <c r="A188" s="2" t="str">
        <f t="shared" ca="1" si="22"/>
        <v>Electric</v>
      </c>
      <c r="B188" s="4">
        <f t="shared" ca="1" si="27"/>
        <v>38659.357638888891</v>
      </c>
      <c r="C188" s="17">
        <f t="shared" ca="1" si="23"/>
        <v>7318</v>
      </c>
      <c r="D188" s="17">
        <f t="shared" ca="1" si="24"/>
        <v>29</v>
      </c>
      <c r="E188" s="47">
        <f t="shared" ca="1" si="25"/>
        <v>48200</v>
      </c>
      <c r="F188" s="7" t="str">
        <f t="shared" ca="1" si="26"/>
        <v>Actual</v>
      </c>
      <c r="G188" s="19">
        <f ca="1">IF($A188="","",+Rates!V182)</f>
        <v>3.5</v>
      </c>
      <c r="H188" s="19">
        <f ca="1">IF($A188="","",+Rates!W182)</f>
        <v>2550.9434482758625</v>
      </c>
      <c r="I188" s="19">
        <f ca="1">IF($A188="","",+Rates!X182)</f>
        <v>189.57059999999998</v>
      </c>
      <c r="J188" s="19">
        <f ca="1">IF($A188="","",Rates!$Y182)</f>
        <v>137.02570241379314</v>
      </c>
      <c r="K188" s="19">
        <f ca="1">IF($A188="","",+Rates!Z182)</f>
        <v>2881.0400000000004</v>
      </c>
      <c r="L188" s="47">
        <f t="shared" ca="1" si="21"/>
        <v>69252.873563218382</v>
      </c>
      <c r="N188">
        <f t="shared" ca="1" si="28"/>
        <v>177</v>
      </c>
    </row>
    <row r="189" spans="1:14" x14ac:dyDescent="0.2">
      <c r="A189" s="2" t="str">
        <f t="shared" ca="1" si="22"/>
        <v>Electric</v>
      </c>
      <c r="B189" s="4">
        <f t="shared" ca="1" si="27"/>
        <v>38630.354039351849</v>
      </c>
      <c r="C189" s="17">
        <f t="shared" ca="1" si="23"/>
        <v>7077</v>
      </c>
      <c r="D189" s="17">
        <f t="shared" ca="1" si="24"/>
        <v>34</v>
      </c>
      <c r="E189" s="47">
        <f t="shared" ca="1" si="25"/>
        <v>69400</v>
      </c>
      <c r="F189" s="7" t="str">
        <f t="shared" ca="1" si="26"/>
        <v>Actual</v>
      </c>
      <c r="G189" s="19">
        <f ca="1">IF($A189="","",+Rates!V183)</f>
        <v>3.5</v>
      </c>
      <c r="H189" s="19">
        <f ca="1">IF($A189="","",+Rates!W183)</f>
        <v>3959.060800000012</v>
      </c>
      <c r="I189" s="19">
        <f ca="1">IF($A189="","",+Rates!X183)</f>
        <v>280.1678</v>
      </c>
      <c r="J189" s="19">
        <f ca="1">IF($A189="","",Rates!$Y183)</f>
        <v>211.96143000000063</v>
      </c>
      <c r="K189" s="19">
        <f ca="1">IF($A189="","",+Rates!Z183)</f>
        <v>4454.6899999999996</v>
      </c>
      <c r="L189" s="47">
        <f t="shared" ca="1" si="21"/>
        <v>85049.019607843133</v>
      </c>
      <c r="N189">
        <f t="shared" ca="1" si="28"/>
        <v>178</v>
      </c>
    </row>
    <row r="190" spans="1:14" x14ac:dyDescent="0.2">
      <c r="A190" s="2" t="str">
        <f t="shared" ca="1" si="22"/>
        <v>Electric</v>
      </c>
      <c r="B190" s="4">
        <f t="shared" ca="1" si="27"/>
        <v>38596.360474537039</v>
      </c>
      <c r="C190" s="17">
        <f t="shared" ca="1" si="23"/>
        <v>6730</v>
      </c>
      <c r="D190" s="17">
        <f t="shared" ca="1" si="24"/>
        <v>30</v>
      </c>
      <c r="E190" s="47">
        <f t="shared" ca="1" si="25"/>
        <v>68800</v>
      </c>
      <c r="F190" s="7" t="str">
        <f t="shared" ca="1" si="26"/>
        <v>Actual</v>
      </c>
      <c r="G190" s="19">
        <f ca="1">IF($A190="","",+Rates!V184)</f>
        <v>3.5</v>
      </c>
      <c r="H190" s="19">
        <f ca="1">IF($A190="","",+Rates!W184)</f>
        <v>4361.92</v>
      </c>
      <c r="I190" s="19">
        <f ca="1">IF($A190="","",+Rates!X184)</f>
        <v>266.25600000000003</v>
      </c>
      <c r="J190" s="19">
        <f ca="1">IF($A190="","",Rates!$Y184)</f>
        <v>220.16</v>
      </c>
      <c r="K190" s="19">
        <f ca="1">IF($A190="","",+Rates!Z184)</f>
        <v>4851.84</v>
      </c>
      <c r="L190" s="47">
        <f t="shared" ca="1" si="21"/>
        <v>95555.555555555562</v>
      </c>
      <c r="N190">
        <f t="shared" ca="1" si="28"/>
        <v>179</v>
      </c>
    </row>
    <row r="191" spans="1:14" x14ac:dyDescent="0.2">
      <c r="A191" s="2" t="str">
        <f t="shared" ca="1" si="22"/>
        <v>Electric</v>
      </c>
      <c r="B191" s="4">
        <f t="shared" ca="1" si="27"/>
        <v>38566.354675925926</v>
      </c>
      <c r="C191" s="17">
        <f t="shared" ca="1" si="23"/>
        <v>6386</v>
      </c>
      <c r="D191" s="17">
        <f t="shared" ca="1" si="24"/>
        <v>27</v>
      </c>
      <c r="E191" s="47">
        <f t="shared" ca="1" si="25"/>
        <v>59400</v>
      </c>
      <c r="F191" s="7" t="str">
        <f t="shared" ca="1" si="26"/>
        <v>Actual</v>
      </c>
      <c r="G191" s="19">
        <f ca="1">IF($A191="","",+Rates!V185)</f>
        <v>3.5</v>
      </c>
      <c r="H191" s="19">
        <f ca="1">IF($A191="","",+Rates!W185)</f>
        <v>3765.96</v>
      </c>
      <c r="I191" s="19">
        <f ca="1">IF($A191="","",+Rates!X185)</f>
        <v>266.52779999999996</v>
      </c>
      <c r="J191" s="19">
        <f ca="1">IF($A191="","",Rates!$Y185)</f>
        <v>190.08</v>
      </c>
      <c r="K191" s="19">
        <f ca="1">IF($A191="","",+Rates!Z185)</f>
        <v>4226.07</v>
      </c>
      <c r="L191" s="47">
        <f t="shared" ca="1" si="21"/>
        <v>91666.666666666672</v>
      </c>
      <c r="N191">
        <f t="shared" ca="1" si="28"/>
        <v>180</v>
      </c>
    </row>
    <row r="192" spans="1:14" x14ac:dyDescent="0.2">
      <c r="A192" s="2" t="str">
        <f t="shared" ca="1" si="22"/>
        <v>Electric</v>
      </c>
      <c r="B192" s="4">
        <f t="shared" ca="1" si="27"/>
        <v>38539.348773148151</v>
      </c>
      <c r="C192" s="17">
        <f t="shared" ca="1" si="23"/>
        <v>6089</v>
      </c>
      <c r="D192" s="17">
        <f t="shared" ca="1" si="24"/>
        <v>34</v>
      </c>
      <c r="E192" s="47">
        <f t="shared" ca="1" si="25"/>
        <v>73200</v>
      </c>
      <c r="F192" s="7" t="str">
        <f t="shared" ca="1" si="26"/>
        <v>Actual</v>
      </c>
      <c r="G192" s="19">
        <f ca="1">IF($A192="","",+Rates!V186)</f>
        <v>3.5</v>
      </c>
      <c r="H192" s="19">
        <f ca="1">IF($A192="","",+Rates!W186)</f>
        <v>4640.88</v>
      </c>
      <c r="I192" s="19">
        <f ca="1">IF($A192="","",+Rates!X186)</f>
        <v>-24.302399999999999</v>
      </c>
      <c r="J192" s="19">
        <f ca="1">IF($A192="","",Rates!$Y186)</f>
        <v>230.82888000000003</v>
      </c>
      <c r="K192" s="19">
        <f ca="1">IF($A192="","",+Rates!Z186)</f>
        <v>4850.91</v>
      </c>
      <c r="L192" s="47">
        <f t="shared" ca="1" si="21"/>
        <v>89705.882352941175</v>
      </c>
      <c r="N192">
        <f t="shared" ca="1" si="28"/>
        <v>181</v>
      </c>
    </row>
    <row r="193" spans="1:14" x14ac:dyDescent="0.2">
      <c r="A193" s="2" t="str">
        <f t="shared" ca="1" si="22"/>
        <v>Electric</v>
      </c>
      <c r="B193" s="4">
        <f t="shared" ca="1" si="27"/>
        <v>38505.382175925923</v>
      </c>
      <c r="C193" s="17">
        <f t="shared" ca="1" si="23"/>
        <v>5723</v>
      </c>
      <c r="D193" s="17">
        <f t="shared" ca="1" si="24"/>
        <v>30</v>
      </c>
      <c r="E193" s="47">
        <f t="shared" ca="1" si="25"/>
        <v>57600</v>
      </c>
      <c r="F193" s="7" t="str">
        <f t="shared" ca="1" si="26"/>
        <v>Actual</v>
      </c>
      <c r="G193" s="19">
        <f ca="1">IF($A193="","",+Rates!V187)</f>
        <v>3.5</v>
      </c>
      <c r="H193" s="19">
        <f ca="1">IF($A193="","",+Rates!W187)</f>
        <v>3403.0080000000021</v>
      </c>
      <c r="I193" s="19">
        <f ca="1">IF($A193="","",+Rates!X187)</f>
        <v>425.66399999999999</v>
      </c>
      <c r="J193" s="19">
        <f ca="1">IF($A193="","",Rates!$Y187)</f>
        <v>184.32000000000002</v>
      </c>
      <c r="K193" s="19">
        <f ca="1">IF($A193="","",+Rates!Z187)</f>
        <v>4016.4900000000002</v>
      </c>
      <c r="L193" s="47">
        <f t="shared" ca="1" si="21"/>
        <v>80000</v>
      </c>
      <c r="N193">
        <f t="shared" ca="1" si="28"/>
        <v>182</v>
      </c>
    </row>
    <row r="194" spans="1:14" x14ac:dyDescent="0.2">
      <c r="A194" s="2" t="str">
        <f t="shared" ca="1" si="22"/>
        <v>Electric</v>
      </c>
      <c r="B194" s="4">
        <f t="shared" ca="1" si="27"/>
        <v>38475.519247685188</v>
      </c>
      <c r="C194" s="17">
        <f t="shared" ca="1" si="23"/>
        <v>5435</v>
      </c>
      <c r="D194" s="17">
        <f t="shared" ca="1" si="24"/>
        <v>29</v>
      </c>
      <c r="E194" s="47">
        <f t="shared" ca="1" si="25"/>
        <v>52000</v>
      </c>
      <c r="F194" s="7" t="str">
        <f t="shared" ca="1" si="26"/>
        <v>Actual</v>
      </c>
      <c r="G194" s="19">
        <f ca="1">IF($A194="","",+Rates!V188)</f>
        <v>3.5</v>
      </c>
      <c r="H194" s="19">
        <f ca="1">IF($A194="","",+Rates!W188)</f>
        <v>2735.2000000000085</v>
      </c>
      <c r="I194" s="19">
        <f ca="1">IF($A194="","",+Rates!X188)</f>
        <v>229.94399999999999</v>
      </c>
      <c r="J194" s="19">
        <f ca="1">IF($A194="","",Rates!$Y188)</f>
        <v>148.25720000000044</v>
      </c>
      <c r="K194" s="19">
        <f ca="1">IF($A194="","",+Rates!Z188)</f>
        <v>3116.8999999999996</v>
      </c>
      <c r="L194" s="47">
        <f t="shared" ca="1" si="21"/>
        <v>74712.643678160923</v>
      </c>
      <c r="N194">
        <f t="shared" ca="1" si="28"/>
        <v>183</v>
      </c>
    </row>
    <row r="195" spans="1:14" x14ac:dyDescent="0.2">
      <c r="A195" s="2" t="str">
        <f t="shared" ca="1" si="22"/>
        <v>Electric</v>
      </c>
      <c r="B195" s="4">
        <f t="shared" ca="1" si="27"/>
        <v>38446.371979166666</v>
      </c>
      <c r="C195" s="17">
        <f t="shared" ca="1" si="23"/>
        <v>5175</v>
      </c>
      <c r="D195" s="17">
        <f t="shared" ca="1" si="24"/>
        <v>27</v>
      </c>
      <c r="E195" s="47">
        <f t="shared" ca="1" si="25"/>
        <v>33400</v>
      </c>
      <c r="F195" s="7" t="str">
        <f t="shared" ca="1" si="26"/>
        <v>Actual</v>
      </c>
      <c r="G195" s="19">
        <f ca="1">IF($A195="","",+Rates!V189)</f>
        <v>3.5</v>
      </c>
      <c r="H195" s="19">
        <f ca="1">IF($A195="","",+Rates!W189)</f>
        <v>1756.8399999999926</v>
      </c>
      <c r="I195" s="19">
        <f ca="1">IF($A195="","",+Rates!X189)</f>
        <v>55.410600000000002</v>
      </c>
      <c r="J195" s="19">
        <f ca="1">IF($A195="","",Rates!$Y189)</f>
        <v>90.612529999999637</v>
      </c>
      <c r="K195" s="19">
        <f ca="1">IF($A195="","",+Rates!Z189)</f>
        <v>1906.36</v>
      </c>
      <c r="L195" s="47">
        <f t="shared" ca="1" si="21"/>
        <v>66517.857142857145</v>
      </c>
      <c r="N195">
        <f t="shared" ca="1" si="28"/>
        <v>184</v>
      </c>
    </row>
    <row r="196" spans="1:14" x14ac:dyDescent="0.2">
      <c r="A196" s="2" t="str">
        <f t="shared" ca="1" si="22"/>
        <v>Electric</v>
      </c>
      <c r="B196" s="4">
        <f t="shared" ca="1" si="27"/>
        <v>38419</v>
      </c>
      <c r="C196" s="17">
        <f t="shared" ca="1" si="23"/>
        <v>5008</v>
      </c>
      <c r="D196" s="17">
        <f t="shared" ca="1" si="24"/>
        <v>29</v>
      </c>
      <c r="E196" s="47">
        <f t="shared" ca="1" si="25"/>
        <v>56000</v>
      </c>
      <c r="F196" s="7" t="str">
        <f t="shared" ca="1" si="26"/>
        <v>Estimate</v>
      </c>
      <c r="G196" s="19">
        <f ca="1">IF($A196="","",+Rates!V190)</f>
        <v>3.5</v>
      </c>
      <c r="H196" s="19">
        <f ca="1">IF($A196="","",+Rates!W190)</f>
        <v>2945.600000000009</v>
      </c>
      <c r="I196" s="19">
        <f ca="1">IF($A196="","",+Rates!X190)</f>
        <v>20.776</v>
      </c>
      <c r="J196" s="19">
        <f ca="1">IF($A196="","",Rates!$Y190)</f>
        <v>148.31880000000044</v>
      </c>
      <c r="K196" s="19">
        <f ca="1">IF($A196="","",+Rates!Z190)</f>
        <v>3118.2000000000003</v>
      </c>
      <c r="L196" s="47">
        <f t="shared" ca="1" si="21"/>
        <v>78672.316384180784</v>
      </c>
      <c r="N196">
        <f t="shared" ca="1" si="28"/>
        <v>185</v>
      </c>
    </row>
    <row r="197" spans="1:14" x14ac:dyDescent="0.2">
      <c r="A197" s="2" t="str">
        <f t="shared" ca="1" si="22"/>
        <v>Electric</v>
      </c>
      <c r="B197" s="4">
        <f t="shared" ca="1" si="27"/>
        <v>38390</v>
      </c>
      <c r="C197" s="17">
        <f t="shared" ca="1" si="23"/>
        <v>4728</v>
      </c>
      <c r="D197" s="17">
        <f t="shared" ca="1" si="24"/>
        <v>30</v>
      </c>
      <c r="E197" s="47">
        <f t="shared" ca="1" si="25"/>
        <v>55400</v>
      </c>
      <c r="F197" s="7" t="str">
        <f t="shared" ca="1" si="26"/>
        <v>Estimate</v>
      </c>
      <c r="G197" s="19">
        <f ca="1">IF($A197="","",+Rates!V191)</f>
        <v>3.5</v>
      </c>
      <c r="H197" s="19">
        <f ca="1">IF($A197="","",+Rates!W191)</f>
        <v>2914.0399999999795</v>
      </c>
      <c r="I197" s="19">
        <f ca="1">IF($A197="","",+Rates!X191)</f>
        <v>51.411200000000001</v>
      </c>
      <c r="J197" s="19">
        <f ca="1">IF($A197="","",Rates!$Y191)</f>
        <v>148.27255999999898</v>
      </c>
      <c r="K197" s="19">
        <f ca="1">IF($A197="","",+Rates!Z191)</f>
        <v>3117.22</v>
      </c>
      <c r="L197" s="47">
        <f t="shared" ca="1" si="21"/>
        <v>72043.010752688177</v>
      </c>
      <c r="N197">
        <f t="shared" ca="1" si="28"/>
        <v>186</v>
      </c>
    </row>
    <row r="198" spans="1:14" x14ac:dyDescent="0.2">
      <c r="A198" s="2" t="str">
        <f t="shared" ca="1" si="22"/>
        <v>Electric</v>
      </c>
      <c r="B198" s="4">
        <f t="shared" ca="1" si="27"/>
        <v>38360</v>
      </c>
      <c r="C198" s="17">
        <f t="shared" ca="1" si="23"/>
        <v>4451</v>
      </c>
      <c r="D198" s="17">
        <f t="shared" ca="1" si="24"/>
        <v>32</v>
      </c>
      <c r="E198" s="47">
        <f t="shared" ca="1" si="25"/>
        <v>51800</v>
      </c>
      <c r="F198" s="7" t="str">
        <f t="shared" ca="1" si="26"/>
        <v>Estimate</v>
      </c>
      <c r="G198" s="19">
        <f ca="1">IF($A198="","",+Rates!V192)</f>
        <v>3.5</v>
      </c>
      <c r="H198" s="19">
        <f ca="1">IF($A198="","",+Rates!W192)</f>
        <v>2724.6799999999989</v>
      </c>
      <c r="I198" s="19">
        <f ca="1">IF($A198="","",+Rates!X192)</f>
        <v>59.880799999999994</v>
      </c>
      <c r="J198" s="19">
        <f ca="1">IF($A198="","",Rates!$Y192)</f>
        <v>139.22803999999994</v>
      </c>
      <c r="K198" s="19">
        <f ca="1">IF($A198="","",+Rates!Z192)</f>
        <v>2927.29</v>
      </c>
      <c r="L198" s="47">
        <f t="shared" ca="1" si="21"/>
        <v>72043.010752688177</v>
      </c>
      <c r="N198">
        <f t="shared" ca="1" si="28"/>
        <v>187</v>
      </c>
    </row>
    <row r="199" spans="1:14" x14ac:dyDescent="0.2">
      <c r="A199" s="2" t="str">
        <f t="shared" ca="1" si="22"/>
        <v>Electric</v>
      </c>
      <c r="B199" s="4">
        <f t="shared" ca="1" si="27"/>
        <v>38328.399050925924</v>
      </c>
      <c r="C199" s="17">
        <f t="shared" ca="1" si="23"/>
        <v>4192</v>
      </c>
      <c r="D199" s="17">
        <f t="shared" ca="1" si="24"/>
        <v>20</v>
      </c>
      <c r="E199" s="47">
        <f t="shared" ca="1" si="25"/>
        <v>30200</v>
      </c>
      <c r="F199" s="7" t="str">
        <f t="shared" ca="1" si="26"/>
        <v>Actual</v>
      </c>
      <c r="G199" s="19">
        <f ca="1">IF($A199="","",+Rates!V193)</f>
        <v>2.333333333333333</v>
      </c>
      <c r="H199" s="19">
        <f ca="1">IF($A199="","",+Rates!W193)</f>
        <v>1588.5200000000102</v>
      </c>
      <c r="I199" s="19">
        <f ca="1">IF($A199="","",+Rates!X193)</f>
        <v>103.9182</v>
      </c>
      <c r="J199" s="19">
        <f ca="1">IF($A199="","",Rates!$Y193)</f>
        <v>84.621910000000526</v>
      </c>
      <c r="K199" s="19">
        <f ca="1">IF($A199="","",+Rates!Z193)</f>
        <v>1779.3933333333334</v>
      </c>
      <c r="L199" s="47">
        <f t="shared" ca="1" si="21"/>
        <v>62916.666666666664</v>
      </c>
      <c r="N199">
        <f t="shared" ca="1" si="28"/>
        <v>188</v>
      </c>
    </row>
    <row r="200" spans="1:14" x14ac:dyDescent="0.2">
      <c r="A200" s="2" t="str">
        <f t="shared" ca="1" si="22"/>
        <v>Electric</v>
      </c>
      <c r="B200" s="4">
        <f t="shared" ca="1" si="27"/>
        <v>38308.590821759259</v>
      </c>
      <c r="C200" s="17">
        <f t="shared" ca="1" si="23"/>
        <v>4041</v>
      </c>
      <c r="D200" s="17">
        <f t="shared" ca="1" si="24"/>
        <v>22</v>
      </c>
      <c r="E200" s="47">
        <f t="shared" ca="1" si="25"/>
        <v>35600</v>
      </c>
      <c r="F200" s="7" t="str">
        <f t="shared" ca="1" si="26"/>
        <v>Actual</v>
      </c>
      <c r="G200" s="19">
        <f ca="1">IF($A200="","",+Rates!V194)</f>
        <v>3.5</v>
      </c>
      <c r="H200" s="19">
        <f ca="1">IF($A200="","",+Rates!W194)</f>
        <v>1872.5600000000052</v>
      </c>
      <c r="I200" s="19">
        <f ca="1">IF($A200="","",+Rates!X194)</f>
        <v>25.240400000000001</v>
      </c>
      <c r="J200" s="19">
        <f ca="1">IF($A200="","",Rates!$Y194)</f>
        <v>94.890020000000263</v>
      </c>
      <c r="K200" s="19">
        <f ca="1">IF($A200="","",+Rates!Z194)</f>
        <v>1996.19</v>
      </c>
      <c r="L200" s="47">
        <f t="shared" ca="1" si="21"/>
        <v>72333.333333333328</v>
      </c>
      <c r="N200">
        <f t="shared" ca="1" si="28"/>
        <v>189</v>
      </c>
    </row>
    <row r="201" spans="1:14" x14ac:dyDescent="0.2">
      <c r="A201" s="2" t="str">
        <f t="shared" ca="1" si="22"/>
        <v>Electric</v>
      </c>
      <c r="B201" s="4">
        <f t="shared" ca="1" si="27"/>
        <v>38286</v>
      </c>
      <c r="C201" s="17">
        <f t="shared" ca="1" si="23"/>
        <v>3863</v>
      </c>
      <c r="D201" s="17">
        <f t="shared" ca="1" si="24"/>
        <v>28</v>
      </c>
      <c r="E201" s="47">
        <f t="shared" ca="1" si="25"/>
        <v>51200</v>
      </c>
      <c r="F201" s="7" t="str">
        <f t="shared" ca="1" si="26"/>
        <v>Estimate</v>
      </c>
      <c r="G201" s="19">
        <f ca="1">IF($A201="","",+Rates!V195)</f>
        <v>3.5</v>
      </c>
      <c r="H201" s="19">
        <f ca="1">IF($A201="","",+Rates!W195)</f>
        <v>2693.119999999999</v>
      </c>
      <c r="I201" s="19">
        <f ca="1">IF($A201="","",+Rates!X195)</f>
        <v>115.40479999999999</v>
      </c>
      <c r="J201" s="19">
        <f ca="1">IF($A201="","",Rates!$Y195)</f>
        <v>140.42623999999995</v>
      </c>
      <c r="K201" s="19">
        <f ca="1">IF($A201="","",+Rates!Z195)</f>
        <v>2952.45</v>
      </c>
      <c r="L201" s="47">
        <f t="shared" ca="1" si="21"/>
        <v>72333.333333333328</v>
      </c>
      <c r="N201">
        <f t="shared" ca="1" si="28"/>
        <v>190</v>
      </c>
    </row>
    <row r="202" spans="1:14" x14ac:dyDescent="0.2">
      <c r="A202" s="2" t="str">
        <f t="shared" ca="1" si="22"/>
        <v>Electric</v>
      </c>
      <c r="B202" s="4">
        <f t="shared" ca="1" si="27"/>
        <v>38258.515543981484</v>
      </c>
      <c r="C202" s="17">
        <f t="shared" ca="1" si="23"/>
        <v>3607</v>
      </c>
      <c r="D202" s="17">
        <f t="shared" ca="1" si="24"/>
        <v>32</v>
      </c>
      <c r="E202" s="47">
        <f t="shared" ca="1" si="25"/>
        <v>65600</v>
      </c>
      <c r="F202" s="7" t="str">
        <f t="shared" ca="1" si="26"/>
        <v>Actual</v>
      </c>
      <c r="G202" s="19">
        <f ca="1">IF($A202="","",+Rates!V196)</f>
        <v>3.5</v>
      </c>
      <c r="H202" s="19">
        <f ca="1">IF($A202="","",+Rates!W196)</f>
        <v>3871.2199999999993</v>
      </c>
      <c r="I202" s="19">
        <f ca="1">IF($A202="","",+Rates!X196)</f>
        <v>117.6536</v>
      </c>
      <c r="J202" s="19">
        <f ca="1">IF($A202="","",Rates!$Y196)</f>
        <v>199.44367999999997</v>
      </c>
      <c r="K202" s="19">
        <f ca="1">IF($A202="","",+Rates!Z196)</f>
        <v>4191.8099999999995</v>
      </c>
      <c r="L202" s="47">
        <f t="shared" ca="1" si="21"/>
        <v>94758.06451612903</v>
      </c>
      <c r="N202">
        <f t="shared" ca="1" si="28"/>
        <v>191</v>
      </c>
    </row>
    <row r="203" spans="1:14" x14ac:dyDescent="0.2">
      <c r="A203" s="2" t="str">
        <f t="shared" ca="1" si="22"/>
        <v>Electric</v>
      </c>
      <c r="B203" s="4">
        <f t="shared" ca="1" si="27"/>
        <v>38226</v>
      </c>
      <c r="C203" s="17">
        <f t="shared" ca="1" si="23"/>
        <v>3279</v>
      </c>
      <c r="D203" s="17">
        <f t="shared" ca="1" si="24"/>
        <v>30</v>
      </c>
      <c r="E203" s="47">
        <f t="shared" ca="1" si="25"/>
        <v>75400</v>
      </c>
      <c r="F203" s="7" t="str">
        <f t="shared" ca="1" si="26"/>
        <v>Estimate</v>
      </c>
      <c r="G203" s="19">
        <f ca="1">IF($A203="","",+Rates!V197)</f>
        <v>3.5</v>
      </c>
      <c r="H203" s="19">
        <f ca="1">IF($A203="","",+Rates!W197)</f>
        <v>4780.3599999999997</v>
      </c>
      <c r="I203" s="19">
        <f ca="1">IF($A203="","",+Rates!X197)</f>
        <v>159.65950000000001</v>
      </c>
      <c r="J203" s="19">
        <f ca="1">IF($A203="","",Rates!$Y197)</f>
        <v>241.28</v>
      </c>
      <c r="K203" s="19">
        <f ca="1">IF($A203="","",+Rates!Z197)</f>
        <v>5184.7999999999993</v>
      </c>
      <c r="L203" s="47">
        <f t="shared" ca="1" si="21"/>
        <v>104722.22222222223</v>
      </c>
      <c r="N203">
        <f t="shared" ca="1" si="28"/>
        <v>192</v>
      </c>
    </row>
    <row r="204" spans="1:14" x14ac:dyDescent="0.2">
      <c r="A204" s="2" t="str">
        <f t="shared" ca="1" si="22"/>
        <v>Electric</v>
      </c>
      <c r="B204" s="4">
        <f t="shared" ca="1" si="27"/>
        <v>38196</v>
      </c>
      <c r="C204" s="17">
        <f t="shared" ca="1" si="23"/>
        <v>2902</v>
      </c>
      <c r="D204" s="17">
        <f t="shared" ca="1" si="24"/>
        <v>30</v>
      </c>
      <c r="E204" s="47">
        <f t="shared" ca="1" si="25"/>
        <v>75400</v>
      </c>
      <c r="F204" s="7" t="str">
        <f t="shared" ca="1" si="26"/>
        <v>Estimate</v>
      </c>
      <c r="G204" s="19">
        <f ca="1">IF($A204="","",+Rates!V198)</f>
        <v>3.5</v>
      </c>
      <c r="H204" s="19">
        <f ca="1">IF($A204="","",+Rates!W198)</f>
        <v>4780.3599999999997</v>
      </c>
      <c r="I204" s="19">
        <f ca="1">IF($A204="","",+Rates!X198)</f>
        <v>108.953</v>
      </c>
      <c r="J204" s="19">
        <f ca="1">IF($A204="","",Rates!$Y198)</f>
        <v>241.28</v>
      </c>
      <c r="K204" s="19">
        <f ca="1">IF($A204="","",+Rates!Z198)</f>
        <v>5134.0899999999992</v>
      </c>
      <c r="L204" s="47">
        <f t="shared" ca="1" si="21"/>
        <v>104722.22222222223</v>
      </c>
      <c r="N204">
        <f t="shared" ca="1" si="28"/>
        <v>193</v>
      </c>
    </row>
    <row r="205" spans="1:14" x14ac:dyDescent="0.2">
      <c r="A205" s="2" t="str">
        <f t="shared" ca="1" si="22"/>
        <v>Electric</v>
      </c>
      <c r="B205" s="4">
        <f t="shared" ca="1" si="27"/>
        <v>38166.422453703701</v>
      </c>
      <c r="C205" s="17">
        <f t="shared" ca="1" si="23"/>
        <v>2525</v>
      </c>
      <c r="D205" s="17">
        <f t="shared" ca="1" si="24"/>
        <v>33</v>
      </c>
      <c r="E205" s="47">
        <f t="shared" ca="1" si="25"/>
        <v>69000</v>
      </c>
      <c r="F205" s="7" t="str">
        <f t="shared" ca="1" si="26"/>
        <v>Actual</v>
      </c>
      <c r="G205" s="19">
        <f ca="1">IF($A205="","",+Rates!V199)</f>
        <v>3.5</v>
      </c>
      <c r="H205" s="19">
        <f ca="1">IF($A205="","",+Rates!W199)</f>
        <v>4374.5999999999995</v>
      </c>
      <c r="I205" s="19">
        <f ca="1">IF($A205="","",+Rates!X199)</f>
        <v>295.38900000000001</v>
      </c>
      <c r="J205" s="19">
        <f ca="1">IF($A205="","",Rates!$Y199)</f>
        <v>220.8</v>
      </c>
      <c r="K205" s="19">
        <f ca="1">IF($A205="","",+Rates!Z199)</f>
        <v>4894.2900000000009</v>
      </c>
      <c r="L205" s="47">
        <f t="shared" ca="1" si="21"/>
        <v>87121.212121212127</v>
      </c>
      <c r="N205">
        <f t="shared" ca="1" si="28"/>
        <v>194</v>
      </c>
    </row>
    <row r="206" spans="1:14" x14ac:dyDescent="0.2">
      <c r="A206" s="2" t="str">
        <f t="shared" ca="1" si="22"/>
        <v>Electric</v>
      </c>
      <c r="B206" s="4">
        <f t="shared" ca="1" si="27"/>
        <v>38133.473171296297</v>
      </c>
      <c r="C206" s="17">
        <f t="shared" ca="1" si="23"/>
        <v>2180</v>
      </c>
      <c r="D206" s="17">
        <f t="shared" ca="1" si="24"/>
        <v>28</v>
      </c>
      <c r="E206" s="47">
        <f t="shared" ca="1" si="25"/>
        <v>58600</v>
      </c>
      <c r="F206" s="7" t="str">
        <f t="shared" ca="1" si="26"/>
        <v>Actual</v>
      </c>
      <c r="G206" s="19">
        <f ca="1">IF($A206="","",+Rates!V200)</f>
        <v>3.5</v>
      </c>
      <c r="H206" s="19">
        <f ca="1">IF($A206="","",+Rates!W200)</f>
        <v>3330.9867999999988</v>
      </c>
      <c r="I206" s="19">
        <f ca="1">IF($A206="","",+Rates!X200)</f>
        <v>-67.800200000000004</v>
      </c>
      <c r="J206" s="19">
        <f ca="1">IF($A206="","",Rates!$Y200)</f>
        <v>163.15932999999995</v>
      </c>
      <c r="K206" s="19">
        <f ca="1">IF($A206="","",+Rates!Z200)</f>
        <v>3429.8499999999995</v>
      </c>
      <c r="L206" s="47">
        <f t="shared" ref="L206:L210" ca="1" si="29">IF($A206="","",IF(F207="Estimate",+(E206+E207)/(D206+D207),IF(F206="Estimate",+(E206+E205)/(D206+D205),+E206/D206))/24*1000)</f>
        <v>87202.380952380947</v>
      </c>
      <c r="N206">
        <f t="shared" ca="1" si="28"/>
        <v>195</v>
      </c>
    </row>
    <row r="207" spans="1:14" x14ac:dyDescent="0.2">
      <c r="A207" s="2" t="str">
        <f t="shared" ca="1" si="22"/>
        <v>Electric</v>
      </c>
      <c r="B207" s="4">
        <f t="shared" ca="1" si="27"/>
        <v>38105.406909722224</v>
      </c>
      <c r="C207" s="17">
        <f t="shared" ca="1" si="23"/>
        <v>1887</v>
      </c>
      <c r="D207" s="17">
        <f t="shared" ca="1" si="24"/>
        <v>35</v>
      </c>
      <c r="E207" s="47">
        <f t="shared" ca="1" si="25"/>
        <v>62800</v>
      </c>
      <c r="F207" s="7" t="str">
        <f t="shared" ca="1" si="26"/>
        <v>Actual</v>
      </c>
      <c r="G207" s="19">
        <f ca="1">IF($A207="","",+Rates!V201)</f>
        <v>3.5</v>
      </c>
      <c r="H207" s="19">
        <f ca="1">IF($A207="","",+Rates!W201)</f>
        <v>3303.280000000002</v>
      </c>
      <c r="I207" s="19">
        <f ca="1">IF($A207="","",+Rates!X201)</f>
        <v>97.025999999999996</v>
      </c>
      <c r="J207" s="19">
        <f ca="1">IF($A207="","",Rates!$Y201)</f>
        <v>170.01530000000011</v>
      </c>
      <c r="K207" s="19">
        <f ca="1">IF($A207="","",+Rates!Z201)</f>
        <v>3573.8300000000004</v>
      </c>
      <c r="L207" s="47">
        <f t="shared" ca="1" si="29"/>
        <v>74761.904761904763</v>
      </c>
      <c r="N207">
        <f t="shared" ca="1" si="28"/>
        <v>196</v>
      </c>
    </row>
    <row r="208" spans="1:14" x14ac:dyDescent="0.2">
      <c r="A208" s="2" t="str">
        <f t="shared" ca="1" si="22"/>
        <v>Electric</v>
      </c>
      <c r="B208" s="4">
        <f t="shared" ca="1" si="27"/>
        <v>38070.41777777778</v>
      </c>
      <c r="C208" s="17">
        <f t="shared" ca="1" si="23"/>
        <v>1573</v>
      </c>
      <c r="D208" s="17">
        <f t="shared" ca="1" si="24"/>
        <v>28</v>
      </c>
      <c r="E208" s="47">
        <f t="shared" ca="1" si="25"/>
        <v>50000</v>
      </c>
      <c r="F208" s="7" t="str">
        <f t="shared" ca="1" si="26"/>
        <v>Actual</v>
      </c>
      <c r="G208" s="19">
        <f ca="1">IF($A208="","",+Rates!V202)</f>
        <v>3.5</v>
      </c>
      <c r="H208" s="19">
        <f ca="1">IF($A208="","",+Rates!W202)</f>
        <v>2629.9999999999991</v>
      </c>
      <c r="I208" s="19">
        <f ca="1">IF($A208="","",+Rates!X202)</f>
        <v>14.85</v>
      </c>
      <c r="J208" s="19">
        <f ca="1">IF($A208="","",Rates!$Y202)</f>
        <v>132.24249999999995</v>
      </c>
      <c r="K208" s="19">
        <f ca="1">IF($A208="","",+Rates!Z202)</f>
        <v>2780.59</v>
      </c>
      <c r="L208" s="47">
        <f t="shared" ca="1" si="29"/>
        <v>74404.761904761908</v>
      </c>
      <c r="N208">
        <f t="shared" ca="1" si="28"/>
        <v>197</v>
      </c>
    </row>
    <row r="209" spans="1:14" x14ac:dyDescent="0.2">
      <c r="A209" s="2" t="str">
        <f t="shared" ca="1" si="22"/>
        <v>Electric</v>
      </c>
      <c r="B209" s="4">
        <f t="shared" ca="1" si="27"/>
        <v>38042.418854166666</v>
      </c>
      <c r="C209" s="17">
        <f t="shared" ca="1" si="23"/>
        <v>1323</v>
      </c>
      <c r="D209" s="17">
        <f t="shared" ca="1" si="24"/>
        <v>29</v>
      </c>
      <c r="E209" s="47">
        <f t="shared" ca="1" si="25"/>
        <v>56000</v>
      </c>
      <c r="F209" s="7" t="str">
        <f t="shared" ca="1" si="26"/>
        <v>Actual</v>
      </c>
      <c r="G209" s="19">
        <f ca="1">IF($A209="","",+Rates!V203)</f>
        <v>3.5</v>
      </c>
      <c r="H209" s="19">
        <f ca="1">IF($A209="","",+Rates!W203)</f>
        <v>2945.600000000009</v>
      </c>
      <c r="I209" s="19">
        <f ca="1">IF($A209="","",+Rates!X203)</f>
        <v>36.343999999999994</v>
      </c>
      <c r="J209" s="19">
        <f ca="1">IF($A209="","",Rates!$Y203)</f>
        <v>149.09720000000047</v>
      </c>
      <c r="K209" s="19">
        <f ca="1">IF($A209="","",+Rates!Z203)</f>
        <v>3134.54</v>
      </c>
      <c r="L209" s="47">
        <f t="shared" ca="1" si="29"/>
        <v>80459.770114942527</v>
      </c>
      <c r="N209">
        <f t="shared" ca="1" si="28"/>
        <v>198</v>
      </c>
    </row>
    <row r="210" spans="1:14" x14ac:dyDescent="0.2">
      <c r="A210" s="2" t="str">
        <f ca="1">IF(ROW()&gt;($N$9-$N$8+12),"",INDIRECT("'Reading History'!A"&amp;$N210+$N$8-1))</f>
        <v>Electric</v>
      </c>
      <c r="B210" s="4">
        <f t="shared" ca="1" si="27"/>
        <v>38013.497013888889</v>
      </c>
      <c r="C210" s="17">
        <f ca="1">IF($A210="","",INDIRECT("'Reading History'!G"&amp;$N210+$N$8-1))</f>
        <v>1043</v>
      </c>
      <c r="D210" s="17">
        <f ca="1">IF($A210="","",INDIRECT("'Reading History'!H"&amp;$N210+$N$8-1))</f>
        <v>29</v>
      </c>
      <c r="E210" s="47">
        <f ca="1">IF($A210="","",INDIRECT("'Reading History'!I"&amp;$N210+$N$8-1))</f>
        <v>53600</v>
      </c>
      <c r="F210" s="7" t="str">
        <f ca="1">IF($A210="","",IF(RIGHT(INDIRECT("'Reading History'!E"&amp;$N210+$N$8-1),4)="Read",LEFT(INDIRECT("'Reading History'!E"&amp;$N210+$N$8-1),LEN(INDIRECT("'Reading History'!E"&amp;$N210+$N$8-1))-5),INDIRECT("'Reading History'!E"&amp;$N210+$N$8-1)))</f>
        <v>Actual</v>
      </c>
      <c r="G210" s="19">
        <f ca="1">IF($A210="","",+Rates!V204)</f>
        <v>3.5</v>
      </c>
      <c r="H210" s="19">
        <f ca="1">IF($A210="","",+Rates!W204)</f>
        <v>2819.3599999999956</v>
      </c>
      <c r="I210" s="19">
        <f ca="1">IF($A210="","",+Rates!X204)</f>
        <v>28.943999999999999</v>
      </c>
      <c r="J210" s="19">
        <f ca="1">IF($A210="","",Rates!$Y204)</f>
        <v>142.41519999999977</v>
      </c>
      <c r="K210" s="19">
        <f ca="1">IF($A210="","",+Rates!Z204)</f>
        <v>2994.2200000000003</v>
      </c>
      <c r="L210" s="47">
        <f t="shared" ca="1" si="29"/>
        <v>77011.494252873556</v>
      </c>
      <c r="N210">
        <f t="shared" ca="1" si="28"/>
        <v>199</v>
      </c>
    </row>
  </sheetData>
  <phoneticPr fontId="0" type="noConversion"/>
  <conditionalFormatting sqref="A7:B7">
    <cfRule type="expression" dxfId="31" priority="4">
      <formula>LEFT($C$7,2)&lt;&gt;"E3"</formula>
    </cfRule>
  </conditionalFormatting>
  <conditionalFormatting sqref="A13:L210">
    <cfRule type="expression" dxfId="30" priority="5">
      <formula>+ABS($B13-$C$8)&lt;1</formula>
    </cfRule>
  </conditionalFormatting>
  <conditionalFormatting sqref="B13:B210">
    <cfRule type="expression" dxfId="29" priority="9">
      <formula>$A13=""</formula>
    </cfRule>
  </conditionalFormatting>
  <conditionalFormatting sqref="D12:D47">
    <cfRule type="expression" dxfId="28" priority="2">
      <formula>OR($D12&lt;25,$D12&gt;42)</formula>
    </cfRule>
  </conditionalFormatting>
  <dataValidations count="1">
    <dataValidation type="list" allowBlank="1" showInputMessage="1" showErrorMessage="1" sqref="C7" xr:uid="{00000000-0002-0000-0100-000000000000}">
      <formula1>$Q$2:$Q$9</formula1>
    </dataValidation>
  </dataValidations>
  <pageMargins left="0.5" right="0.5" top="0.5" bottom="0.4" header="0.5" footer="0.3"/>
  <pageSetup scale="96" fitToHeight="3" orientation="landscape" r:id="rId1"/>
  <headerFooter alignWithMargins="0">
    <oddFooter>&amp;L&amp;7Charges may vary slightly from bill due to rounding errors.&amp;C&amp;7Page #&amp;P&amp;R&amp;7printed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AF210"/>
  <sheetViews>
    <sheetView topLeftCell="A28" zoomScale="110" zoomScaleNormal="110" workbookViewId="0">
      <selection activeCell="Q14" sqref="Q14"/>
    </sheetView>
  </sheetViews>
  <sheetFormatPr defaultRowHeight="12.75" x14ac:dyDescent="0.2"/>
  <cols>
    <col min="1" max="1" width="9.42578125" bestFit="1" customWidth="1"/>
    <col min="2" max="2" width="10.28515625" style="6" customWidth="1"/>
    <col min="3" max="3" width="11.85546875" bestFit="1" customWidth="1"/>
    <col min="4" max="4" width="9" customWidth="1"/>
    <col min="5" max="5" width="6" customWidth="1"/>
    <col min="6" max="6" width="9.5703125" style="45" customWidth="1"/>
    <col min="7" max="8" width="10.85546875" style="40" customWidth="1"/>
    <col min="9" max="9" width="12.42578125" style="40" customWidth="1"/>
    <col min="10" max="10" width="12" style="40" customWidth="1"/>
    <col min="11" max="12" width="10.85546875" style="40" customWidth="1"/>
    <col min="13" max="13" width="11.85546875" style="40" bestFit="1" customWidth="1"/>
    <col min="14" max="14" width="9.28515625" style="40" customWidth="1"/>
    <col min="15" max="15" width="8.85546875" style="48" customWidth="1"/>
    <col min="16" max="16" width="9.28515625" customWidth="1"/>
    <col min="17" max="17" width="8.5703125" customWidth="1"/>
    <col min="18" max="18" width="8.42578125" customWidth="1"/>
    <col min="19" max="19" width="5" customWidth="1"/>
    <col min="20" max="20" width="3.85546875" customWidth="1"/>
    <col min="21" max="21" width="9.85546875" customWidth="1"/>
    <col min="22" max="22" width="9.7109375" customWidth="1"/>
    <col min="23" max="23" width="5.28515625" customWidth="1"/>
    <col min="25" max="25" width="10.140625" customWidth="1"/>
    <col min="29" max="29" width="10.28515625" bestFit="1" customWidth="1"/>
  </cols>
  <sheetData>
    <row r="1" spans="1:32" x14ac:dyDescent="0.2">
      <c r="B1"/>
      <c r="AF1" s="1" t="s">
        <v>50</v>
      </c>
    </row>
    <row r="2" spans="1:32" x14ac:dyDescent="0.2">
      <c r="B2" t="str">
        <f>TRIM('Reading History'!A4)</f>
        <v>Account Number: 192752162</v>
      </c>
      <c r="E2" s="181" t="str">
        <f>+IF(ISNUMBER(Rates!$O$1),"Cycle "&amp;TEXT(Rates!$O$1,"00"),"")</f>
        <v>Cycle 06</v>
      </c>
      <c r="G2" s="22" t="str">
        <f>IF(G3="","","Mailing Address")</f>
        <v/>
      </c>
      <c r="AF2" s="174" t="s">
        <v>166</v>
      </c>
    </row>
    <row r="3" spans="1:32" x14ac:dyDescent="0.2">
      <c r="B3" s="1" t="str">
        <f>+'Reading History'!A7</f>
        <v>HANSON PROFESSIONAL SRVC INC</v>
      </c>
      <c r="D3" s="1"/>
      <c r="G3" s="36" t="str">
        <f>IF(RIGHT(+'Reading History'!$A$5,LEN('Reading History'!$A$5)-17)='Reading History'!$A$8,"",'Reading History'!$A7)</f>
        <v/>
      </c>
      <c r="Y3" s="159" t="str">
        <f>+"'Reading History'!A"&amp;Y4-2&amp;":AH"&amp;Y4-2</f>
        <v>'Reading History'!A12:AH12</v>
      </c>
      <c r="Z3" s="159"/>
      <c r="AA3" s="159"/>
      <c r="AB3" s="159"/>
      <c r="AC3" s="159"/>
      <c r="AF3" s="148" t="s">
        <v>167</v>
      </c>
    </row>
    <row r="4" spans="1:32" x14ac:dyDescent="0.2">
      <c r="B4" s="1" t="str">
        <f>RIGHT(+'Reading History'!A5,LEN('Reading History'!A5)-17)</f>
        <v>1525 S 6TH ST</v>
      </c>
      <c r="G4" s="36" t="str">
        <f>IF(RIGHT(+'Reading History'!$A$5,LEN('Reading History'!$A$5)-17)='Reading History'!$A$8,"",'Reading History'!$A8)</f>
        <v/>
      </c>
      <c r="Y4" s="159">
        <f>IF(ISNA(AC7),1000,AC7)</f>
        <v>14</v>
      </c>
      <c r="Z4" s="160" t="s">
        <v>27</v>
      </c>
      <c r="AA4" s="159"/>
      <c r="AB4" s="159"/>
      <c r="AC4" s="159"/>
      <c r="AF4" s="169" t="s">
        <v>168</v>
      </c>
    </row>
    <row r="5" spans="1:32" x14ac:dyDescent="0.2">
      <c r="G5" s="36" t="str">
        <f>IF(RIGHT(+'Reading History'!$A$5,LEN('Reading History'!$A$5)-17)='Reading History'!$A$8,"",'Reading History'!$A9)</f>
        <v/>
      </c>
      <c r="Y5" s="159">
        <f>MATCH("Electric",'Reading History'!$A$1:$A$933,0)</f>
        <v>236</v>
      </c>
      <c r="Z5" s="160" t="s">
        <v>26</v>
      </c>
      <c r="AA5" s="159"/>
      <c r="AB5" s="159"/>
      <c r="AC5" s="159"/>
      <c r="AF5" s="169" t="s">
        <v>169</v>
      </c>
    </row>
    <row r="6" spans="1:32" x14ac:dyDescent="0.2">
      <c r="B6" s="149" t="s">
        <v>25</v>
      </c>
      <c r="C6" s="17">
        <f ca="1">VALUE(INDIRECT("'Reading History'!C"&amp;$Y$5))</f>
        <v>189669</v>
      </c>
      <c r="G6" s="36" t="str">
        <f>IF(RIGHT(+'Reading History'!$A$5,LEN('Reading History'!$A$5)-17)='Reading History'!$A$8,"",'Reading History'!$A10)</f>
        <v/>
      </c>
      <c r="H6" s="36"/>
      <c r="I6" s="36"/>
      <c r="J6" s="36"/>
      <c r="K6" s="36"/>
      <c r="M6" s="57" t="str">
        <f ca="1">+"latest "&amp;TEXT(SUM(E12:E23)/30.4,"0")&amp;" month"</f>
        <v>latest 12 month</v>
      </c>
      <c r="N6" s="57"/>
      <c r="O6" s="179"/>
      <c r="Y6" s="159">
        <f>MATCH("Electricn",'Reading History'!$A$13:$A$931,1)+12</f>
        <v>457</v>
      </c>
      <c r="Z6" s="159" t="s">
        <v>68</v>
      </c>
      <c r="AA6" s="159"/>
      <c r="AB6" s="161" t="s">
        <v>128</v>
      </c>
      <c r="AC6" s="159"/>
      <c r="AF6" s="174" t="s">
        <v>178</v>
      </c>
    </row>
    <row r="7" spans="1:32" x14ac:dyDescent="0.2">
      <c r="A7" s="150"/>
      <c r="B7" s="149" t="s">
        <v>31</v>
      </c>
      <c r="C7" s="2" t="s">
        <v>169</v>
      </c>
      <c r="G7" s="36"/>
      <c r="I7" s="102" t="str">
        <f>IF(Rates!O2,+TEXT(Rates!O2,"#%")&amp;" discount applied","")</f>
        <v/>
      </c>
      <c r="J7" s="36"/>
      <c r="K7" s="36"/>
      <c r="M7" s="5" t="s">
        <v>78</v>
      </c>
      <c r="N7" s="5"/>
      <c r="Y7" s="162" t="str">
        <f ca="1">LEFT(ADDRESS(1,MATCH("LF",INDIRECT(Y3),0),2),1+(MATCH("LF",INDIRECT(Y3),0)&gt;26))</f>
        <v>T</v>
      </c>
      <c r="Z7" s="159" t="s">
        <v>71</v>
      </c>
      <c r="AA7" s="159"/>
      <c r="AB7" s="159">
        <f>IF(Y4=1000,AB8,+Y5-Y4)</f>
        <v>222</v>
      </c>
      <c r="AC7" s="159">
        <f>+MATCH("Demand",'Reading History'!$A$1:$A$933,0)</f>
        <v>14</v>
      </c>
      <c r="AF7" s="148" t="s">
        <v>247</v>
      </c>
    </row>
    <row r="8" spans="1:32" x14ac:dyDescent="0.2">
      <c r="B8" s="9" t="s">
        <v>24</v>
      </c>
      <c r="C8" s="11">
        <f t="array" aca="1" ref="C8" ca="1">MIN(IF(B12:B210&gt;0,B12:B210))-VLOOKUP(MIN(IF(B12:B210&gt;0,B12:B210)),B12:E210,4,FALSE)</f>
        <v>37984</v>
      </c>
      <c r="E8" s="76" t="str">
        <f ca="1">+IF(OR(VALUE(Rates!$O$1)&gt;21,AND(C6&gt;R8,ISTEXT(Rates!$O$1))),"ENTER CYCLE","")</f>
        <v/>
      </c>
      <c r="G8" s="80" t="str">
        <f ca="1">IF(AND(LEFT(C7,3)&lt;&gt;"E44",$Y$4=1000),"NO DEMAND DATA !!!",IF(MAX(G12:G87)=0,"NO DEMAND CHARGES on RATE 44",""))</f>
        <v/>
      </c>
      <c r="L8" s="56"/>
      <c r="M8" s="56">
        <f ca="1">ROUND(SUM(M12:M23)/(SUM(E12:E23)/30.4),2)</f>
        <v>5381.01</v>
      </c>
      <c r="N8" s="56"/>
      <c r="R8" s="154">
        <f ca="1">IF(ServiceType="Residential",999999,130000)</f>
        <v>130000</v>
      </c>
      <c r="Y8" s="162" t="str">
        <f ca="1">LEFT(ADDRESS(1,MATCH("Multiplier*",INDIRECT(Y3),0),2),1+(MATCH("Multiplier*",INDIRECT(Y3),0)&gt;26))</f>
        <v>M</v>
      </c>
      <c r="Z8" s="159" t="s">
        <v>127</v>
      </c>
      <c r="AA8" s="159"/>
      <c r="AB8" s="159">
        <f>+Y6+1-Y5</f>
        <v>222</v>
      </c>
      <c r="AC8" s="160"/>
      <c r="AF8" s="169" t="s">
        <v>179</v>
      </c>
    </row>
    <row r="9" spans="1:32" x14ac:dyDescent="0.2">
      <c r="B9" s="20" t="s">
        <v>29</v>
      </c>
      <c r="C9" s="21">
        <f ca="1">INDIRECT("'Reading History'!I"&amp;$S12+$Y$5-1)/(INDIRECT("'Reading History'!G"&amp;$S12+$Y$5-1)-INDIRECT("'Reading History'!F"&amp;$S12+$Y$5-1)+IF(LOG(D12)&lt;LOG(D13),10^ROUNDUP(LOG(D13),0),0))</f>
        <v>200</v>
      </c>
      <c r="D9" s="4"/>
      <c r="E9" s="17"/>
      <c r="F9" s="47"/>
      <c r="G9" s="42"/>
      <c r="H9" s="19"/>
      <c r="I9" s="19"/>
      <c r="J9" s="19"/>
      <c r="K9" s="19"/>
      <c r="L9" s="19"/>
      <c r="M9" s="19"/>
      <c r="N9" s="19"/>
      <c r="O9" s="50"/>
      <c r="R9" s="1" t="s">
        <v>221</v>
      </c>
      <c r="S9" s="2"/>
      <c r="AF9" s="169" t="s">
        <v>170</v>
      </c>
    </row>
    <row r="10" spans="1:32" ht="15" customHeight="1" x14ac:dyDescent="0.2">
      <c r="D10" s="9" t="s">
        <v>81</v>
      </c>
      <c r="F10" s="189" t="s">
        <v>79</v>
      </c>
      <c r="G10" s="189" t="s">
        <v>82</v>
      </c>
      <c r="H10" s="190" t="s">
        <v>98</v>
      </c>
      <c r="I10" s="190" t="s">
        <v>100</v>
      </c>
      <c r="J10" s="190" t="s">
        <v>101</v>
      </c>
      <c r="K10" s="191" t="s">
        <v>102</v>
      </c>
      <c r="L10" s="191" t="s">
        <v>103</v>
      </c>
      <c r="M10" s="192" t="s">
        <v>105</v>
      </c>
      <c r="N10" s="193" t="s">
        <v>216</v>
      </c>
      <c r="O10" s="194" t="s">
        <v>240</v>
      </c>
      <c r="P10" s="195" t="s">
        <v>228</v>
      </c>
      <c r="Q10" s="195" t="s">
        <v>228</v>
      </c>
      <c r="U10" s="153" t="s">
        <v>223</v>
      </c>
      <c r="V10" s="151" t="s">
        <v>222</v>
      </c>
      <c r="X10" s="157" t="s">
        <v>222</v>
      </c>
      <c r="Y10" s="1" t="s">
        <v>236</v>
      </c>
      <c r="Z10" s="1" t="s">
        <v>237</v>
      </c>
      <c r="AF10" s="169" t="s">
        <v>248</v>
      </c>
    </row>
    <row r="11" spans="1:32" s="1" customFormat="1" ht="15" customHeight="1" x14ac:dyDescent="0.2">
      <c r="A11" s="12" t="s">
        <v>0</v>
      </c>
      <c r="B11" s="8" t="s">
        <v>1</v>
      </c>
      <c r="C11" s="180" t="s">
        <v>2</v>
      </c>
      <c r="D11" s="9" t="s">
        <v>80</v>
      </c>
      <c r="E11" s="9" t="s">
        <v>6</v>
      </c>
      <c r="F11" s="196" t="s">
        <v>28</v>
      </c>
      <c r="G11" s="197" t="s">
        <v>83</v>
      </c>
      <c r="H11" s="198" t="s">
        <v>99</v>
      </c>
      <c r="I11" s="198" t="s">
        <v>99</v>
      </c>
      <c r="J11" s="198" t="s">
        <v>99</v>
      </c>
      <c r="K11" s="198" t="s">
        <v>20</v>
      </c>
      <c r="L11" s="198" t="s">
        <v>104</v>
      </c>
      <c r="M11" s="199" t="s">
        <v>106</v>
      </c>
      <c r="N11" s="200" t="s">
        <v>217</v>
      </c>
      <c r="O11" s="201" t="s">
        <v>72</v>
      </c>
      <c r="P11" s="202" t="s">
        <v>183</v>
      </c>
      <c r="Q11" s="202" t="s">
        <v>184</v>
      </c>
      <c r="R11" s="175" t="s">
        <v>219</v>
      </c>
      <c r="U11" s="8" t="s">
        <v>1</v>
      </c>
      <c r="V11" s="8" t="s">
        <v>1</v>
      </c>
      <c r="X11" s="158" t="s">
        <v>6</v>
      </c>
      <c r="Y11" s="1" t="s">
        <v>238</v>
      </c>
      <c r="Z11" s="1" t="s">
        <v>219</v>
      </c>
      <c r="AB11" s="175" t="s">
        <v>239</v>
      </c>
      <c r="AF11" s="169" t="s">
        <v>171</v>
      </c>
    </row>
    <row r="12" spans="1:32" ht="15" customHeight="1" x14ac:dyDescent="0.2">
      <c r="A12" s="2" t="str">
        <f t="shared" ref="A12:A43" ca="1" si="0">IF(S12=0,"",INDIRECT("'Reading History'!A"&amp;$S12+$Y$5-1))</f>
        <v>Electric</v>
      </c>
      <c r="B12" s="4">
        <f ca="1">IF(OR(W12&gt;7,W12&lt;0),V12,U12)</f>
        <v>43985</v>
      </c>
      <c r="C12" s="179" t="str">
        <f t="shared" ref="C12:C43" ca="1" si="1">IF($A12="","",IF(RIGHT(INDIRECT("'Reading History'!E"&amp;$S12+$Y$5-1),4)="Read",LEFT(INDIRECT("'Reading History'!E"&amp;$S12+$Y$5-1),LEN(INDIRECT("'Reading History'!E"&amp;$S12+$Y$5-1))-5),INDIRECT("'Reading History'!E"&amp;$S12+$Y$5-1)))</f>
        <v>Actual</v>
      </c>
      <c r="D12" s="17">
        <f ca="1">INDIRECT("'Reading History'!G"&amp;$S12+$Y$5-1)</f>
        <v>4891</v>
      </c>
      <c r="E12" s="17">
        <f t="shared" ref="E12:E43" ca="1" si="2">IF($A12="","",IF(ISNUMBER(D13),B12-B13,INDIRECT("'Reading History'!H"&amp;$S12+$Y$5-1)))</f>
        <v>31</v>
      </c>
      <c r="F12" s="182">
        <f ca="1">INDIRECT("'Reading History'!I"&amp;$S12+$Y$5-1)</f>
        <v>36400</v>
      </c>
      <c r="G12" s="183">
        <f t="shared" ref="G12:G43" ca="1" si="3">IF($A12="","",INDIRECT("'Reading History'!I"&amp;$S12+$Y$4-1))</f>
        <v>124.22</v>
      </c>
      <c r="H12" s="184">
        <f ca="1">IF($A12="","",+ROUND(Rates!N6,2))</f>
        <v>257.89999999999998</v>
      </c>
      <c r="I12" s="184">
        <f ca="1">IF($A12="","",+ROUND(Rates!O6,2))</f>
        <v>3411.86</v>
      </c>
      <c r="J12" s="184">
        <f ca="1">IF($A12="","",IF(F12=0,0,+ROUND(Rates!P6,2)))</f>
        <v>1638.38</v>
      </c>
      <c r="K12" s="184">
        <f ca="1">IF($A12="","",+ROUND(Rates!X6,2))</f>
        <v>-422.39</v>
      </c>
      <c r="L12" s="184">
        <f ca="1">IF($A12="","",+ROUND(Rates!Q6,2))</f>
        <v>116.48</v>
      </c>
      <c r="M12" s="185">
        <f ca="1">IF($A12="","",+ROUND(Rates!R6,2))</f>
        <v>5002.2299999999996</v>
      </c>
      <c r="N12" s="186">
        <f ca="1">IFERROR(IF(C13="Estimate",+(F12+F13)/(E12+E13),+F12/E12)/24*1000,-1)</f>
        <v>48924.731182795702</v>
      </c>
      <c r="O12" s="187">
        <f t="shared" ref="O12:O75" ca="1" si="4">IF(OR($A12="",$G12=0,$E12=0),"",F12/(G12*E12*24))</f>
        <v>0.39385550783123247</v>
      </c>
      <c r="P12" s="188">
        <f ca="1">IFERROR(SUM(INDIRECT("'FAF &amp; DDs'!"&amp;(ADDRESS(MATCH($B12-$E12,'FAF &amp; DDs'!$Q:$Q,0),COLUMN($R$1),2,1))&amp;":"&amp;(ADDRESS(MATCH($B12-1,'FAF &amp; DDs'!$Q:$Q,0),COLUMN($R$1),1))))/E12*30,-1)</f>
        <v>182.12903225806451</v>
      </c>
      <c r="Q12" s="188">
        <f ca="1">IFERROR(SUM(INDIRECT("'FAF &amp; DDs'!"&amp;(ADDRESS(MATCH($B12-$E12,'FAF &amp; DDs'!$Q:$Q,0),COLUMN($S$1),2,1))&amp;":"&amp;(ADDRESS(MATCH($B12-1,'FAF &amp; DDs'!$Q:$Q,0),COLUMN($S$1),1))))/E12*30,-1)</f>
        <v>98.709677419354847</v>
      </c>
      <c r="R12" s="176">
        <f ca="1">VLOOKUP(V12+8,$AC$12:$AD$23,2)</f>
        <v>6</v>
      </c>
      <c r="S12">
        <f ca="1">IF(ROW()&gt;MIN(($AB$8,$AB$7))+11,0,MATCH(V12,INDIRECT("'Reading History'!B"&amp;$Y$5&amp;":b"&amp;$Y$6),-1))</f>
        <v>1</v>
      </c>
      <c r="T12" s="49"/>
      <c r="U12" s="152">
        <f t="shared" ref="U12:U43" ca="1" si="5">IF(VALUE(INDIRECT("'Reading History'!c"&amp;$Y$5+S11))&gt;$R$8,DATE(YEAR(V12-ABS(AB12)),MONTH(V12-ABS(AB12)),VLOOKUP(VALUE(R12),AMRReadDates,2)),V12)</f>
        <v>43985</v>
      </c>
      <c r="V12" s="4">
        <f ca="1">INT(INDIRECT("'Reading History'!B"&amp;$Y$5))</f>
        <v>43985</v>
      </c>
      <c r="W12">
        <f t="shared" ref="W12:W75" ca="1" si="6">+V12-U12</f>
        <v>0</v>
      </c>
      <c r="X12">
        <f t="shared" ref="X12:X43" ca="1" si="7">+INDIRECT("'Reading History'!H"&amp;$S12+$Y$5-1)</f>
        <v>31</v>
      </c>
      <c r="Y12" s="140">
        <v>37257</v>
      </c>
      <c r="Z12" s="177">
        <f>VALUE(Rates!$O$1)</f>
        <v>6</v>
      </c>
      <c r="AB12" s="176">
        <f ca="1">IF(VALUE(R12)&lt;6,6,IF(AND(VALUE(R12)&gt;16,VALUE(R12)&lt;&gt;81),-6,0))</f>
        <v>0</v>
      </c>
      <c r="AC12" s="178">
        <f ca="1">IFERROR(SMALL($Y$12:$Y$23,S12),"")</f>
        <v>37257</v>
      </c>
      <c r="AD12" s="176">
        <f t="shared" ref="AD12:AD23" ca="1" si="8">IFERROR(VLOOKUP(AC12,$Y$12:$Z$23,2,FALSE),"")</f>
        <v>6</v>
      </c>
    </row>
    <row r="13" spans="1:32" ht="15" customHeight="1" x14ac:dyDescent="0.2">
      <c r="A13" s="2" t="str">
        <f t="shared" ca="1" si="0"/>
        <v>Electric</v>
      </c>
      <c r="B13" s="4">
        <f t="shared" ref="B13:B76" ca="1" si="9">IF(OR(W13&gt;7,W13&lt;0),V13,U13)</f>
        <v>43954</v>
      </c>
      <c r="C13" s="179" t="str">
        <f t="shared" ca="1" si="1"/>
        <v>Actual</v>
      </c>
      <c r="D13" s="17">
        <f t="shared" ref="D13:D44" ca="1" si="10">IF($A13="","",INDIRECT("'Reading History'!G"&amp;$S13+$Y$5-1))</f>
        <v>4709</v>
      </c>
      <c r="E13" s="17">
        <f t="shared" ca="1" si="2"/>
        <v>30</v>
      </c>
      <c r="F13" s="182">
        <f t="shared" ref="F13:F44" ca="1" si="11">IF($A13="","",INDIRECT("'Reading History'!I"&amp;$S13+$Y$5-1))</f>
        <v>31800</v>
      </c>
      <c r="G13" s="183">
        <f t="shared" ca="1" si="3"/>
        <v>115.68</v>
      </c>
      <c r="H13" s="184">
        <f ca="1">IF($A13="","",+Rates!N7)</f>
        <v>257.89999999999998</v>
      </c>
      <c r="I13" s="184">
        <f ca="1">IF($A13="","",+ROUND(Rates!O7,2))</f>
        <v>2811.12</v>
      </c>
      <c r="J13" s="184">
        <f ca="1">IF($A13="","",IF(F13=0,0,+ROUND(Rates!P7,2)))</f>
        <v>1375.44</v>
      </c>
      <c r="K13" s="184">
        <f ca="1">IF($A13="","",+ROUND(Rates!X7,2))</f>
        <v>-320.45</v>
      </c>
      <c r="L13" s="184">
        <f ca="1">IF($A13="","",+ROUND(Rates!Q7,2))</f>
        <v>101.76</v>
      </c>
      <c r="M13" s="185">
        <f ca="1">IF($A13="","",+ROUND(Rates!R7,2))</f>
        <v>4225.7700000000004</v>
      </c>
      <c r="N13" s="186">
        <f t="shared" ref="N13:N44" ca="1" si="12">IFERROR(IF(C14="Estimate",+(F13+F14)/(E13+E14),IF(C13="Estimate",+(F13+F12)/(E13+E12),+F13/E13))/24*1000,-1)</f>
        <v>44166.666666666664</v>
      </c>
      <c r="O13" s="187">
        <f t="shared" ca="1" si="4"/>
        <v>0.38180036883356383</v>
      </c>
      <c r="P13" s="188">
        <f ca="1">IFERROR(SUM(INDIRECT("'FAF &amp; DDs'!"&amp;(ADDRESS(MATCH($B13-$E13,'FAF &amp; DDs'!$Q:$Q,0),COLUMN($R$1),2,1))&amp;":"&amp;(ADDRESS(MATCH($B13-1,'FAF &amp; DDs'!$Q:$Q,0),COLUMN($R$1),1))))/E13*30,-1)</f>
        <v>415.29999999999995</v>
      </c>
      <c r="Q13" s="188">
        <f ca="1">IFERROR(SUM(INDIRECT("'FAF &amp; DDs'!"&amp;(ADDRESS(MATCH($B13-$E13,'FAF &amp; DDs'!$Q:$Q,0),COLUMN($S$1),2,1))&amp;":"&amp;(ADDRESS(MATCH($B13-1,'FAF &amp; DDs'!$Q:$Q,0),COLUMN($S$1),1))))/E13*30,-1)</f>
        <v>29.5</v>
      </c>
      <c r="R13" s="176">
        <f t="shared" ref="R13:R76" ca="1" si="13">VLOOKUP(V13+8,$AC$12:$AD$23,2)</f>
        <v>6</v>
      </c>
      <c r="S13">
        <f ca="1">IF(ROW()&gt;MIN(($AB$8,$AB$7))+11,0,MATCH(V13,INDIRECT("'Reading History'!B"&amp;$Y$5&amp;":b"&amp;$Y$6),-1))</f>
        <v>2</v>
      </c>
      <c r="T13" s="49"/>
      <c r="U13" s="152">
        <f t="shared" ca="1" si="5"/>
        <v>43954</v>
      </c>
      <c r="V13" s="4">
        <f t="shared" ref="V13:V44" ca="1" si="14">INT(INDIRECT("'Reading History'!B"&amp;$Y$5+S12))</f>
        <v>43954</v>
      </c>
      <c r="W13">
        <f t="shared" ca="1" si="6"/>
        <v>0</v>
      </c>
      <c r="X13">
        <f t="shared" ca="1" si="7"/>
        <v>28</v>
      </c>
      <c r="Y13" s="140"/>
      <c r="Z13" s="177"/>
      <c r="AB13" s="176">
        <f t="shared" ref="AB13:AB76" ca="1" si="15">IF(VALUE(R13)&lt;6,6,IF(AND(VALUE(R13)&gt;16,VALUE(R13)&lt;&gt;81),-6,0))</f>
        <v>0</v>
      </c>
      <c r="AC13" s="178">
        <f t="shared" ref="AC13:AC23" ca="1" si="16">IFERROR(SMALL($Y$12:$Y$23,S13),+AC12)</f>
        <v>37257</v>
      </c>
      <c r="AD13" s="176">
        <f t="shared" ca="1" si="8"/>
        <v>6</v>
      </c>
    </row>
    <row r="14" spans="1:32" ht="15" customHeight="1" x14ac:dyDescent="0.2">
      <c r="A14" s="2" t="str">
        <f t="shared" ca="1" si="0"/>
        <v>Electric</v>
      </c>
      <c r="B14" s="4">
        <f t="shared" ca="1" si="9"/>
        <v>43924</v>
      </c>
      <c r="C14" s="179" t="str">
        <f t="shared" ca="1" si="1"/>
        <v>Actual</v>
      </c>
      <c r="D14" s="17">
        <f t="shared" ca="1" si="10"/>
        <v>4550</v>
      </c>
      <c r="E14" s="17">
        <f t="shared" ca="1" si="2"/>
        <v>31</v>
      </c>
      <c r="F14" s="182">
        <f t="shared" ca="1" si="11"/>
        <v>35600</v>
      </c>
      <c r="G14" s="183">
        <f t="shared" ca="1" si="3"/>
        <v>105.56</v>
      </c>
      <c r="H14" s="184">
        <f ca="1">IF($A14="","",+Rates!N8)</f>
        <v>257.89999999999998</v>
      </c>
      <c r="I14" s="184">
        <f ca="1">IF($A14="","",+ROUND(Rates!O8,2))</f>
        <v>3147.04</v>
      </c>
      <c r="J14" s="184">
        <f ca="1">IF($A14="","",IF(F14=0,0,+ROUND(Rates!P8,2)))</f>
        <v>1255.1099999999999</v>
      </c>
      <c r="K14" s="184">
        <f ca="1">IF($A14="","",+ROUND(Rates!X8,2))</f>
        <v>-100.29</v>
      </c>
      <c r="L14" s="184">
        <f ca="1">IF($A14="","",+ROUND(Rates!Q8,2))</f>
        <v>113.92</v>
      </c>
      <c r="M14" s="185">
        <f ca="1">IF($A14="","",+ROUND(Rates!R8,2))</f>
        <v>4673.68</v>
      </c>
      <c r="N14" s="186">
        <f t="shared" ca="1" si="12"/>
        <v>47849.462365591397</v>
      </c>
      <c r="O14" s="187">
        <f t="shared" ca="1" si="4"/>
        <v>0.45329161013254449</v>
      </c>
      <c r="P14" s="188">
        <f ca="1">IFERROR(SUM(INDIRECT("'FAF &amp; DDs'!"&amp;(ADDRESS(MATCH($B14-$E14,'FAF &amp; DDs'!$Q:$Q,0),COLUMN($R$1),2,1))&amp;":"&amp;(ADDRESS(MATCH($B14-1,'FAF &amp; DDs'!$Q:$Q,0),COLUMN($R$1),1))))/E14*30,-1)</f>
        <v>584.70967741935499</v>
      </c>
      <c r="Q14" s="188">
        <f ca="1">IFERROR(SUM(INDIRECT("'FAF &amp; DDs'!"&amp;(ADDRESS(MATCH($B14-$E14,'FAF &amp; DDs'!$Q:$Q,0),COLUMN($S$1),2,1))&amp;":"&amp;(ADDRESS(MATCH($B14-1,'FAF &amp; DDs'!$Q:$Q,0),COLUMN($S$1),1))))/E14*30,-1)</f>
        <v>2.225806451612903</v>
      </c>
      <c r="R14" s="176">
        <f t="shared" ca="1" si="13"/>
        <v>6</v>
      </c>
      <c r="S14">
        <f ca="1">IF(ROW()&gt;MIN(($AB$8,$AB$7))+11,0,MATCH(V14,INDIRECT("'Reading History'!B"&amp;$Y$5&amp;":b"&amp;$Y$6),-1))</f>
        <v>3</v>
      </c>
      <c r="T14" s="49"/>
      <c r="U14" s="152">
        <f t="shared" ca="1" si="5"/>
        <v>43924</v>
      </c>
      <c r="V14" s="4">
        <f t="shared" ca="1" si="14"/>
        <v>43926</v>
      </c>
      <c r="W14">
        <f t="shared" ca="1" si="6"/>
        <v>2</v>
      </c>
      <c r="X14">
        <f t="shared" ca="1" si="7"/>
        <v>32</v>
      </c>
      <c r="Y14" s="140"/>
      <c r="Z14" s="177"/>
      <c r="AB14" s="176">
        <f t="shared" ca="1" si="15"/>
        <v>0</v>
      </c>
      <c r="AC14" s="178">
        <f t="shared" ca="1" si="16"/>
        <v>37257</v>
      </c>
      <c r="AD14" s="176">
        <f t="shared" ca="1" si="8"/>
        <v>6</v>
      </c>
    </row>
    <row r="15" spans="1:32" ht="15" customHeight="1" x14ac:dyDescent="0.2">
      <c r="A15" s="2" t="str">
        <f t="shared" ca="1" si="0"/>
        <v>Electric</v>
      </c>
      <c r="B15" s="4">
        <f t="shared" ca="1" si="9"/>
        <v>43893</v>
      </c>
      <c r="C15" s="179" t="str">
        <f t="shared" ca="1" si="1"/>
        <v>Actual</v>
      </c>
      <c r="D15" s="17">
        <f t="shared" ca="1" si="10"/>
        <v>4372</v>
      </c>
      <c r="E15" s="17">
        <f t="shared" ca="1" si="2"/>
        <v>29</v>
      </c>
      <c r="F15" s="182">
        <f t="shared" ca="1" si="11"/>
        <v>37400</v>
      </c>
      <c r="G15" s="183">
        <f t="shared" ca="1" si="3"/>
        <v>108.28</v>
      </c>
      <c r="H15" s="184">
        <f ca="1">IF($A15="","",+Rates!N9)</f>
        <v>254.48413793103447</v>
      </c>
      <c r="I15" s="184">
        <f ca="1">IF($A15="","",+ROUND(Rates!O9,2))</f>
        <v>3306.16</v>
      </c>
      <c r="J15" s="184">
        <f ca="1">IF($A15="","",IF(F15=0,0,+ROUND(Rates!P9,2)))</f>
        <v>1287.45</v>
      </c>
      <c r="K15" s="184">
        <f ca="1">IF($A15="","",+ROUND(Rates!X9,2))</f>
        <v>-293.74</v>
      </c>
      <c r="L15" s="184">
        <f ca="1">IF($A15="","",+ROUND(Rates!Q9,2))</f>
        <v>119.68</v>
      </c>
      <c r="M15" s="185">
        <f ca="1">IF($A15="","",+ROUND(Rates!R9,2))</f>
        <v>4674.03</v>
      </c>
      <c r="N15" s="186">
        <f t="shared" ca="1" si="12"/>
        <v>53735.632183908048</v>
      </c>
      <c r="O15" s="187">
        <f t="shared" ca="1" si="4"/>
        <v>0.49626553549970487</v>
      </c>
      <c r="P15" s="188">
        <f ca="1">IFERROR(SUM(INDIRECT("'FAF &amp; DDs'!"&amp;(ADDRESS(MATCH($B15-$E15,'FAF &amp; DDs'!$Q:$Q,0),COLUMN($R$1),2,1))&amp;":"&amp;(ADDRESS(MATCH($B15-1,'FAF &amp; DDs'!$Q:$Q,0),COLUMN($R$1),1))))/E15*30,-1)</f>
        <v>984.72413793103453</v>
      </c>
      <c r="Q15" s="188">
        <f ca="1">IFERROR(SUM(INDIRECT("'FAF &amp; DDs'!"&amp;(ADDRESS(MATCH($B15-$E15,'FAF &amp; DDs'!$Q:$Q,0),COLUMN($S$1),2,1))&amp;":"&amp;(ADDRESS(MATCH($B15-1,'FAF &amp; DDs'!$Q:$Q,0),COLUMN($S$1),1))))/E15*30,-1)</f>
        <v>0</v>
      </c>
      <c r="R15" s="176">
        <f t="shared" ca="1" si="13"/>
        <v>6</v>
      </c>
      <c r="S15">
        <f ca="1">IF(ROW()&gt;MIN(($AB$8,$AB$7))+11,0,MATCH(V15,INDIRECT("'Reading History'!B"&amp;$Y$5&amp;":b"&amp;$Y$6),-1))</f>
        <v>4</v>
      </c>
      <c r="T15" s="49"/>
      <c r="U15" s="152">
        <f t="shared" ca="1" si="5"/>
        <v>43893</v>
      </c>
      <c r="V15" s="4">
        <f t="shared" ca="1" si="14"/>
        <v>43894</v>
      </c>
      <c r="W15">
        <f t="shared" ca="1" si="6"/>
        <v>1</v>
      </c>
      <c r="X15">
        <f t="shared" ca="1" si="7"/>
        <v>29</v>
      </c>
      <c r="Y15" s="140"/>
      <c r="Z15" s="177"/>
      <c r="AB15" s="176">
        <f t="shared" ca="1" si="15"/>
        <v>0</v>
      </c>
      <c r="AC15" s="178">
        <f t="shared" ca="1" si="16"/>
        <v>37257</v>
      </c>
      <c r="AD15" s="176">
        <f t="shared" ca="1" si="8"/>
        <v>6</v>
      </c>
    </row>
    <row r="16" spans="1:32" ht="15" customHeight="1" x14ac:dyDescent="0.2">
      <c r="A16" s="2" t="str">
        <f t="shared" ca="1" si="0"/>
        <v>Electric</v>
      </c>
      <c r="B16" s="4">
        <f t="shared" ca="1" si="9"/>
        <v>43864</v>
      </c>
      <c r="C16" s="179" t="str">
        <f t="shared" ca="1" si="1"/>
        <v>Actual</v>
      </c>
      <c r="D16" s="17">
        <f t="shared" ca="1" si="10"/>
        <v>4185</v>
      </c>
      <c r="E16" s="17">
        <f t="shared" ca="1" si="2"/>
        <v>31</v>
      </c>
      <c r="F16" s="182">
        <f t="shared" ca="1" si="11"/>
        <v>36800</v>
      </c>
      <c r="G16" s="183">
        <f t="shared" ca="1" si="3"/>
        <v>105.9199</v>
      </c>
      <c r="H16" s="184">
        <f ca="1">IF($A16="","",+Rates!N10)</f>
        <v>254.09000000000015</v>
      </c>
      <c r="I16" s="184">
        <f ca="1">IF($A16="","",+ROUND(Rates!O10,2))</f>
        <v>3253.12</v>
      </c>
      <c r="J16" s="184">
        <f ca="1">IF($A16="","",IF(F16=0,0,+ROUND(Rates!P10,2)))</f>
        <v>1259.3900000000001</v>
      </c>
      <c r="K16" s="184">
        <f ca="1">IF($A16="","",+ROUND(Rates!X10,2))</f>
        <v>-225.03</v>
      </c>
      <c r="L16" s="184">
        <f ca="1">IF($A16="","",+ROUND(Rates!Q10,2))</f>
        <v>117.76</v>
      </c>
      <c r="M16" s="185">
        <f ca="1">IF($A16="","",+ROUND(Rates!R10,2))</f>
        <v>4659.33</v>
      </c>
      <c r="N16" s="186">
        <f t="shared" ca="1" si="12"/>
        <v>49462.365591397851</v>
      </c>
      <c r="O16" s="187">
        <f t="shared" ca="1" si="4"/>
        <v>0.46697896798805372</v>
      </c>
      <c r="P16" s="188">
        <f ca="1">IFERROR(SUM(INDIRECT("'FAF &amp; DDs'!"&amp;(ADDRESS(MATCH($B16-$E16,'FAF &amp; DDs'!$Q:$Q,0),COLUMN($R$1),2,1))&amp;":"&amp;(ADDRESS(MATCH($B16-1,'FAF &amp; DDs'!$Q:$Q,0),COLUMN($R$1),1))))/E16*30,-1)</f>
        <v>985.93548387096735</v>
      </c>
      <c r="Q16" s="188">
        <f ca="1">IFERROR(SUM(INDIRECT("'FAF &amp; DDs'!"&amp;(ADDRESS(MATCH($B16-$E16,'FAF &amp; DDs'!$Q:$Q,0),COLUMN($S$1),2,1))&amp;":"&amp;(ADDRESS(MATCH($B16-1,'FAF &amp; DDs'!$Q:$Q,0),COLUMN($S$1),1))))/E16*30,-1)</f>
        <v>0</v>
      </c>
      <c r="R16" s="176">
        <f t="shared" ca="1" si="13"/>
        <v>6</v>
      </c>
      <c r="S16">
        <f ca="1">IF(ROW()&gt;MIN(($AB$8,$AB$7))+11,0,MATCH(V16,INDIRECT("'Reading History'!B"&amp;$Y$5&amp;":b"&amp;$Y$6),-1))</f>
        <v>5</v>
      </c>
      <c r="T16" s="49"/>
      <c r="U16" s="152">
        <f t="shared" ca="1" si="5"/>
        <v>43864</v>
      </c>
      <c r="V16" s="4">
        <f t="shared" ca="1" si="14"/>
        <v>43865</v>
      </c>
      <c r="W16">
        <f t="shared" ca="1" si="6"/>
        <v>1</v>
      </c>
      <c r="X16">
        <f t="shared" ca="1" si="7"/>
        <v>28</v>
      </c>
      <c r="Y16" s="140"/>
      <c r="Z16" s="177"/>
      <c r="AB16" s="176">
        <f t="shared" ca="1" si="15"/>
        <v>0</v>
      </c>
      <c r="AC16" s="178">
        <f t="shared" ca="1" si="16"/>
        <v>37257</v>
      </c>
      <c r="AD16" s="176">
        <f t="shared" ca="1" si="8"/>
        <v>6</v>
      </c>
    </row>
    <row r="17" spans="1:30" ht="15" customHeight="1" x14ac:dyDescent="0.2">
      <c r="A17" s="2" t="str">
        <f t="shared" ca="1" si="0"/>
        <v>Electric</v>
      </c>
      <c r="B17" s="4">
        <f t="shared" ca="1" si="9"/>
        <v>43833</v>
      </c>
      <c r="C17" s="179" t="str">
        <f t="shared" ca="1" si="1"/>
        <v>Actual</v>
      </c>
      <c r="D17" s="17">
        <f t="shared" ca="1" si="10"/>
        <v>4001</v>
      </c>
      <c r="E17" s="17">
        <f t="shared" ca="1" si="2"/>
        <v>31</v>
      </c>
      <c r="F17" s="182">
        <f t="shared" ca="1" si="11"/>
        <v>36000</v>
      </c>
      <c r="G17" s="183">
        <f t="shared" ca="1" si="3"/>
        <v>99.14</v>
      </c>
      <c r="H17" s="184">
        <f ca="1">IF($A17="","",+Rates!N11)</f>
        <v>254.09000000000015</v>
      </c>
      <c r="I17" s="184">
        <f ca="1">IF($A17="","",+ROUND(Rates!O11,2))</f>
        <v>3182.4</v>
      </c>
      <c r="J17" s="184">
        <f ca="1">IF($A17="","",IF(F17=0,0,+ROUND(Rates!P11,2)))</f>
        <v>1178.77</v>
      </c>
      <c r="K17" s="184">
        <f ca="1">IF($A17="","",+ROUND(Rates!X11,2))</f>
        <v>-58.68</v>
      </c>
      <c r="L17" s="184">
        <f ca="1">IF($A17="","",+ROUND(Rates!Q11,2))</f>
        <v>115.2</v>
      </c>
      <c r="M17" s="185">
        <f ca="1">IF($A17="","",+ROUND(Rates!R11,2))</f>
        <v>4671.78</v>
      </c>
      <c r="N17" s="186">
        <f t="shared" ca="1" si="12"/>
        <v>48387.096774193546</v>
      </c>
      <c r="O17" s="187">
        <f t="shared" ca="1" si="4"/>
        <v>0.48806835560009632</v>
      </c>
      <c r="P17" s="188">
        <f ca="1">IFERROR(SUM(INDIRECT("'FAF &amp; DDs'!"&amp;(ADDRESS(MATCH($B17-$E17,'FAF &amp; DDs'!$Q:$Q,0),COLUMN($R$1),2,1))&amp;":"&amp;(ADDRESS(MATCH($B17-1,'FAF &amp; DDs'!$Q:$Q,0),COLUMN($R$1),1))))/E17*30,-1)</f>
        <v>845.32258064516111</v>
      </c>
      <c r="Q17" s="188">
        <f ca="1">IFERROR(SUM(INDIRECT("'FAF &amp; DDs'!"&amp;(ADDRESS(MATCH($B17-$E17,'FAF &amp; DDs'!$Q:$Q,0),COLUMN($S$1),2,1))&amp;":"&amp;(ADDRESS(MATCH($B17-1,'FAF &amp; DDs'!$Q:$Q,0),COLUMN($S$1),1))))/E17*30,-1)</f>
        <v>0</v>
      </c>
      <c r="R17" s="176">
        <f t="shared" ca="1" si="13"/>
        <v>6</v>
      </c>
      <c r="S17">
        <f ca="1">IF(ROW()&gt;MIN(($AB$8,$AB$7))+11,0,MATCH(V17,INDIRECT("'Reading History'!B"&amp;$Y$5&amp;":b"&amp;$Y$6),-1))</f>
        <v>6</v>
      </c>
      <c r="T17" s="49"/>
      <c r="U17" s="152">
        <f t="shared" ca="1" si="5"/>
        <v>43833</v>
      </c>
      <c r="V17" s="4">
        <f t="shared" ca="1" si="14"/>
        <v>43837</v>
      </c>
      <c r="W17">
        <f t="shared" ca="1" si="6"/>
        <v>4</v>
      </c>
      <c r="X17">
        <f t="shared" ca="1" si="7"/>
        <v>32</v>
      </c>
      <c r="Y17" s="140"/>
      <c r="Z17" s="177"/>
      <c r="AB17" s="176">
        <f t="shared" ca="1" si="15"/>
        <v>0</v>
      </c>
      <c r="AC17" s="178">
        <f t="shared" ca="1" si="16"/>
        <v>37257</v>
      </c>
      <c r="AD17" s="176">
        <f t="shared" ca="1" si="8"/>
        <v>6</v>
      </c>
    </row>
    <row r="18" spans="1:30" ht="15" customHeight="1" x14ac:dyDescent="0.2">
      <c r="A18" s="2" t="str">
        <f t="shared" ca="1" si="0"/>
        <v>Electric</v>
      </c>
      <c r="B18" s="4">
        <f t="shared" ca="1" si="9"/>
        <v>43802</v>
      </c>
      <c r="C18" s="179" t="str">
        <f t="shared" ca="1" si="1"/>
        <v>Actual</v>
      </c>
      <c r="D18" s="17">
        <f t="shared" ca="1" si="10"/>
        <v>3821</v>
      </c>
      <c r="E18" s="17">
        <f t="shared" ca="1" si="2"/>
        <v>30</v>
      </c>
      <c r="F18" s="182">
        <f t="shared" ca="1" si="11"/>
        <v>34400</v>
      </c>
      <c r="G18" s="183">
        <f t="shared" ca="1" si="3"/>
        <v>104.28</v>
      </c>
      <c r="H18" s="184">
        <f ca="1">IF($A18="","",+Rates!N12)</f>
        <v>254.08999999999989</v>
      </c>
      <c r="I18" s="184">
        <f ca="1">IF($A18="","",+ROUND(Rates!O12,2))</f>
        <v>3040.96</v>
      </c>
      <c r="J18" s="184">
        <f ca="1">IF($A18="","",IF(F18=0,0,+ROUND(Rates!P12,2)))</f>
        <v>1239.8900000000001</v>
      </c>
      <c r="K18" s="184">
        <f ca="1">IF($A18="","",+ROUND(Rates!X12,2))</f>
        <v>-48.44</v>
      </c>
      <c r="L18" s="184">
        <f ca="1">IF($A18="","",+ROUND(Rates!Q12,2))</f>
        <v>110.08</v>
      </c>
      <c r="M18" s="185">
        <f ca="1">IF($A18="","",+ROUND(Rates!R12,2))</f>
        <v>4596.58</v>
      </c>
      <c r="N18" s="186">
        <f t="shared" ca="1" si="12"/>
        <v>47777.777777777781</v>
      </c>
      <c r="O18" s="187">
        <f t="shared" ca="1" si="4"/>
        <v>0.458168179687167</v>
      </c>
      <c r="P18" s="188">
        <f ca="1">IFERROR(SUM(INDIRECT("'FAF &amp; DDs'!"&amp;(ADDRESS(MATCH($B18-$E18,'FAF &amp; DDs'!$Q:$Q,0),COLUMN($R$1),2,1))&amp;":"&amp;(ADDRESS(MATCH($B18-1,'FAF &amp; DDs'!$Q:$Q,0),COLUMN($R$1),1))))/E18*30,-1)</f>
        <v>840.80000000000041</v>
      </c>
      <c r="Q18" s="188">
        <f ca="1">IFERROR(SUM(INDIRECT("'FAF &amp; DDs'!"&amp;(ADDRESS(MATCH($B18-$E18,'FAF &amp; DDs'!$Q:$Q,0),COLUMN($S$1),2,1))&amp;":"&amp;(ADDRESS(MATCH($B18-1,'FAF &amp; DDs'!$Q:$Q,0),COLUMN($S$1),1))))/E18*30,-1)</f>
        <v>0</v>
      </c>
      <c r="R18" s="176">
        <f t="shared" ca="1" si="13"/>
        <v>6</v>
      </c>
      <c r="S18">
        <f ca="1">IF(ROW()&gt;MIN(($AB$8,$AB$7))+11,0,MATCH(V18,INDIRECT("'Reading History'!B"&amp;$Y$5&amp;":b"&amp;$Y$6),-1))</f>
        <v>7</v>
      </c>
      <c r="T18" s="49"/>
      <c r="U18" s="152">
        <f t="shared" ca="1" si="5"/>
        <v>43802</v>
      </c>
      <c r="V18" s="4">
        <f t="shared" ca="1" si="14"/>
        <v>43805</v>
      </c>
      <c r="W18">
        <f t="shared" ca="1" si="6"/>
        <v>3</v>
      </c>
      <c r="X18">
        <f t="shared" ca="1" si="7"/>
        <v>30</v>
      </c>
      <c r="Y18" s="140"/>
      <c r="Z18" s="177"/>
      <c r="AB18" s="176">
        <f t="shared" ca="1" si="15"/>
        <v>0</v>
      </c>
      <c r="AC18" s="178">
        <f t="shared" ca="1" si="16"/>
        <v>37257</v>
      </c>
      <c r="AD18" s="176">
        <f t="shared" ca="1" si="8"/>
        <v>6</v>
      </c>
    </row>
    <row r="19" spans="1:30" ht="15" customHeight="1" x14ac:dyDescent="0.2">
      <c r="A19" s="2" t="str">
        <f t="shared" ca="1" si="0"/>
        <v>Electric</v>
      </c>
      <c r="B19" s="4">
        <f t="shared" ca="1" si="9"/>
        <v>43772</v>
      </c>
      <c r="C19" s="179" t="str">
        <f t="shared" ca="1" si="1"/>
        <v>Actual</v>
      </c>
      <c r="D19" s="17">
        <f t="shared" ca="1" si="10"/>
        <v>3649</v>
      </c>
      <c r="E19" s="17">
        <f t="shared" ca="1" si="2"/>
        <v>31</v>
      </c>
      <c r="F19" s="182">
        <f t="shared" ca="1" si="11"/>
        <v>37200</v>
      </c>
      <c r="G19" s="183">
        <f t="shared" ca="1" si="3"/>
        <v>122.8</v>
      </c>
      <c r="H19" s="184">
        <f ca="1">IF($A19="","",+Rates!N13)</f>
        <v>254.09000000000003</v>
      </c>
      <c r="I19" s="184">
        <f ca="1">IF($A19="","",+ROUND(Rates!O13,2))</f>
        <v>3288.48</v>
      </c>
      <c r="J19" s="184">
        <f ca="1">IF($A19="","",IF(F19=0,0,+ROUND(Rates!P13,2)))</f>
        <v>1460.09</v>
      </c>
      <c r="K19" s="184">
        <f ca="1">IF($A19="","",+ROUND(Rates!X13,2))</f>
        <v>-151.11000000000001</v>
      </c>
      <c r="L19" s="184">
        <f ca="1">IF($A19="","",+ROUND(Rates!Q13,2))</f>
        <v>119.04</v>
      </c>
      <c r="M19" s="185">
        <f ca="1">IF($A19="","",+ROUND(Rates!R13,2))</f>
        <v>4970.59</v>
      </c>
      <c r="N19" s="186">
        <f t="shared" ca="1" si="12"/>
        <v>50000</v>
      </c>
      <c r="O19" s="187">
        <f t="shared" ca="1" si="4"/>
        <v>0.40716612377850164</v>
      </c>
      <c r="P19" s="188">
        <f ca="1">IFERROR(SUM(INDIRECT("'FAF &amp; DDs'!"&amp;(ADDRESS(MATCH($B19-$E19,'FAF &amp; DDs'!$Q:$Q,0),COLUMN($R$1),2,1))&amp;":"&amp;(ADDRESS(MATCH($B19-1,'FAF &amp; DDs'!$Q:$Q,0),COLUMN($R$1),1))))/E19*30,-1)</f>
        <v>445.83870967741933</v>
      </c>
      <c r="Q19" s="188">
        <f ca="1">IFERROR(SUM(INDIRECT("'FAF &amp; DDs'!"&amp;(ADDRESS(MATCH($B19-$E19,'FAF &amp; DDs'!$Q:$Q,0),COLUMN($S$1),2,1))&amp;":"&amp;(ADDRESS(MATCH($B19-1,'FAF &amp; DDs'!$Q:$Q,0),COLUMN($S$1),1))))/E19*30,-1)</f>
        <v>11.419354838709676</v>
      </c>
      <c r="R19" s="176">
        <f t="shared" ca="1" si="13"/>
        <v>6</v>
      </c>
      <c r="S19">
        <f ca="1">IF(ROW()&gt;MIN(($AB$8,$AB$7))+11,0,MATCH(V19,INDIRECT("'Reading History'!B"&amp;$Y$5&amp;":b"&amp;$Y$6),-1))</f>
        <v>8</v>
      </c>
      <c r="T19" s="49"/>
      <c r="U19" s="152">
        <f t="shared" ca="1" si="5"/>
        <v>43772</v>
      </c>
      <c r="V19" s="4">
        <f t="shared" ca="1" si="14"/>
        <v>43775</v>
      </c>
      <c r="W19">
        <f t="shared" ca="1" si="6"/>
        <v>3</v>
      </c>
      <c r="X19">
        <f t="shared" ca="1" si="7"/>
        <v>29</v>
      </c>
      <c r="Y19" s="140"/>
      <c r="Z19" s="177"/>
      <c r="AB19" s="176">
        <f t="shared" ca="1" si="15"/>
        <v>0</v>
      </c>
      <c r="AC19" s="178">
        <f t="shared" ca="1" si="16"/>
        <v>37257</v>
      </c>
      <c r="AD19" s="176">
        <f t="shared" ca="1" si="8"/>
        <v>6</v>
      </c>
    </row>
    <row r="20" spans="1:30" ht="15" customHeight="1" x14ac:dyDescent="0.2">
      <c r="A20" s="2" t="str">
        <f t="shared" ca="1" si="0"/>
        <v>Electric</v>
      </c>
      <c r="B20" s="4">
        <f t="shared" ca="1" si="9"/>
        <v>43741</v>
      </c>
      <c r="C20" s="179" t="str">
        <f t="shared" ca="1" si="1"/>
        <v>Actual</v>
      </c>
      <c r="D20" s="17">
        <f t="shared" ca="1" si="10"/>
        <v>3463</v>
      </c>
      <c r="E20" s="17">
        <f t="shared" ca="1" si="2"/>
        <v>30</v>
      </c>
      <c r="F20" s="182">
        <f t="shared" ca="1" si="11"/>
        <v>46000</v>
      </c>
      <c r="G20" s="183">
        <f t="shared" ca="1" si="3"/>
        <v>151.69999999999999</v>
      </c>
      <c r="H20" s="184">
        <f ca="1">IF($A20="","",+Rates!N14)</f>
        <v>254.09000000000003</v>
      </c>
      <c r="I20" s="184">
        <f ca="1">IF($A20="","",+ROUND(Rates!O14,2))</f>
        <v>4187.67</v>
      </c>
      <c r="J20" s="184">
        <f ca="1">IF($A20="","",IF(F20=0,0,+ROUND(Rates!P14,2)))</f>
        <v>1901.17</v>
      </c>
      <c r="K20" s="184">
        <f ca="1">IF($A20="","",+ROUND(Rates!X14,2))</f>
        <v>-182.57</v>
      </c>
      <c r="L20" s="184">
        <f ca="1">IF($A20="","",+ROUND(Rates!Q14,2))</f>
        <v>147.19999999999999</v>
      </c>
      <c r="M20" s="185">
        <f ca="1">IF($A20="","",+ROUND(Rates!R14,2))</f>
        <v>6307.56</v>
      </c>
      <c r="N20" s="186">
        <f t="shared" ca="1" si="12"/>
        <v>63888.888888888883</v>
      </c>
      <c r="O20" s="187">
        <f t="shared" ca="1" si="4"/>
        <v>0.4211528601772504</v>
      </c>
      <c r="P20" s="188">
        <f ca="1">IFERROR(SUM(INDIRECT("'FAF &amp; DDs'!"&amp;(ADDRESS(MATCH($B20-$E20,'FAF &amp; DDs'!$Q:$Q,0),COLUMN($R$1),2,1))&amp;":"&amp;(ADDRESS(MATCH($B20-1,'FAF &amp; DDs'!$Q:$Q,0),COLUMN($R$1),1))))/E20*30,-1)</f>
        <v>22.5</v>
      </c>
      <c r="Q20" s="188">
        <f ca="1">IFERROR(SUM(INDIRECT("'FAF &amp; DDs'!"&amp;(ADDRESS(MATCH($B20-$E20,'FAF &amp; DDs'!$Q:$Q,0),COLUMN($S$1),2,1))&amp;":"&amp;(ADDRESS(MATCH($B20-1,'FAF &amp; DDs'!$Q:$Q,0),COLUMN($S$1),1))))/E20*30,-1)</f>
        <v>275.5</v>
      </c>
      <c r="R20" s="176">
        <f t="shared" ca="1" si="13"/>
        <v>6</v>
      </c>
      <c r="S20">
        <f ca="1">IF(ROW()&gt;MIN(($AB$8,$AB$7))+11,0,MATCH(V20,INDIRECT("'Reading History'!B"&amp;$Y$5&amp;":b"&amp;$Y$6),-1))</f>
        <v>9</v>
      </c>
      <c r="T20" s="49"/>
      <c r="U20" s="152">
        <f t="shared" ca="1" si="5"/>
        <v>43741</v>
      </c>
      <c r="V20" s="4">
        <f t="shared" ca="1" si="14"/>
        <v>43746</v>
      </c>
      <c r="W20">
        <f t="shared" ca="1" si="6"/>
        <v>5</v>
      </c>
      <c r="X20">
        <f t="shared" ca="1" si="7"/>
        <v>33</v>
      </c>
      <c r="Y20" s="140"/>
      <c r="Z20" s="177"/>
      <c r="AB20" s="176">
        <f t="shared" ca="1" si="15"/>
        <v>0</v>
      </c>
      <c r="AC20" s="178">
        <f t="shared" ca="1" si="16"/>
        <v>37257</v>
      </c>
      <c r="AD20" s="176">
        <f t="shared" ca="1" si="8"/>
        <v>6</v>
      </c>
    </row>
    <row r="21" spans="1:30" ht="15" customHeight="1" x14ac:dyDescent="0.2">
      <c r="A21" s="2" t="str">
        <f t="shared" ca="1" si="0"/>
        <v>Electric</v>
      </c>
      <c r="B21" s="4">
        <f t="shared" ca="1" si="9"/>
        <v>43711</v>
      </c>
      <c r="C21" s="179" t="str">
        <f t="shared" ca="1" si="1"/>
        <v>Actual</v>
      </c>
      <c r="D21" s="17">
        <f t="shared" ca="1" si="10"/>
        <v>3233</v>
      </c>
      <c r="E21" s="17">
        <f t="shared" ca="1" si="2"/>
        <v>31</v>
      </c>
      <c r="F21" s="182">
        <f t="shared" ca="1" si="11"/>
        <v>45800</v>
      </c>
      <c r="G21" s="183">
        <f t="shared" ca="1" si="3"/>
        <v>148.19999999999999</v>
      </c>
      <c r="H21" s="184">
        <f ca="1">IF($A21="","",+Rates!N15)</f>
        <v>254.09000000000003</v>
      </c>
      <c r="I21" s="184">
        <f ca="1">IF($A21="","",+ROUND(Rates!O15,2))</f>
        <v>4447.18</v>
      </c>
      <c r="J21" s="184">
        <f ca="1">IF($A21="","",IF(F21=0,0,+ROUND(Rates!P15,2)))</f>
        <v>2076.2800000000002</v>
      </c>
      <c r="K21" s="184">
        <f ca="1">IF($A21="","",+ROUND(Rates!X15,2))</f>
        <v>-233.26</v>
      </c>
      <c r="L21" s="184">
        <f ca="1">IF($A21="","",+ROUND(Rates!Q15,2))</f>
        <v>146.56</v>
      </c>
      <c r="M21" s="185">
        <f ca="1">IF($A21="","",+ROUND(Rates!R15,2))</f>
        <v>6690.85</v>
      </c>
      <c r="N21" s="186">
        <f t="shared" ca="1" si="12"/>
        <v>61559.139784946237</v>
      </c>
      <c r="O21" s="187">
        <f t="shared" ca="1" si="4"/>
        <v>0.41537881096454954</v>
      </c>
      <c r="P21" s="188">
        <f ca="1">IFERROR(SUM(INDIRECT("'FAF &amp; DDs'!"&amp;(ADDRESS(MATCH($B21-$E21,'FAF &amp; DDs'!$Q:$Q,0),COLUMN($R$1),2,1))&amp;":"&amp;(ADDRESS(MATCH($B21-1,'FAF &amp; DDs'!$Q:$Q,0),COLUMN($R$1),1))))/E21*30,-1)</f>
        <v>14.322580645161288</v>
      </c>
      <c r="Q21" s="188">
        <f ca="1">IFERROR(SUM(INDIRECT("'FAF &amp; DDs'!"&amp;(ADDRESS(MATCH($B21-$E21,'FAF &amp; DDs'!$Q:$Q,0),COLUMN($S$1),2,1))&amp;":"&amp;(ADDRESS(MATCH($B21-1,'FAF &amp; DDs'!$Q:$Q,0),COLUMN($S$1),1))))/E21*30,-1)</f>
        <v>263.61290322580646</v>
      </c>
      <c r="R21" s="176">
        <f t="shared" ca="1" si="13"/>
        <v>6</v>
      </c>
      <c r="S21">
        <f ca="1">IF(ROW()&gt;MIN(($AB$8,$AB$7))+11,0,MATCH(V21,INDIRECT("'Reading History'!B"&amp;$Y$5&amp;":b"&amp;$Y$6),-1))</f>
        <v>10</v>
      </c>
      <c r="T21" s="49"/>
      <c r="U21" s="152">
        <f t="shared" ca="1" si="5"/>
        <v>43711</v>
      </c>
      <c r="V21" s="4">
        <f t="shared" ca="1" si="14"/>
        <v>43713</v>
      </c>
      <c r="W21">
        <f t="shared" ca="1" si="6"/>
        <v>2</v>
      </c>
      <c r="X21">
        <f t="shared" ca="1" si="7"/>
        <v>31</v>
      </c>
      <c r="Y21" s="140"/>
      <c r="Z21" s="177"/>
      <c r="AB21" s="176">
        <f t="shared" ca="1" si="15"/>
        <v>0</v>
      </c>
      <c r="AC21" s="178">
        <f t="shared" ca="1" si="16"/>
        <v>37257</v>
      </c>
      <c r="AD21" s="176">
        <f t="shared" ca="1" si="8"/>
        <v>6</v>
      </c>
    </row>
    <row r="22" spans="1:30" ht="15" customHeight="1" x14ac:dyDescent="0.2">
      <c r="A22" s="2" t="str">
        <f t="shared" ca="1" si="0"/>
        <v>Electric</v>
      </c>
      <c r="B22" s="4">
        <f t="shared" ca="1" si="9"/>
        <v>43680</v>
      </c>
      <c r="C22" s="179" t="str">
        <f t="shared" ca="1" si="1"/>
        <v>Actual</v>
      </c>
      <c r="D22" s="17">
        <f t="shared" ca="1" si="10"/>
        <v>3004</v>
      </c>
      <c r="E22" s="17">
        <f t="shared" ca="1" si="2"/>
        <v>31</v>
      </c>
      <c r="F22" s="182">
        <f t="shared" ca="1" si="11"/>
        <v>51400</v>
      </c>
      <c r="G22" s="183">
        <f t="shared" ca="1" si="3"/>
        <v>155.18</v>
      </c>
      <c r="H22" s="184">
        <f ca="1">IF($A22="","",+Rates!N16)</f>
        <v>254.09</v>
      </c>
      <c r="I22" s="184">
        <f ca="1">IF($A22="","",+ROUND(Rates!O16,2))</f>
        <v>4990.9399999999996</v>
      </c>
      <c r="J22" s="184">
        <f ca="1">IF($A22="","",IF(F22=0,0,+ROUND(Rates!P16,2)))</f>
        <v>2174.0700000000002</v>
      </c>
      <c r="K22" s="184">
        <f ca="1">IF($A22="","",+ROUND(Rates!X16,2))</f>
        <v>-183.34</v>
      </c>
      <c r="L22" s="184">
        <f ca="1">IF($A22="","",+ROUND(Rates!Q16,2))</f>
        <v>164.48</v>
      </c>
      <c r="M22" s="185">
        <f ca="1">IF($A22="","",+ROUND(Rates!R16,2))</f>
        <v>7400.24</v>
      </c>
      <c r="N22" s="186">
        <f t="shared" ca="1" si="12"/>
        <v>69086.021505376339</v>
      </c>
      <c r="O22" s="187">
        <f t="shared" ca="1" si="4"/>
        <v>0.44519926218182976</v>
      </c>
      <c r="P22" s="188">
        <f ca="1">IFERROR(SUM(INDIRECT("'FAF &amp; DDs'!"&amp;(ADDRESS(MATCH($B22-$E22,'FAF &amp; DDs'!$Q:$Q,0),COLUMN($R$1),2,1))&amp;":"&amp;(ADDRESS(MATCH($B22-1,'FAF &amp; DDs'!$Q:$Q,0),COLUMN($R$1),1))))/E22*30,-1)</f>
        <v>7.741935483870968</v>
      </c>
      <c r="Q22" s="188">
        <f ca="1">IFERROR(SUM(INDIRECT("'FAF &amp; DDs'!"&amp;(ADDRESS(MATCH($B22-$E22,'FAF &amp; DDs'!$Q:$Q,0),COLUMN($S$1),2,1))&amp;":"&amp;(ADDRESS(MATCH($B22-1,'FAF &amp; DDs'!$Q:$Q,0),COLUMN($S$1),1))))/E22*30,-1)</f>
        <v>385.64516129032262</v>
      </c>
      <c r="R22" s="176">
        <f t="shared" ca="1" si="13"/>
        <v>6</v>
      </c>
      <c r="S22">
        <f ca="1">IF(ROW()&gt;MIN(($AB$8,$AB$7))+11,0,MATCH(V22,INDIRECT("'Reading History'!B"&amp;$Y$5&amp;":b"&amp;$Y$6),-1))</f>
        <v>11</v>
      </c>
      <c r="T22" s="49"/>
      <c r="U22" s="152">
        <f t="shared" ca="1" si="5"/>
        <v>43680</v>
      </c>
      <c r="V22" s="4">
        <f t="shared" ca="1" si="14"/>
        <v>43682</v>
      </c>
      <c r="W22">
        <f t="shared" ca="1" si="6"/>
        <v>2</v>
      </c>
      <c r="X22">
        <f t="shared" ca="1" si="7"/>
        <v>27</v>
      </c>
      <c r="Y22" s="140"/>
      <c r="Z22" s="177"/>
      <c r="AB22" s="176">
        <f t="shared" ca="1" si="15"/>
        <v>0</v>
      </c>
      <c r="AC22" s="178">
        <f t="shared" ca="1" si="16"/>
        <v>37257</v>
      </c>
      <c r="AD22" s="176">
        <f t="shared" ca="1" si="8"/>
        <v>6</v>
      </c>
    </row>
    <row r="23" spans="1:30" ht="15" customHeight="1" x14ac:dyDescent="0.2">
      <c r="A23" s="2" t="str">
        <f t="shared" ca="1" si="0"/>
        <v>Electric</v>
      </c>
      <c r="B23" s="4">
        <f t="shared" ca="1" si="9"/>
        <v>43649</v>
      </c>
      <c r="C23" s="179" t="str">
        <f t="shared" ca="1" si="1"/>
        <v>Actual</v>
      </c>
      <c r="D23" s="17">
        <f t="shared" ca="1" si="10"/>
        <v>2747</v>
      </c>
      <c r="E23" s="17">
        <f t="shared" ca="1" si="2"/>
        <v>30</v>
      </c>
      <c r="F23" s="182">
        <f t="shared" ca="1" si="11"/>
        <v>46000</v>
      </c>
      <c r="G23" s="183">
        <f t="shared" ca="1" si="3"/>
        <v>148.22</v>
      </c>
      <c r="H23" s="184">
        <f ca="1">IF($A23="","",+Rates!N17)</f>
        <v>254.08999999999992</v>
      </c>
      <c r="I23" s="184">
        <f ca="1">IF($A23="","",+ROUND(Rates!O17,2))</f>
        <v>4466.6000000000004</v>
      </c>
      <c r="J23" s="184">
        <f ca="1">IF($A23="","",IF(F23=0,0,+ROUND(Rates!P17,2)))</f>
        <v>2076.56</v>
      </c>
      <c r="K23" s="184">
        <f ca="1">IF($A23="","",+ROUND(Rates!X17,2))</f>
        <v>-32.57</v>
      </c>
      <c r="L23" s="184">
        <f ca="1">IF($A23="","",+ROUND(Rates!Q17,2))</f>
        <v>147.19999999999999</v>
      </c>
      <c r="M23" s="185">
        <f ca="1">IF($A23="","",+ROUND(Rates!R17,2))</f>
        <v>6911.88</v>
      </c>
      <c r="N23" s="186">
        <f t="shared" ca="1" si="12"/>
        <v>63888.888888888883</v>
      </c>
      <c r="O23" s="187">
        <f t="shared" ca="1" si="4"/>
        <v>0.43104094514160629</v>
      </c>
      <c r="P23" s="188">
        <f ca="1">IFERROR(SUM(INDIRECT("'FAF &amp; DDs'!"&amp;(ADDRESS(MATCH($B23-$E23,'FAF &amp; DDs'!$Q:$Q,0),COLUMN($R$1),2,1))&amp;":"&amp;(ADDRESS(MATCH($B23-1,'FAF &amp; DDs'!$Q:$Q,0),COLUMN($R$1),1))))/E23*30,-1)</f>
        <v>20.6</v>
      </c>
      <c r="Q23" s="188">
        <f ca="1">IFERROR(SUM(INDIRECT("'FAF &amp; DDs'!"&amp;(ADDRESS(MATCH($B23-$E23,'FAF &amp; DDs'!$Q:$Q,0),COLUMN($S$1),2,1))&amp;":"&amp;(ADDRESS(MATCH($B23-1,'FAF &amp; DDs'!$Q:$Q,0),COLUMN($S$1),1))))/E23*30,-1)</f>
        <v>249.19999999999993</v>
      </c>
      <c r="R23" s="176">
        <f t="shared" ca="1" si="13"/>
        <v>6</v>
      </c>
      <c r="S23">
        <f ca="1">IF(ROW()&gt;MIN(($AB$8,$AB$7))+11,0,MATCH(V23,INDIRECT("'Reading History'!B"&amp;$Y$5&amp;":b"&amp;$Y$6),-1))</f>
        <v>12</v>
      </c>
      <c r="T23" s="49"/>
      <c r="U23" s="152">
        <f t="shared" ca="1" si="5"/>
        <v>43649</v>
      </c>
      <c r="V23" s="4">
        <f t="shared" ca="1" si="14"/>
        <v>43655</v>
      </c>
      <c r="W23">
        <f t="shared" ca="1" si="6"/>
        <v>6</v>
      </c>
      <c r="X23">
        <f t="shared" ca="1" si="7"/>
        <v>33</v>
      </c>
      <c r="Y23" s="140">
        <v>37257</v>
      </c>
      <c r="Z23" s="177">
        <f>VALUE(Rates!$O$1)</f>
        <v>6</v>
      </c>
      <c r="AB23" s="176">
        <f t="shared" ca="1" si="15"/>
        <v>0</v>
      </c>
      <c r="AC23" s="178">
        <f t="shared" ca="1" si="16"/>
        <v>37257</v>
      </c>
      <c r="AD23" s="176">
        <f t="shared" ca="1" si="8"/>
        <v>6</v>
      </c>
    </row>
    <row r="24" spans="1:30" ht="15" customHeight="1" x14ac:dyDescent="0.2">
      <c r="A24" s="2" t="str">
        <f t="shared" ca="1" si="0"/>
        <v>Electric</v>
      </c>
      <c r="B24" s="4">
        <f t="shared" ca="1" si="9"/>
        <v>43619</v>
      </c>
      <c r="C24" s="179" t="str">
        <f t="shared" ca="1" si="1"/>
        <v>Actual</v>
      </c>
      <c r="D24" s="17">
        <f t="shared" ca="1" si="10"/>
        <v>2517</v>
      </c>
      <c r="E24" s="17">
        <f t="shared" ca="1" si="2"/>
        <v>31</v>
      </c>
      <c r="F24" s="182">
        <f t="shared" ca="1" si="11"/>
        <v>39800</v>
      </c>
      <c r="G24" s="183">
        <f t="shared" ca="1" si="3"/>
        <v>138.94</v>
      </c>
      <c r="H24" s="184">
        <f ca="1">IF($A24="","",+Rates!N18)</f>
        <v>254.09000000000003</v>
      </c>
      <c r="I24" s="184">
        <f ca="1">IF($A24="","",+ROUND(Rates!O18,2))</f>
        <v>3772.25</v>
      </c>
      <c r="J24" s="184">
        <f ca="1">IF($A24="","",IF(F24=0,0,+ROUND(Rates!P18,2)))</f>
        <v>1868</v>
      </c>
      <c r="K24" s="184">
        <f ca="1">IF($A24="","",+ROUND(Rates!X18,2))</f>
        <v>38.25</v>
      </c>
      <c r="L24" s="184">
        <f ca="1">IF($A24="","",+ROUND(Rates!Q18,2))</f>
        <v>127.36</v>
      </c>
      <c r="M24" s="185">
        <f ca="1">IF($A24="","",+ROUND(Rates!R18,2))</f>
        <v>6059.95</v>
      </c>
      <c r="N24" s="186">
        <f t="shared" ca="1" si="12"/>
        <v>53494.62365591398</v>
      </c>
      <c r="O24" s="187">
        <f t="shared" ca="1" si="4"/>
        <v>0.38501960310863659</v>
      </c>
      <c r="P24" s="188">
        <f ca="1">IFERROR(SUM(INDIRECT("'FAF &amp; DDs'!"&amp;(ADDRESS(MATCH($B24-$E24,'FAF &amp; DDs'!$Q:$Q,0),COLUMN($R$1),2,1))&amp;":"&amp;(ADDRESS(MATCH($B24-1,'FAF &amp; DDs'!$Q:$Q,0),COLUMN($R$1),1))))/E24*30,-1)</f>
        <v>140.80645161290317</v>
      </c>
      <c r="Q24" s="188">
        <f ca="1">IFERROR(SUM(INDIRECT("'FAF &amp; DDs'!"&amp;(ADDRESS(MATCH($B24-$E24,'FAF &amp; DDs'!$Q:$Q,0),COLUMN($S$1),2,1))&amp;":"&amp;(ADDRESS(MATCH($B24-1,'FAF &amp; DDs'!$Q:$Q,0),COLUMN($S$1),1))))/E24*30,-1)</f>
        <v>143.22580645161293</v>
      </c>
      <c r="R24" s="176">
        <f t="shared" ca="1" si="13"/>
        <v>6</v>
      </c>
      <c r="S24">
        <f ca="1">IF(ROW()&gt;MIN(($AB$8,$AB$7))+11,0,MATCH(V24,INDIRECT("'Reading History'!B"&amp;$Y$5&amp;":b"&amp;$Y$6),-1))</f>
        <v>13</v>
      </c>
      <c r="T24" s="49"/>
      <c r="U24" s="152">
        <f t="shared" ca="1" si="5"/>
        <v>43619</v>
      </c>
      <c r="V24" s="4">
        <f t="shared" ca="1" si="14"/>
        <v>43622</v>
      </c>
      <c r="W24">
        <f t="shared" ca="1" si="6"/>
        <v>3</v>
      </c>
      <c r="X24">
        <f t="shared" ca="1" si="7"/>
        <v>30</v>
      </c>
      <c r="AB24" s="176">
        <f t="shared" ca="1" si="15"/>
        <v>0</v>
      </c>
    </row>
    <row r="25" spans="1:30" ht="15" customHeight="1" x14ac:dyDescent="0.2">
      <c r="A25" s="2" t="str">
        <f t="shared" ca="1" si="0"/>
        <v>Electric</v>
      </c>
      <c r="B25" s="4">
        <f t="shared" ca="1" si="9"/>
        <v>43588</v>
      </c>
      <c r="C25" s="179" t="str">
        <f t="shared" ca="1" si="1"/>
        <v>Actual</v>
      </c>
      <c r="D25" s="17">
        <f t="shared" ca="1" si="10"/>
        <v>2318</v>
      </c>
      <c r="E25" s="17">
        <f t="shared" ca="1" si="2"/>
        <v>30</v>
      </c>
      <c r="F25" s="182">
        <f t="shared" ca="1" si="11"/>
        <v>37400</v>
      </c>
      <c r="G25" s="183">
        <f t="shared" ca="1" si="3"/>
        <v>117.7</v>
      </c>
      <c r="H25" s="184">
        <f ca="1">IF($A25="","",+Rates!N19)</f>
        <v>254.08999999999997</v>
      </c>
      <c r="I25" s="184">
        <f ca="1">IF($A25="","",+ROUND(Rates!O19,2))</f>
        <v>3306.16</v>
      </c>
      <c r="J25" s="184">
        <f ca="1">IF($A25="","",IF(F25=0,0,+ROUND(Rates!P19,2)))</f>
        <v>1399.45</v>
      </c>
      <c r="K25" s="184">
        <f ca="1">IF($A25="","",+ROUND(Rates!X19,2))</f>
        <v>97.02</v>
      </c>
      <c r="L25" s="184">
        <f ca="1">IF($A25="","",+ROUND(Rates!Q19,2))</f>
        <v>119.68</v>
      </c>
      <c r="M25" s="185">
        <f ca="1">IF($A25="","",+ROUND(Rates!R19,2))</f>
        <v>5176.3999999999996</v>
      </c>
      <c r="N25" s="186">
        <f t="shared" ca="1" si="12"/>
        <v>51944.444444444453</v>
      </c>
      <c r="O25" s="187">
        <f t="shared" ca="1" si="4"/>
        <v>0.44132917964693663</v>
      </c>
      <c r="P25" s="188">
        <f ca="1">IFERROR(SUM(INDIRECT("'FAF &amp; DDs'!"&amp;(ADDRESS(MATCH($B25-$E25,'FAF &amp; DDs'!$Q:$Q,0),COLUMN($R$1),2,1))&amp;":"&amp;(ADDRESS(MATCH($B25-1,'FAF &amp; DDs'!$Q:$Q,0),COLUMN($R$1),1))))/E25*30,-1)</f>
        <v>323.10000000000002</v>
      </c>
      <c r="Q25" s="188">
        <f ca="1">IFERROR(SUM(INDIRECT("'FAF &amp; DDs'!"&amp;(ADDRESS(MATCH($B25-$E25,'FAF &amp; DDs'!$Q:$Q,0),COLUMN($S$1),2,1))&amp;":"&amp;(ADDRESS(MATCH($B25-1,'FAF &amp; DDs'!$Q:$Q,0),COLUMN($S$1),1))))/E25*30,-1)</f>
        <v>30.900000000000002</v>
      </c>
      <c r="R25" s="176">
        <f t="shared" ca="1" si="13"/>
        <v>6</v>
      </c>
      <c r="S25">
        <f ca="1">IF(ROW()&gt;MIN(($AB$8,$AB$7))+11,0,MATCH(V25,INDIRECT("'Reading History'!B"&amp;$Y$5&amp;":b"&amp;$Y$6),-1))</f>
        <v>14</v>
      </c>
      <c r="T25" s="49"/>
      <c r="U25" s="152">
        <f t="shared" ca="1" si="5"/>
        <v>43588</v>
      </c>
      <c r="V25" s="4">
        <f t="shared" ca="1" si="14"/>
        <v>43592</v>
      </c>
      <c r="W25">
        <f t="shared" ca="1" si="6"/>
        <v>4</v>
      </c>
      <c r="X25">
        <f t="shared" ca="1" si="7"/>
        <v>32</v>
      </c>
      <c r="AB25" s="176">
        <f t="shared" ca="1" si="15"/>
        <v>0</v>
      </c>
    </row>
    <row r="26" spans="1:30" ht="15" customHeight="1" x14ac:dyDescent="0.2">
      <c r="A26" s="2" t="str">
        <f t="shared" ca="1" si="0"/>
        <v>Electric</v>
      </c>
      <c r="B26" s="4">
        <f t="shared" ca="1" si="9"/>
        <v>43558</v>
      </c>
      <c r="C26" s="179" t="str">
        <f t="shared" ca="1" si="1"/>
        <v>Actual</v>
      </c>
      <c r="D26" s="17">
        <f t="shared" ca="1" si="10"/>
        <v>2131</v>
      </c>
      <c r="E26" s="17">
        <f t="shared" ca="1" si="2"/>
        <v>31</v>
      </c>
      <c r="F26" s="182">
        <f t="shared" ca="1" si="11"/>
        <v>37800</v>
      </c>
      <c r="G26" s="183">
        <f t="shared" ca="1" si="3"/>
        <v>111.24</v>
      </c>
      <c r="H26" s="184">
        <f ca="1">IF($A26="","",+Rates!N20)</f>
        <v>254.08999999999997</v>
      </c>
      <c r="I26" s="184">
        <f ca="1">IF($A26="","",+ROUND(Rates!O20,2))</f>
        <v>3341.52</v>
      </c>
      <c r="J26" s="184">
        <f ca="1">IF($A26="","",IF(F26=0,0,+ROUND(Rates!P20,2)))</f>
        <v>1322.64</v>
      </c>
      <c r="K26" s="184">
        <f ca="1">IF($A26="","",+ROUND(Rates!X20,2))</f>
        <v>147</v>
      </c>
      <c r="L26" s="184">
        <f ca="1">IF($A26="","",+ROUND(Rates!Q20,2))</f>
        <v>120.96</v>
      </c>
      <c r="M26" s="185">
        <f ca="1">IF($A26="","",+ROUND(Rates!R20,2))</f>
        <v>5186.21</v>
      </c>
      <c r="N26" s="186">
        <f t="shared" ca="1" si="12"/>
        <v>50806.451612903227</v>
      </c>
      <c r="O26" s="187">
        <f t="shared" ca="1" si="4"/>
        <v>0.45672825973483666</v>
      </c>
      <c r="P26" s="188">
        <f ca="1">IFERROR(SUM(INDIRECT("'FAF &amp; DDs'!"&amp;(ADDRESS(MATCH($B26-$E26,'FAF &amp; DDs'!$Q:$Q,0),COLUMN($R$1),2,1))&amp;":"&amp;(ADDRESS(MATCH($B26-1,'FAF &amp; DDs'!$Q:$Q,0),COLUMN($R$1),1))))/E26*30,-1)</f>
        <v>779.32258064516134</v>
      </c>
      <c r="Q26" s="188">
        <f ca="1">IFERROR(SUM(INDIRECT("'FAF &amp; DDs'!"&amp;(ADDRESS(MATCH($B26-$E26,'FAF &amp; DDs'!$Q:$Q,0),COLUMN($S$1),2,1))&amp;":"&amp;(ADDRESS(MATCH($B26-1,'FAF &amp; DDs'!$Q:$Q,0),COLUMN($S$1),1))))/E26*30,-1)</f>
        <v>0.967741935483871</v>
      </c>
      <c r="R26" s="176">
        <f t="shared" ca="1" si="13"/>
        <v>6</v>
      </c>
      <c r="S26">
        <f ca="1">IF(ROW()&gt;MIN(($AB$8,$AB$7))+11,0,MATCH(V26,INDIRECT("'Reading History'!B"&amp;$Y$5&amp;":b"&amp;$Y$6),-1))</f>
        <v>15</v>
      </c>
      <c r="T26" s="49"/>
      <c r="U26" s="152">
        <f t="shared" ca="1" si="5"/>
        <v>43558</v>
      </c>
      <c r="V26" s="4">
        <f t="shared" ca="1" si="14"/>
        <v>43560</v>
      </c>
      <c r="W26">
        <f t="shared" ca="1" si="6"/>
        <v>2</v>
      </c>
      <c r="X26">
        <f t="shared" ca="1" si="7"/>
        <v>29</v>
      </c>
      <c r="AB26" s="176">
        <f t="shared" ca="1" si="15"/>
        <v>0</v>
      </c>
    </row>
    <row r="27" spans="1:30" ht="15" customHeight="1" x14ac:dyDescent="0.2">
      <c r="A27" s="2" t="str">
        <f t="shared" ca="1" si="0"/>
        <v>Electric</v>
      </c>
      <c r="B27" s="4">
        <f t="shared" ca="1" si="9"/>
        <v>43527</v>
      </c>
      <c r="C27" s="179" t="str">
        <f t="shared" ca="1" si="1"/>
        <v>Actual</v>
      </c>
      <c r="D27" s="17">
        <f t="shared" ca="1" si="10"/>
        <v>1942</v>
      </c>
      <c r="E27" s="17">
        <f t="shared" ca="1" si="2"/>
        <v>28</v>
      </c>
      <c r="F27" s="182">
        <f t="shared" ca="1" si="11"/>
        <v>34400</v>
      </c>
      <c r="G27" s="183">
        <f t="shared" ca="1" si="3"/>
        <v>108.94</v>
      </c>
      <c r="H27" s="184">
        <f ca="1">IF($A27="","",+Rates!N21)</f>
        <v>239.02103448275861</v>
      </c>
      <c r="I27" s="184">
        <f ca="1">IF($A27="","",+ROUND(Rates!O21,2))</f>
        <v>2953.66</v>
      </c>
      <c r="J27" s="184">
        <f ca="1">IF($A27="","",IF(F27=0,0,+ROUND(Rates!P21,2)))</f>
        <v>1295.3</v>
      </c>
      <c r="K27" s="184">
        <f ca="1">IF($A27="","",+ROUND(Rates!X21,2))</f>
        <v>-102.27</v>
      </c>
      <c r="L27" s="184">
        <f ca="1">IF($A27="","",+ROUND(Rates!Q21,2))</f>
        <v>110.08</v>
      </c>
      <c r="M27" s="185">
        <f ca="1">IF($A27="","",+ROUND(Rates!R21,2))</f>
        <v>4495.79</v>
      </c>
      <c r="N27" s="186">
        <f t="shared" ca="1" si="12"/>
        <v>51190.476190476198</v>
      </c>
      <c r="O27" s="187">
        <f t="shared" ca="1" si="4"/>
        <v>0.46989605462159167</v>
      </c>
      <c r="P27" s="188">
        <f ca="1">IFERROR(SUM(INDIRECT("'FAF &amp; DDs'!"&amp;(ADDRESS(MATCH($B27-$E27,'FAF &amp; DDs'!$Q:$Q,0),COLUMN($R$1),2,1))&amp;":"&amp;(ADDRESS(MATCH($B27-1,'FAF &amp; DDs'!$Q:$Q,0),COLUMN($R$1),1))))/E27*30,-1)</f>
        <v>1034.1428571428571</v>
      </c>
      <c r="Q27" s="188">
        <f ca="1">IFERROR(SUM(INDIRECT("'FAF &amp; DDs'!"&amp;(ADDRESS(MATCH($B27-$E27,'FAF &amp; DDs'!$Q:$Q,0),COLUMN($S$1),2,1))&amp;":"&amp;(ADDRESS(MATCH($B27-1,'FAF &amp; DDs'!$Q:$Q,0),COLUMN($S$1),1))))/E27*30,-1)</f>
        <v>0</v>
      </c>
      <c r="R27" s="176">
        <f t="shared" ca="1" si="13"/>
        <v>6</v>
      </c>
      <c r="S27">
        <f ca="1">IF(ROW()&gt;MIN(($AB$8,$AB$7))+11,0,MATCH(V27,INDIRECT("'Reading History'!B"&amp;$Y$5&amp;":b"&amp;$Y$6),-1))</f>
        <v>16</v>
      </c>
      <c r="T27" s="49"/>
      <c r="U27" s="152">
        <f t="shared" ca="1" si="5"/>
        <v>43527</v>
      </c>
      <c r="V27" s="4">
        <f t="shared" ca="1" si="14"/>
        <v>43531</v>
      </c>
      <c r="W27">
        <f t="shared" ca="1" si="6"/>
        <v>4</v>
      </c>
      <c r="X27">
        <f t="shared" ca="1" si="7"/>
        <v>29</v>
      </c>
      <c r="AB27" s="176">
        <f t="shared" ca="1" si="15"/>
        <v>0</v>
      </c>
    </row>
    <row r="28" spans="1:30" ht="15" customHeight="1" x14ac:dyDescent="0.2">
      <c r="A28" s="2" t="str">
        <f t="shared" ca="1" si="0"/>
        <v>Electric</v>
      </c>
      <c r="B28" s="4">
        <f t="shared" ca="1" si="9"/>
        <v>43499</v>
      </c>
      <c r="C28" s="179" t="str">
        <f t="shared" ca="1" si="1"/>
        <v>Actual</v>
      </c>
      <c r="D28" s="17">
        <f t="shared" ca="1" si="10"/>
        <v>1770</v>
      </c>
      <c r="E28" s="17">
        <f t="shared" ca="1" si="2"/>
        <v>31</v>
      </c>
      <c r="F28" s="182">
        <f t="shared" ca="1" si="11"/>
        <v>39000</v>
      </c>
      <c r="G28" s="183">
        <f t="shared" ca="1" si="3"/>
        <v>111.2</v>
      </c>
      <c r="H28" s="184">
        <f ca="1">IF($A28="","",+Rates!N22)</f>
        <v>235.09000000000003</v>
      </c>
      <c r="I28" s="184">
        <f ca="1">IF($A28="","",+ROUND(Rates!O22,2))</f>
        <v>3322.8</v>
      </c>
      <c r="J28" s="184">
        <f ca="1">IF($A28="","",IF(F28=0,0,+ROUND(Rates!P22,2)))</f>
        <v>1322.17</v>
      </c>
      <c r="K28" s="184">
        <f ca="1">IF($A28="","",+ROUND(Rates!X22,2))</f>
        <v>9.32</v>
      </c>
      <c r="L28" s="184">
        <f ca="1">IF($A28="","",+ROUND(Rates!Q22,2))</f>
        <v>124.8</v>
      </c>
      <c r="M28" s="185">
        <f ca="1">IF($A28="","",+ROUND(Rates!R22,2))</f>
        <v>5014.18</v>
      </c>
      <c r="N28" s="186">
        <f t="shared" ca="1" si="12"/>
        <v>52419.354838709674</v>
      </c>
      <c r="O28" s="187">
        <f t="shared" ca="1" si="4"/>
        <v>0.47139707588767693</v>
      </c>
      <c r="P28" s="188">
        <f ca="1">IFERROR(SUM(INDIRECT("'FAF &amp; DDs'!"&amp;(ADDRESS(MATCH($B28-$E28,'FAF &amp; DDs'!$Q:$Q,0),COLUMN($R$1),2,1))&amp;":"&amp;(ADDRESS(MATCH($B28-1,'FAF &amp; DDs'!$Q:$Q,0),COLUMN($R$1),1))))/E28*30,-1)</f>
        <v>1178.4193548387098</v>
      </c>
      <c r="Q28" s="188">
        <f ca="1">IFERROR(SUM(INDIRECT("'FAF &amp; DDs'!"&amp;(ADDRESS(MATCH($B28-$E28,'FAF &amp; DDs'!$Q:$Q,0),COLUMN($S$1),2,1))&amp;":"&amp;(ADDRESS(MATCH($B28-1,'FAF &amp; DDs'!$Q:$Q,0),COLUMN($S$1),1))))/E28*30,-1)</f>
        <v>0</v>
      </c>
      <c r="R28" s="176">
        <f t="shared" ca="1" si="13"/>
        <v>6</v>
      </c>
      <c r="S28">
        <f ca="1">IF(ROW()&gt;MIN(($AB$8,$AB$7))+11,0,MATCH(V28,INDIRECT("'Reading History'!B"&amp;$Y$5&amp;":b"&amp;$Y$6),-1))</f>
        <v>17</v>
      </c>
      <c r="T28" s="49"/>
      <c r="U28" s="152">
        <f t="shared" ca="1" si="5"/>
        <v>43499</v>
      </c>
      <c r="V28" s="4">
        <f t="shared" ca="1" si="14"/>
        <v>43502</v>
      </c>
      <c r="W28">
        <f t="shared" ca="1" si="6"/>
        <v>3</v>
      </c>
      <c r="X28">
        <f t="shared" ca="1" si="7"/>
        <v>29</v>
      </c>
      <c r="AB28" s="176">
        <f t="shared" ca="1" si="15"/>
        <v>0</v>
      </c>
    </row>
    <row r="29" spans="1:30" ht="15" customHeight="1" x14ac:dyDescent="0.2">
      <c r="A29" s="2" t="str">
        <f t="shared" ca="1" si="0"/>
        <v>Electric</v>
      </c>
      <c r="B29" s="4">
        <f t="shared" ca="1" si="9"/>
        <v>43468</v>
      </c>
      <c r="C29" s="179" t="str">
        <f t="shared" ca="1" si="1"/>
        <v>Actual</v>
      </c>
      <c r="D29" s="17">
        <f t="shared" ca="1" si="10"/>
        <v>1575</v>
      </c>
      <c r="E29" s="17">
        <f t="shared" ca="1" si="2"/>
        <v>31</v>
      </c>
      <c r="F29" s="182">
        <f t="shared" ca="1" si="11"/>
        <v>35600</v>
      </c>
      <c r="G29" s="183">
        <f t="shared" ca="1" si="3"/>
        <v>99.14</v>
      </c>
      <c r="H29" s="184">
        <f ca="1">IF($A29="","",+Rates!N23)</f>
        <v>235.09000000000003</v>
      </c>
      <c r="I29" s="184">
        <f ca="1">IF($A29="","",+ROUND(Rates!O23,2))</f>
        <v>3033.12</v>
      </c>
      <c r="J29" s="184">
        <f ca="1">IF($A29="","",IF(F29=0,0,+ROUND(Rates!P23,2)))</f>
        <v>1178.77</v>
      </c>
      <c r="K29" s="184">
        <f ca="1">IF($A29="","",+ROUND(Rates!X23,2))</f>
        <v>210.89</v>
      </c>
      <c r="L29" s="184">
        <f ca="1">IF($A29="","",+ROUND(Rates!Q23,2))</f>
        <v>113.92</v>
      </c>
      <c r="M29" s="185">
        <f ca="1">IF($A29="","",+ROUND(Rates!R23,2))</f>
        <v>4771.79</v>
      </c>
      <c r="N29" s="186">
        <f t="shared" ca="1" si="12"/>
        <v>47849.462365591397</v>
      </c>
      <c r="O29" s="187">
        <f t="shared" ca="1" si="4"/>
        <v>0.48264537387120632</v>
      </c>
      <c r="P29" s="188">
        <f ca="1">IFERROR(SUM(INDIRECT("'FAF &amp; DDs'!"&amp;(ADDRESS(MATCH($B29-$E29,'FAF &amp; DDs'!$Q:$Q,0),COLUMN($R$1),2,1))&amp;":"&amp;(ADDRESS(MATCH($B29-1,'FAF &amp; DDs'!$Q:$Q,0),COLUMN($R$1),1))))/E29*30,-1)</f>
        <v>941.90322580645159</v>
      </c>
      <c r="Q29" s="188">
        <f ca="1">IFERROR(SUM(INDIRECT("'FAF &amp; DDs'!"&amp;(ADDRESS(MATCH($B29-$E29,'FAF &amp; DDs'!$Q:$Q,0),COLUMN($S$1),2,1))&amp;":"&amp;(ADDRESS(MATCH($B29-1,'FAF &amp; DDs'!$Q:$Q,0),COLUMN($S$1),1))))/E29*30,-1)</f>
        <v>0</v>
      </c>
      <c r="R29" s="176">
        <f t="shared" ca="1" si="13"/>
        <v>6</v>
      </c>
      <c r="S29">
        <f ca="1">IF(ROW()&gt;MIN(($AB$8,$AB$7))+11,0,MATCH(V29,INDIRECT("'Reading History'!B"&amp;$Y$5&amp;":b"&amp;$Y$6),-1))</f>
        <v>18</v>
      </c>
      <c r="T29" s="49"/>
      <c r="U29" s="152">
        <f t="shared" ca="1" si="5"/>
        <v>43468</v>
      </c>
      <c r="V29" s="4">
        <f t="shared" ca="1" si="14"/>
        <v>43473</v>
      </c>
      <c r="W29">
        <f t="shared" ca="1" si="6"/>
        <v>5</v>
      </c>
      <c r="X29">
        <f t="shared" ca="1" si="7"/>
        <v>33</v>
      </c>
      <c r="AB29" s="176">
        <f t="shared" ca="1" si="15"/>
        <v>0</v>
      </c>
    </row>
    <row r="30" spans="1:30" ht="15" customHeight="1" x14ac:dyDescent="0.2">
      <c r="A30" s="2" t="str">
        <f t="shared" ca="1" si="0"/>
        <v>Electric</v>
      </c>
      <c r="B30" s="4">
        <f t="shared" ca="1" si="9"/>
        <v>43437</v>
      </c>
      <c r="C30" s="179" t="str">
        <f t="shared" ca="1" si="1"/>
        <v>Actual</v>
      </c>
      <c r="D30" s="17">
        <f t="shared" ca="1" si="10"/>
        <v>1397</v>
      </c>
      <c r="E30" s="17">
        <f t="shared" ca="1" si="2"/>
        <v>30</v>
      </c>
      <c r="F30" s="182">
        <f t="shared" ca="1" si="11"/>
        <v>34600</v>
      </c>
      <c r="G30" s="183">
        <f t="shared" ca="1" si="3"/>
        <v>111.34</v>
      </c>
      <c r="H30" s="184">
        <f ca="1">IF($A30="","",+Rates!N24)</f>
        <v>235.08999999999989</v>
      </c>
      <c r="I30" s="184">
        <f ca="1">IF($A30="","",+ROUND(Rates!O24,2))</f>
        <v>2947.92</v>
      </c>
      <c r="J30" s="184">
        <f ca="1">IF($A30="","",IF(F30=0,0,+ROUND(Rates!P24,2)))</f>
        <v>1323.83</v>
      </c>
      <c r="K30" s="184">
        <f ca="1">IF($A30="","",+ROUND(Rates!X24,2))</f>
        <v>366.1</v>
      </c>
      <c r="L30" s="184">
        <f ca="1">IF($A30="","",+ROUND(Rates!Q24,2))</f>
        <v>110.72</v>
      </c>
      <c r="M30" s="185">
        <f ca="1">IF($A30="","",+ROUND(Rates!R24,2))</f>
        <v>4983.66</v>
      </c>
      <c r="N30" s="186">
        <f t="shared" ca="1" si="12"/>
        <v>48055.555555555547</v>
      </c>
      <c r="O30" s="187">
        <f t="shared" ca="1" si="4"/>
        <v>0.43161088158393707</v>
      </c>
      <c r="P30" s="188">
        <f ca="1">IFERROR(SUM(INDIRECT("'FAF &amp; DDs'!"&amp;(ADDRESS(MATCH($B30-$E30,'FAF &amp; DDs'!$Q:$Q,0),COLUMN($R$1),2,1))&amp;":"&amp;(ADDRESS(MATCH($B30-1,'FAF &amp; DDs'!$Q:$Q,0),COLUMN($R$1),1))))/E30*30,-1)</f>
        <v>881.19999999999993</v>
      </c>
      <c r="Q30" s="188">
        <f ca="1">IFERROR(SUM(INDIRECT("'FAF &amp; DDs'!"&amp;(ADDRESS(MATCH($B30-$E30,'FAF &amp; DDs'!$Q:$Q,0),COLUMN($S$1),2,1))&amp;":"&amp;(ADDRESS(MATCH($B30-1,'FAF &amp; DDs'!$Q:$Q,0),COLUMN($S$1),1))))/E30*30,-1)</f>
        <v>0</v>
      </c>
      <c r="R30" s="176">
        <f t="shared" ca="1" si="13"/>
        <v>6</v>
      </c>
      <c r="S30">
        <f ca="1">IF(ROW()&gt;MIN(($AB$8,$AB$7))+11,0,MATCH(V30,INDIRECT("'Reading History'!B"&amp;$Y$5&amp;":b"&amp;$Y$6),-1))</f>
        <v>19</v>
      </c>
      <c r="T30" s="49"/>
      <c r="U30" s="152">
        <f t="shared" ca="1" si="5"/>
        <v>43437</v>
      </c>
      <c r="V30" s="4">
        <f t="shared" ca="1" si="14"/>
        <v>43440</v>
      </c>
      <c r="W30">
        <f t="shared" ca="1" si="6"/>
        <v>3</v>
      </c>
      <c r="X30">
        <f t="shared" ca="1" si="7"/>
        <v>30</v>
      </c>
      <c r="AB30" s="176">
        <f t="shared" ca="1" si="15"/>
        <v>0</v>
      </c>
    </row>
    <row r="31" spans="1:30" ht="15" customHeight="1" x14ac:dyDescent="0.2">
      <c r="A31" s="2" t="str">
        <f t="shared" ca="1" si="0"/>
        <v>Electric</v>
      </c>
      <c r="B31" s="4">
        <f t="shared" ca="1" si="9"/>
        <v>43407</v>
      </c>
      <c r="C31" s="179" t="str">
        <f t="shared" ca="1" si="1"/>
        <v>Actual</v>
      </c>
      <c r="D31" s="17">
        <f t="shared" ca="1" si="10"/>
        <v>1224</v>
      </c>
      <c r="E31" s="17">
        <f t="shared" ca="1" si="2"/>
        <v>31</v>
      </c>
      <c r="F31" s="182">
        <f t="shared" ca="1" si="11"/>
        <v>39000</v>
      </c>
      <c r="G31" s="183">
        <f t="shared" ca="1" si="3"/>
        <v>133.69999999999999</v>
      </c>
      <c r="H31" s="184">
        <f ca="1">IF($A31="","",+Rates!N25)</f>
        <v>235.08999999999992</v>
      </c>
      <c r="I31" s="184">
        <f ca="1">IF($A31="","",+ROUND(Rates!O25,2))</f>
        <v>3322.8</v>
      </c>
      <c r="J31" s="184">
        <f ca="1">IF($A31="","",IF(F31=0,0,+ROUND(Rates!P25,2)))</f>
        <v>1589.69</v>
      </c>
      <c r="K31" s="184">
        <f ca="1">IF($A31="","",+ROUND(Rates!X25,2))</f>
        <v>154.56</v>
      </c>
      <c r="L31" s="184">
        <f ca="1">IF($A31="","",+ROUND(Rates!Q25,2))</f>
        <v>124.8</v>
      </c>
      <c r="M31" s="185">
        <f ca="1">IF($A31="","",+ROUND(Rates!R25,2))</f>
        <v>5426.94</v>
      </c>
      <c r="N31" s="186">
        <f t="shared" ca="1" si="12"/>
        <v>52419.354838709674</v>
      </c>
      <c r="O31" s="187">
        <f t="shared" ca="1" si="4"/>
        <v>0.39206697710328858</v>
      </c>
      <c r="P31" s="188">
        <f ca="1">IFERROR(SUM(INDIRECT("'FAF &amp; DDs'!"&amp;(ADDRESS(MATCH($B31-$E31,'FAF &amp; DDs'!$Q:$Q,0),COLUMN($R$1),2,1))&amp;":"&amp;(ADDRESS(MATCH($B31-1,'FAF &amp; DDs'!$Q:$Q,0),COLUMN($R$1),1))))/E31*30,-1)</f>
        <v>414.19354838709677</v>
      </c>
      <c r="Q31" s="188">
        <f ca="1">IFERROR(SUM(INDIRECT("'FAF &amp; DDs'!"&amp;(ADDRESS(MATCH($B31-$E31,'FAF &amp; DDs'!$Q:$Q,0),COLUMN($S$1),2,1))&amp;":"&amp;(ADDRESS(MATCH($B31-1,'FAF &amp; DDs'!$Q:$Q,0),COLUMN($S$1),1))))/E31*30,-1)</f>
        <v>61.548387096774199</v>
      </c>
      <c r="R31" s="176">
        <f t="shared" ca="1" si="13"/>
        <v>6</v>
      </c>
      <c r="S31">
        <f ca="1">IF(ROW()&gt;MIN(($AB$8,$AB$7))+11,0,MATCH(V31,INDIRECT("'Reading History'!B"&amp;$Y$5&amp;":b"&amp;$Y$6),-1))</f>
        <v>20</v>
      </c>
      <c r="T31" s="49"/>
      <c r="U31" s="152">
        <f t="shared" ca="1" si="5"/>
        <v>43407</v>
      </c>
      <c r="V31" s="4">
        <f t="shared" ca="1" si="14"/>
        <v>43410</v>
      </c>
      <c r="W31">
        <f t="shared" ca="1" si="6"/>
        <v>3</v>
      </c>
      <c r="X31">
        <f t="shared" ca="1" si="7"/>
        <v>32</v>
      </c>
      <c r="AB31" s="176">
        <f t="shared" ca="1" si="15"/>
        <v>0</v>
      </c>
    </row>
    <row r="32" spans="1:30" ht="15" customHeight="1" x14ac:dyDescent="0.2">
      <c r="A32" s="2" t="str">
        <f t="shared" ca="1" si="0"/>
        <v>Electric</v>
      </c>
      <c r="B32" s="4">
        <f t="shared" ca="1" si="9"/>
        <v>43376</v>
      </c>
      <c r="C32" s="179" t="str">
        <f t="shared" ca="1" si="1"/>
        <v>Actual</v>
      </c>
      <c r="D32" s="17">
        <f t="shared" ca="1" si="10"/>
        <v>1029</v>
      </c>
      <c r="E32" s="17">
        <f t="shared" ca="1" si="2"/>
        <v>30</v>
      </c>
      <c r="F32" s="182">
        <f t="shared" ca="1" si="11"/>
        <v>44200</v>
      </c>
      <c r="G32" s="183">
        <f t="shared" ca="1" si="3"/>
        <v>150.44</v>
      </c>
      <c r="H32" s="184">
        <f ca="1">IF($A32="","",+Rates!N26)</f>
        <v>235.09</v>
      </c>
      <c r="I32" s="184">
        <f ca="1">IF($A32="","",+ROUND(Rates!O26,2))</f>
        <v>3840.1</v>
      </c>
      <c r="J32" s="184">
        <f ca="1">IF($A32="","",IF(F32=0,0,+ROUND(Rates!P26,2)))</f>
        <v>1852.52</v>
      </c>
      <c r="K32" s="184">
        <f ca="1">IF($A32="","",+ROUND(Rates!X26,2))</f>
        <v>-264.54000000000002</v>
      </c>
      <c r="L32" s="184">
        <f ca="1">IF($A32="","",+ROUND(Rates!Q26,2))</f>
        <v>141.44</v>
      </c>
      <c r="M32" s="185">
        <f ca="1">IF($A32="","",+ROUND(Rates!R26,2))</f>
        <v>5804.61</v>
      </c>
      <c r="N32" s="186">
        <f t="shared" ca="1" si="12"/>
        <v>61388.888888888883</v>
      </c>
      <c r="O32" s="187">
        <f t="shared" ca="1" si="4"/>
        <v>0.40806227658128752</v>
      </c>
      <c r="P32" s="188">
        <f ca="1">IFERROR(SUM(INDIRECT("'FAF &amp; DDs'!"&amp;(ADDRESS(MATCH($B32-$E32,'FAF &amp; DDs'!$Q:$Q,0),COLUMN($R$1),2,1))&amp;":"&amp;(ADDRESS(MATCH($B32-1,'FAF &amp; DDs'!$Q:$Q,0),COLUMN($R$1),1))))/E32*30,-1)</f>
        <v>66.8</v>
      </c>
      <c r="Q32" s="188">
        <f ca="1">IFERROR(SUM(INDIRECT("'FAF &amp; DDs'!"&amp;(ADDRESS(MATCH($B32-$E32,'FAF &amp; DDs'!$Q:$Q,0),COLUMN($S$1),2,1))&amp;":"&amp;(ADDRESS(MATCH($B32-1,'FAF &amp; DDs'!$Q:$Q,0),COLUMN($S$1),1))))/E32*30,-1)</f>
        <v>253.69999999999996</v>
      </c>
      <c r="R32" s="176">
        <f t="shared" ca="1" si="13"/>
        <v>6</v>
      </c>
      <c r="S32">
        <f ca="1">IF(ROW()&gt;MIN(($AB$8,$AB$7))+11,0,MATCH(V32,INDIRECT("'Reading History'!B"&amp;$Y$5&amp;":b"&amp;$Y$6),-1))</f>
        <v>21</v>
      </c>
      <c r="T32" s="49"/>
      <c r="U32" s="152">
        <f t="shared" ca="1" si="5"/>
        <v>43376</v>
      </c>
      <c r="V32" s="4">
        <f t="shared" ca="1" si="14"/>
        <v>43378</v>
      </c>
      <c r="W32">
        <f t="shared" ca="1" si="6"/>
        <v>2</v>
      </c>
      <c r="X32">
        <f t="shared" ca="1" si="7"/>
        <v>25</v>
      </c>
      <c r="AB32" s="176">
        <f t="shared" ca="1" si="15"/>
        <v>0</v>
      </c>
    </row>
    <row r="33" spans="1:28" ht="15" customHeight="1" x14ac:dyDescent="0.2">
      <c r="A33" s="2" t="str">
        <f t="shared" ca="1" si="0"/>
        <v>Electric</v>
      </c>
      <c r="B33" s="4">
        <f t="shared" ca="1" si="9"/>
        <v>43346</v>
      </c>
      <c r="C33" s="179" t="str">
        <f t="shared" ca="1" si="1"/>
        <v>Actual</v>
      </c>
      <c r="D33" s="17">
        <f t="shared" ca="1" si="10"/>
        <v>808</v>
      </c>
      <c r="E33" s="17">
        <f t="shared" ca="1" si="2"/>
        <v>31</v>
      </c>
      <c r="F33" s="182">
        <f t="shared" ca="1" si="11"/>
        <v>47000</v>
      </c>
      <c r="G33" s="183">
        <f t="shared" ca="1" si="3"/>
        <v>148</v>
      </c>
      <c r="H33" s="184">
        <f ca="1">IF($A33="","",+Rates!N27)</f>
        <v>235.09000000000003</v>
      </c>
      <c r="I33" s="184">
        <f ca="1">IF($A33="","",+ROUND(Rates!O27,2))</f>
        <v>4399.2</v>
      </c>
      <c r="J33" s="184">
        <f ca="1">IF($A33="","",IF(F33=0,0,+ROUND(Rates!P27,2)))</f>
        <v>2073.48</v>
      </c>
      <c r="K33" s="184">
        <f ca="1">IF($A33="","",+ROUND(Rates!X27,2))</f>
        <v>-129.02000000000001</v>
      </c>
      <c r="L33" s="184">
        <f ca="1">IF($A33="","",+ROUND(Rates!Q27,2))</f>
        <v>150.4</v>
      </c>
      <c r="M33" s="185">
        <f ca="1">IF($A33="","",+ROUND(Rates!R27,2))</f>
        <v>6729.15</v>
      </c>
      <c r="N33" s="186">
        <f t="shared" ca="1" si="12"/>
        <v>63172.043010752692</v>
      </c>
      <c r="O33" s="187">
        <f t="shared" ca="1" si="4"/>
        <v>0.4268381284510317</v>
      </c>
      <c r="P33" s="188">
        <f ca="1">IFERROR(SUM(INDIRECT("'FAF &amp; DDs'!"&amp;(ADDRESS(MATCH($B33-$E33,'FAF &amp; DDs'!$Q:$Q,0),COLUMN($R$1),2,1))&amp;":"&amp;(ADDRESS(MATCH($B33-1,'FAF &amp; DDs'!$Q:$Q,0),COLUMN($R$1),1))))/E33*30,-1)</f>
        <v>4.3548387096774199</v>
      </c>
      <c r="Q33" s="188">
        <f ca="1">IFERROR(SUM(INDIRECT("'FAF &amp; DDs'!"&amp;(ADDRESS(MATCH($B33-$E33,'FAF &amp; DDs'!$Q:$Q,0),COLUMN($S$1),2,1))&amp;":"&amp;(ADDRESS(MATCH($B33-1,'FAF &amp; DDs'!$Q:$Q,0),COLUMN($S$1),1))))/E33*30,-1)</f>
        <v>370.83870967741933</v>
      </c>
      <c r="R33" s="176">
        <f t="shared" ca="1" si="13"/>
        <v>6</v>
      </c>
      <c r="S33">
        <f ca="1">IF(ROW()&gt;MIN(($AB$8,$AB$7))+11,0,MATCH(V33,INDIRECT("'Reading History'!B"&amp;$Y$5&amp;":b"&amp;$Y$6),-1))</f>
        <v>22</v>
      </c>
      <c r="T33" s="49"/>
      <c r="U33" s="152">
        <f t="shared" ca="1" si="5"/>
        <v>43346</v>
      </c>
      <c r="V33" s="4">
        <f t="shared" ca="1" si="14"/>
        <v>43353</v>
      </c>
      <c r="W33">
        <f t="shared" ca="1" si="6"/>
        <v>7</v>
      </c>
      <c r="X33">
        <f t="shared" ca="1" si="7"/>
        <v>35</v>
      </c>
      <c r="AB33" s="176">
        <f t="shared" ca="1" si="15"/>
        <v>0</v>
      </c>
    </row>
    <row r="34" spans="1:28" ht="15" customHeight="1" x14ac:dyDescent="0.2">
      <c r="A34" s="2" t="str">
        <f t="shared" ca="1" si="0"/>
        <v>Electric</v>
      </c>
      <c r="B34" s="4">
        <f t="shared" ca="1" si="9"/>
        <v>43315</v>
      </c>
      <c r="C34" s="179" t="str">
        <f t="shared" ca="1" si="1"/>
        <v>Actual</v>
      </c>
      <c r="D34" s="17">
        <f t="shared" ca="1" si="10"/>
        <v>573</v>
      </c>
      <c r="E34" s="17">
        <f t="shared" ca="1" si="2"/>
        <v>31</v>
      </c>
      <c r="F34" s="182">
        <f t="shared" ca="1" si="11"/>
        <v>48600</v>
      </c>
      <c r="G34" s="183">
        <f t="shared" ca="1" si="3"/>
        <v>150.24</v>
      </c>
      <c r="H34" s="184">
        <f ca="1">IF($A34="","",+Rates!N28)</f>
        <v>235.09</v>
      </c>
      <c r="I34" s="184">
        <f ca="1">IF($A34="","",+ROUND(Rates!O28,2))</f>
        <v>4548.96</v>
      </c>
      <c r="J34" s="184">
        <f ca="1">IF($A34="","",IF(F34=0,0,+ROUND(Rates!P28,2)))</f>
        <v>2104.86</v>
      </c>
      <c r="K34" s="184">
        <f ca="1">IF($A34="","",+ROUND(Rates!X28,2))</f>
        <v>125.87</v>
      </c>
      <c r="L34" s="184">
        <f ca="1">IF($A34="","",+ROUND(Rates!Q28,2))</f>
        <v>155.52000000000001</v>
      </c>
      <c r="M34" s="185">
        <f ca="1">IF($A34="","",+ROUND(Rates!R28,2))</f>
        <v>7170.3</v>
      </c>
      <c r="N34" s="186">
        <f t="shared" ca="1" si="12"/>
        <v>65322.580645161295</v>
      </c>
      <c r="O34" s="187">
        <f t="shared" ca="1" si="4"/>
        <v>0.43478820983201066</v>
      </c>
      <c r="P34" s="188">
        <f ca="1">IFERROR(SUM(INDIRECT("'FAF &amp; DDs'!"&amp;(ADDRESS(MATCH($B34-$E34,'FAF &amp; DDs'!$Q:$Q,0),COLUMN($R$1),2,1))&amp;":"&amp;(ADDRESS(MATCH($B34-1,'FAF &amp; DDs'!$Q:$Q,0),COLUMN($R$1),1))))/E34*30,-1)</f>
        <v>8.8064516129032242</v>
      </c>
      <c r="Q34" s="188">
        <f ca="1">IFERROR(SUM(INDIRECT("'FAF &amp; DDs'!"&amp;(ADDRESS(MATCH($B34-$E34,'FAF &amp; DDs'!$Q:$Q,0),COLUMN($S$1),2,1))&amp;":"&amp;(ADDRESS(MATCH($B34-1,'FAF &amp; DDs'!$Q:$Q,0),COLUMN($S$1),1))))/E34*30,-1)</f>
        <v>325.35483870967744</v>
      </c>
      <c r="R34" s="176">
        <f t="shared" ca="1" si="13"/>
        <v>6</v>
      </c>
      <c r="S34">
        <f ca="1">IF(ROW()&gt;MIN(($AB$8,$AB$7))+11,0,MATCH(V34,INDIRECT("'Reading History'!B"&amp;$Y$5&amp;":b"&amp;$Y$6),-1))</f>
        <v>23</v>
      </c>
      <c r="T34" s="49"/>
      <c r="U34" s="152">
        <f t="shared" ca="1" si="5"/>
        <v>43315</v>
      </c>
      <c r="V34" s="4">
        <f t="shared" ca="1" si="14"/>
        <v>43318</v>
      </c>
      <c r="W34">
        <f t="shared" ca="1" si="6"/>
        <v>3</v>
      </c>
      <c r="X34">
        <f t="shared" ca="1" si="7"/>
        <v>28</v>
      </c>
      <c r="AB34" s="176">
        <f t="shared" ca="1" si="15"/>
        <v>0</v>
      </c>
    </row>
    <row r="35" spans="1:28" ht="15" customHeight="1" x14ac:dyDescent="0.2">
      <c r="A35" s="2" t="str">
        <f t="shared" ca="1" si="0"/>
        <v>Electric</v>
      </c>
      <c r="B35" s="4">
        <f t="shared" ca="1" si="9"/>
        <v>43284</v>
      </c>
      <c r="C35" s="179" t="str">
        <f t="shared" ca="1" si="1"/>
        <v>Actual</v>
      </c>
      <c r="D35" s="17">
        <f t="shared" ca="1" si="10"/>
        <v>330</v>
      </c>
      <c r="E35" s="17">
        <f t="shared" ca="1" si="2"/>
        <v>30</v>
      </c>
      <c r="F35" s="182">
        <f t="shared" ca="1" si="11"/>
        <v>47000</v>
      </c>
      <c r="G35" s="183">
        <f t="shared" ca="1" si="3"/>
        <v>156.6</v>
      </c>
      <c r="H35" s="184">
        <f ca="1">IF($A35="","",+Rates!N29)</f>
        <v>235.09000000000003</v>
      </c>
      <c r="I35" s="184">
        <f ca="1">IF($A35="","",+ROUND(Rates!O29,2))</f>
        <v>4399.2</v>
      </c>
      <c r="J35" s="184">
        <f ca="1">IF($A35="","",IF(F35=0,0,+ROUND(Rates!P29,2)))</f>
        <v>2193.9699999999998</v>
      </c>
      <c r="K35" s="184">
        <f ca="1">IF($A35="","",+ROUND(Rates!X29,2))</f>
        <v>328.48</v>
      </c>
      <c r="L35" s="184">
        <f ca="1">IF($A35="","",+ROUND(Rates!Q29,2))</f>
        <v>150.4</v>
      </c>
      <c r="M35" s="185">
        <f ca="1">IF($A35="","",+ROUND(Rates!R29,2))</f>
        <v>7307.14</v>
      </c>
      <c r="N35" s="186">
        <f t="shared" ca="1" si="12"/>
        <v>65277.777777777788</v>
      </c>
      <c r="O35" s="187">
        <f t="shared" ca="1" si="4"/>
        <v>0.41684404711224632</v>
      </c>
      <c r="P35" s="188">
        <f ca="1">IFERROR(SUM(INDIRECT("'FAF &amp; DDs'!"&amp;(ADDRESS(MATCH($B35-$E35,'FAF &amp; DDs'!$Q:$Q,0),COLUMN($R$1),2,1))&amp;":"&amp;(ADDRESS(MATCH($B35-1,'FAF &amp; DDs'!$Q:$Q,0),COLUMN($R$1),1))))/E35*30,-1)</f>
        <v>7.2</v>
      </c>
      <c r="Q35" s="188">
        <f ca="1">IFERROR(SUM(INDIRECT("'FAF &amp; DDs'!"&amp;(ADDRESS(MATCH($B35-$E35,'FAF &amp; DDs'!$Q:$Q,0),COLUMN($S$1),2,1))&amp;":"&amp;(ADDRESS(MATCH($B35-1,'FAF &amp; DDs'!$Q:$Q,0),COLUMN($S$1),1))))/E35*30,-1)</f>
        <v>378.2999999999999</v>
      </c>
      <c r="R35" s="176">
        <f t="shared" ca="1" si="13"/>
        <v>6</v>
      </c>
      <c r="S35">
        <f ca="1">IF(ROW()&gt;MIN(($AB$8,$AB$7))+11,0,MATCH(V35,INDIRECT("'Reading History'!B"&amp;$Y$5&amp;":b"&amp;$Y$6),-1))</f>
        <v>24</v>
      </c>
      <c r="T35" s="49"/>
      <c r="U35" s="152">
        <f t="shared" ca="1" si="5"/>
        <v>43284</v>
      </c>
      <c r="V35" s="4">
        <f t="shared" ca="1" si="14"/>
        <v>43290</v>
      </c>
      <c r="W35">
        <f t="shared" ca="1" si="6"/>
        <v>6</v>
      </c>
      <c r="X35">
        <f t="shared" ca="1" si="7"/>
        <v>33</v>
      </c>
      <c r="AB35" s="176">
        <f t="shared" ca="1" si="15"/>
        <v>0</v>
      </c>
    </row>
    <row r="36" spans="1:28" ht="15" customHeight="1" x14ac:dyDescent="0.2">
      <c r="A36" s="2" t="str">
        <f t="shared" ca="1" si="0"/>
        <v>Electric</v>
      </c>
      <c r="B36" s="4">
        <f t="shared" ca="1" si="9"/>
        <v>43254</v>
      </c>
      <c r="C36" s="179" t="str">
        <f t="shared" ca="1" si="1"/>
        <v>Actual</v>
      </c>
      <c r="D36" s="17">
        <f t="shared" ca="1" si="10"/>
        <v>95</v>
      </c>
      <c r="E36" s="17">
        <f t="shared" ca="1" si="2"/>
        <v>31</v>
      </c>
      <c r="F36" s="182">
        <f t="shared" ca="1" si="11"/>
        <v>32000</v>
      </c>
      <c r="G36" s="183">
        <f t="shared" ca="1" si="3"/>
        <v>142.82</v>
      </c>
      <c r="H36" s="184">
        <f ca="1">IF($A36="","",+Rates!N30)</f>
        <v>235.09</v>
      </c>
      <c r="I36" s="184">
        <f ca="1">IF($A36="","",+ROUND(Rates!O30,2))</f>
        <v>2945.42</v>
      </c>
      <c r="J36" s="184">
        <f ca="1">IF($A36="","",IF(F36=0,0,+ROUND(Rates!P30,2)))</f>
        <v>1944.84</v>
      </c>
      <c r="K36" s="184">
        <f ca="1">IF($A36="","",+ROUND(Rates!X30,2))</f>
        <v>257.57</v>
      </c>
      <c r="L36" s="184">
        <f ca="1">IF($A36="","",+ROUND(Rates!Q30,2))</f>
        <v>102.4</v>
      </c>
      <c r="M36" s="185">
        <f ca="1">IF($A36="","",+ROUND(Rates!R30,2))</f>
        <v>5485.32</v>
      </c>
      <c r="N36" s="186">
        <f t="shared" ca="1" si="12"/>
        <v>43010.752688172041</v>
      </c>
      <c r="O36" s="187">
        <f t="shared" ca="1" si="4"/>
        <v>0.30115356874507804</v>
      </c>
      <c r="P36" s="188">
        <f ca="1">IFERROR(SUM(INDIRECT("'FAF &amp; DDs'!"&amp;(ADDRESS(MATCH($B36-$E36,'FAF &amp; DDs'!$Q:$Q,0),COLUMN($R$1),2,1))&amp;":"&amp;(ADDRESS(MATCH($B36-1,'FAF &amp; DDs'!$Q:$Q,0),COLUMN($R$1),1))))/E36*30,-1)</f>
        <v>17.806451612903224</v>
      </c>
      <c r="Q36" s="188">
        <f ca="1">IFERROR(SUM(INDIRECT("'FAF &amp; DDs'!"&amp;(ADDRESS(MATCH($B36-$E36,'FAF &amp; DDs'!$Q:$Q,0),COLUMN($S$1),2,1))&amp;":"&amp;(ADDRESS(MATCH($B36-1,'FAF &amp; DDs'!$Q:$Q,0),COLUMN($S$1),1))))/E36*30,-1)</f>
        <v>304.8387096774195</v>
      </c>
      <c r="R36" s="176">
        <f t="shared" ca="1" si="13"/>
        <v>6</v>
      </c>
      <c r="S36">
        <f ca="1">IF(ROW()&gt;MIN(($AB$8,$AB$7))+11,0,MATCH(V36,INDIRECT("'Reading History'!B"&amp;$Y$5&amp;":b"&amp;$Y$6),-1))</f>
        <v>25</v>
      </c>
      <c r="T36" s="49"/>
      <c r="U36" s="152">
        <f t="shared" ca="1" si="5"/>
        <v>43254</v>
      </c>
      <c r="V36" s="4">
        <f t="shared" ca="1" si="14"/>
        <v>43257</v>
      </c>
      <c r="W36">
        <f t="shared" ca="1" si="6"/>
        <v>3</v>
      </c>
      <c r="X36">
        <f t="shared" ca="1" si="7"/>
        <v>27</v>
      </c>
      <c r="AB36" s="176">
        <f t="shared" ca="1" si="15"/>
        <v>0</v>
      </c>
    </row>
    <row r="37" spans="1:28" ht="15" customHeight="1" x14ac:dyDescent="0.2">
      <c r="A37" s="2" t="str">
        <f t="shared" ca="1" si="0"/>
        <v>Electric</v>
      </c>
      <c r="B37" s="4">
        <f t="shared" ca="1" si="9"/>
        <v>43223</v>
      </c>
      <c r="C37" s="179" t="str">
        <f t="shared" ca="1" si="1"/>
        <v>Actual</v>
      </c>
      <c r="D37" s="17">
        <f t="shared" ca="1" si="10"/>
        <v>6864</v>
      </c>
      <c r="E37" s="17">
        <f t="shared" ca="1" si="2"/>
        <v>31</v>
      </c>
      <c r="F37" s="182">
        <f t="shared" ca="1" si="11"/>
        <v>45000</v>
      </c>
      <c r="G37" s="183">
        <f t="shared" ca="1" si="3"/>
        <v>139.6</v>
      </c>
      <c r="H37" s="184">
        <f ca="1">IF($A37="","",+Rates!N31)</f>
        <v>235.08999999999995</v>
      </c>
      <c r="I37" s="184">
        <f ca="1">IF($A37="","",+ROUND(Rates!O31,2))</f>
        <v>3834</v>
      </c>
      <c r="J37" s="184">
        <f ca="1">IF($A37="","",IF(F37=0,0,+ROUND(Rates!P31,2)))</f>
        <v>1659.84</v>
      </c>
      <c r="K37" s="184">
        <f ca="1">IF($A37="","",+ROUND(Rates!X31,2))</f>
        <v>332.06</v>
      </c>
      <c r="L37" s="184">
        <f ca="1">IF($A37="","",+ROUND(Rates!Q31,2))</f>
        <v>144</v>
      </c>
      <c r="M37" s="185">
        <f ca="1">IF($A37="","",+ROUND(Rates!R31,2))</f>
        <v>6204.99</v>
      </c>
      <c r="N37" s="186">
        <f t="shared" ca="1" si="12"/>
        <v>60483.870967741932</v>
      </c>
      <c r="O37" s="187">
        <f t="shared" ca="1" si="4"/>
        <v>0.43326555134485628</v>
      </c>
      <c r="P37" s="188">
        <f ca="1">IFERROR(SUM(INDIRECT("'FAF &amp; DDs'!"&amp;(ADDRESS(MATCH($B37-$E37,'FAF &amp; DDs'!$Q:$Q,0),COLUMN($R$1),2,1))&amp;":"&amp;(ADDRESS(MATCH($B37-1,'FAF &amp; DDs'!$Q:$Q,0),COLUMN($R$1),1))))/E37*30,-1)</f>
        <v>489.29032258064512</v>
      </c>
      <c r="Q37" s="188">
        <f ca="1">IFERROR(SUM(INDIRECT("'FAF &amp; DDs'!"&amp;(ADDRESS(MATCH($B37-$E37,'FAF &amp; DDs'!$Q:$Q,0),COLUMN($S$1),2,1))&amp;":"&amp;(ADDRESS(MATCH($B37-1,'FAF &amp; DDs'!$Q:$Q,0),COLUMN($S$1),1))))/E37*30,-1)</f>
        <v>46.838709677419359</v>
      </c>
      <c r="R37" s="176">
        <f t="shared" ca="1" si="13"/>
        <v>6</v>
      </c>
      <c r="S37">
        <f ca="1">IF(ROW()&gt;MIN(($AB$8,$AB$7))+11,0,MATCH(V37,INDIRECT("'Reading History'!B"&amp;$Y$5&amp;":b"&amp;$Y$6),-1))</f>
        <v>26</v>
      </c>
      <c r="T37" s="49"/>
      <c r="U37" s="152">
        <f t="shared" ca="1" si="5"/>
        <v>43223</v>
      </c>
      <c r="V37" s="4">
        <f t="shared" ca="1" si="14"/>
        <v>43230</v>
      </c>
      <c r="W37">
        <f t="shared" ca="1" si="6"/>
        <v>7</v>
      </c>
      <c r="X37">
        <f t="shared" ca="1" si="7"/>
        <v>38</v>
      </c>
      <c r="AB37" s="176">
        <f t="shared" ca="1" si="15"/>
        <v>0</v>
      </c>
    </row>
    <row r="38" spans="1:28" ht="15" customHeight="1" x14ac:dyDescent="0.2">
      <c r="A38" s="2" t="str">
        <f t="shared" ca="1" si="0"/>
        <v>Electric</v>
      </c>
      <c r="B38" s="4">
        <f t="shared" ca="1" si="9"/>
        <v>43192</v>
      </c>
      <c r="C38" s="179" t="str">
        <f t="shared" ca="1" si="1"/>
        <v>Actual</v>
      </c>
      <c r="D38" s="17">
        <f t="shared" ca="1" si="10"/>
        <v>6639</v>
      </c>
      <c r="E38" s="17">
        <f t="shared" ca="1" si="2"/>
        <v>30</v>
      </c>
      <c r="F38" s="182">
        <f t="shared" ca="1" si="11"/>
        <v>38000</v>
      </c>
      <c r="G38" s="183">
        <f t="shared" ca="1" si="3"/>
        <v>125.14</v>
      </c>
      <c r="H38" s="184">
        <f ca="1">IF($A38="","",+Rates!N32)</f>
        <v>235.09</v>
      </c>
      <c r="I38" s="184">
        <f ca="1">IF($A38="","",+ROUND(Rates!O32,2))</f>
        <v>3237.6</v>
      </c>
      <c r="J38" s="184">
        <f ca="1">IF($A38="","",IF(F38=0,0,+ROUND(Rates!P32,2)))</f>
        <v>1487.91</v>
      </c>
      <c r="K38" s="184">
        <f ca="1">IF($A38="","",+ROUND(Rates!X32,2))</f>
        <v>315.55</v>
      </c>
      <c r="L38" s="184">
        <f ca="1">IF($A38="","",+ROUND(Rates!Q32,2))</f>
        <v>121.6</v>
      </c>
      <c r="M38" s="185">
        <f ca="1">IF($A38="","",+ROUND(Rates!R32,2))</f>
        <v>5397.75</v>
      </c>
      <c r="N38" s="186">
        <f t="shared" ca="1" si="12"/>
        <v>52777.777777777781</v>
      </c>
      <c r="O38" s="187">
        <f t="shared" ca="1" si="4"/>
        <v>0.42174986237636075</v>
      </c>
      <c r="P38" s="188">
        <f ca="1">IFERROR(SUM(INDIRECT("'FAF &amp; DDs'!"&amp;(ADDRESS(MATCH($B38-$E38,'FAF &amp; DDs'!$Q:$Q,0),COLUMN($R$1),2,1))&amp;":"&amp;(ADDRESS(MATCH($B38-1,'FAF &amp; DDs'!$Q:$Q,0),COLUMN($R$1),1))))/E38*30,-1)</f>
        <v>747.3</v>
      </c>
      <c r="Q38" s="188">
        <f ca="1">IFERROR(SUM(INDIRECT("'FAF &amp; DDs'!"&amp;(ADDRESS(MATCH($B38-$E38,'FAF &amp; DDs'!$Q:$Q,0),COLUMN($S$1),2,1))&amp;":"&amp;(ADDRESS(MATCH($B38-1,'FAF &amp; DDs'!$Q:$Q,0),COLUMN($S$1),1))))/E38*30,-1)</f>
        <v>0</v>
      </c>
      <c r="R38" s="176">
        <f t="shared" ca="1" si="13"/>
        <v>6</v>
      </c>
      <c r="S38">
        <f ca="1">IF(ROW()&gt;MIN(($AB$8,$AB$7))+11,0,MATCH(V38,INDIRECT("'Reading History'!B"&amp;$Y$5&amp;":b"&amp;$Y$6),-1))</f>
        <v>27</v>
      </c>
      <c r="T38" s="49"/>
      <c r="U38" s="152">
        <f t="shared" ca="1" si="5"/>
        <v>43193</v>
      </c>
      <c r="V38" s="4">
        <f t="shared" ca="1" si="14"/>
        <v>43192</v>
      </c>
      <c r="W38">
        <f t="shared" ca="1" si="6"/>
        <v>-1</v>
      </c>
      <c r="X38">
        <f t="shared" ca="1" si="7"/>
        <v>26</v>
      </c>
      <c r="AB38" s="176">
        <f t="shared" ca="1" si="15"/>
        <v>0</v>
      </c>
    </row>
    <row r="39" spans="1:28" ht="15" customHeight="1" x14ac:dyDescent="0.2">
      <c r="A39" s="2" t="str">
        <f t="shared" ca="1" si="0"/>
        <v>Electric</v>
      </c>
      <c r="B39" s="4">
        <f t="shared" ca="1" si="9"/>
        <v>43162</v>
      </c>
      <c r="C39" s="179" t="str">
        <f t="shared" ca="1" si="1"/>
        <v>Actual</v>
      </c>
      <c r="D39" s="17">
        <f t="shared" ca="1" si="10"/>
        <v>6449</v>
      </c>
      <c r="E39" s="17">
        <f t="shared" ca="1" si="2"/>
        <v>28</v>
      </c>
      <c r="F39" s="182">
        <f t="shared" ca="1" si="11"/>
        <v>37000</v>
      </c>
      <c r="G39" s="183">
        <f t="shared" ca="1" si="3"/>
        <v>125.14</v>
      </c>
      <c r="H39" s="184">
        <f ca="1">IF($A39="","",+Rates!N33)</f>
        <v>232.53642857142859</v>
      </c>
      <c r="I39" s="184">
        <f ca="1">IF($A39="","",+ROUND(Rates!O33,2))</f>
        <v>3152.4</v>
      </c>
      <c r="J39" s="184">
        <f ca="1">IF($A39="","",IF(F39=0,0,+ROUND(Rates!P33,2)))</f>
        <v>1487.91</v>
      </c>
      <c r="K39" s="184">
        <f ca="1">IF($A39="","",+ROUND(Rates!X33,2))</f>
        <v>217.15</v>
      </c>
      <c r="L39" s="184">
        <f ca="1">IF($A39="","",+ROUND(Rates!Q33,2))</f>
        <v>118.4</v>
      </c>
      <c r="M39" s="185">
        <f ca="1">IF($A39="","",+ROUND(Rates!R33,2))</f>
        <v>5208.3999999999996</v>
      </c>
      <c r="N39" s="186">
        <f t="shared" ca="1" si="12"/>
        <v>55059.523809523802</v>
      </c>
      <c r="O39" s="187">
        <f t="shared" ca="1" si="4"/>
        <v>0.43998340905804545</v>
      </c>
      <c r="P39" s="188">
        <f ca="1">IFERROR(SUM(INDIRECT("'FAF &amp; DDs'!"&amp;(ADDRESS(MATCH($B39-$E39,'FAF &amp; DDs'!$Q:$Q,0),COLUMN($R$1),2,1))&amp;":"&amp;(ADDRESS(MATCH($B39-1,'FAF &amp; DDs'!$Q:$Q,0),COLUMN($R$1),1))))/E39*30,-1)</f>
        <v>865.60714285714289</v>
      </c>
      <c r="Q39" s="188">
        <f ca="1">IFERROR(SUM(INDIRECT("'FAF &amp; DDs'!"&amp;(ADDRESS(MATCH($B39-$E39,'FAF &amp; DDs'!$Q:$Q,0),COLUMN($S$1),2,1))&amp;":"&amp;(ADDRESS(MATCH($B39-1,'FAF &amp; DDs'!$Q:$Q,0),COLUMN($S$1),1))))/E39*30,-1)</f>
        <v>0.6428571428571429</v>
      </c>
      <c r="R39" s="176">
        <f t="shared" ca="1" si="13"/>
        <v>6</v>
      </c>
      <c r="S39">
        <f ca="1">IF(ROW()&gt;MIN(($AB$8,$AB$7))+11,0,MATCH(V39,INDIRECT("'Reading History'!B"&amp;$Y$5&amp;":b"&amp;$Y$6),-1))</f>
        <v>28</v>
      </c>
      <c r="T39" s="49"/>
      <c r="U39" s="152">
        <f t="shared" ca="1" si="5"/>
        <v>43162</v>
      </c>
      <c r="V39" s="4">
        <f t="shared" ca="1" si="14"/>
        <v>43166</v>
      </c>
      <c r="W39">
        <f t="shared" ca="1" si="6"/>
        <v>4</v>
      </c>
      <c r="X39">
        <f t="shared" ca="1" si="7"/>
        <v>28</v>
      </c>
      <c r="AB39" s="176">
        <f t="shared" ca="1" si="15"/>
        <v>0</v>
      </c>
    </row>
    <row r="40" spans="1:28" ht="15" customHeight="1" x14ac:dyDescent="0.2">
      <c r="A40" s="2" t="str">
        <f t="shared" ca="1" si="0"/>
        <v>Electric</v>
      </c>
      <c r="B40" s="4">
        <f t="shared" ca="1" si="9"/>
        <v>43134</v>
      </c>
      <c r="C40" s="179" t="str">
        <f t="shared" ca="1" si="1"/>
        <v>Actual</v>
      </c>
      <c r="D40" s="17">
        <f t="shared" ca="1" si="10"/>
        <v>6264</v>
      </c>
      <c r="E40" s="17">
        <f t="shared" ca="1" si="2"/>
        <v>31</v>
      </c>
      <c r="F40" s="182">
        <f t="shared" ca="1" si="11"/>
        <v>41600</v>
      </c>
      <c r="G40" s="183">
        <f t="shared" ca="1" si="3"/>
        <v>123.94</v>
      </c>
      <c r="H40" s="184">
        <f ca="1">IF($A40="","",+Rates!N34)</f>
        <v>231.83999999999989</v>
      </c>
      <c r="I40" s="184">
        <f ca="1">IF($A40="","",+ROUND(Rates!O34,2))</f>
        <v>3544.32</v>
      </c>
      <c r="J40" s="184">
        <f ca="1">IF($A40="","",IF(F40=0,0,+ROUND(Rates!P34,2)))</f>
        <v>1473.65</v>
      </c>
      <c r="K40" s="184">
        <f ca="1">IF($A40="","",+ROUND(Rates!X34,2))</f>
        <v>-12.6</v>
      </c>
      <c r="L40" s="184">
        <f ca="1">IF($A40="","",+ROUND(Rates!Q34,2))</f>
        <v>133.12</v>
      </c>
      <c r="M40" s="185">
        <f ca="1">IF($A40="","",+ROUND(Rates!R34,2))</f>
        <v>5370.33</v>
      </c>
      <c r="N40" s="186">
        <f t="shared" ca="1" si="12"/>
        <v>55913.978494623654</v>
      </c>
      <c r="O40" s="187">
        <f t="shared" ca="1" si="4"/>
        <v>0.45113747373425572</v>
      </c>
      <c r="P40" s="188">
        <f ca="1">IFERROR(SUM(INDIRECT("'FAF &amp; DDs'!"&amp;(ADDRESS(MATCH($B40-$E40,'FAF &amp; DDs'!$Q:$Q,0),COLUMN($R$1),2,1))&amp;":"&amp;(ADDRESS(MATCH($B40-1,'FAF &amp; DDs'!$Q:$Q,0),COLUMN($R$1),1))))/E40*30,-1)</f>
        <v>1085.9999999999998</v>
      </c>
      <c r="Q40" s="188">
        <f ca="1">IFERROR(SUM(INDIRECT("'FAF &amp; DDs'!"&amp;(ADDRESS(MATCH($B40-$E40,'FAF &amp; DDs'!$Q:$Q,0),COLUMN($S$1),2,1))&amp;":"&amp;(ADDRESS(MATCH($B40-1,'FAF &amp; DDs'!$Q:$Q,0),COLUMN($S$1),1))))/E40*30,-1)</f>
        <v>0</v>
      </c>
      <c r="R40" s="176">
        <f t="shared" ca="1" si="13"/>
        <v>6</v>
      </c>
      <c r="S40">
        <f ca="1">IF(ROW()&gt;MIN(($AB$8,$AB$7))+11,0,MATCH(V40,INDIRECT("'Reading History'!B"&amp;$Y$5&amp;":b"&amp;$Y$6),-1))</f>
        <v>29</v>
      </c>
      <c r="T40" s="49"/>
      <c r="U40" s="152">
        <f t="shared" ca="1" si="5"/>
        <v>43134</v>
      </c>
      <c r="V40" s="4">
        <f t="shared" ca="1" si="14"/>
        <v>43138</v>
      </c>
      <c r="W40">
        <f t="shared" ca="1" si="6"/>
        <v>4</v>
      </c>
      <c r="X40">
        <f t="shared" ca="1" si="7"/>
        <v>30</v>
      </c>
      <c r="AB40" s="176">
        <f t="shared" ca="1" si="15"/>
        <v>0</v>
      </c>
    </row>
    <row r="41" spans="1:28" ht="15" customHeight="1" x14ac:dyDescent="0.2">
      <c r="A41" s="2" t="str">
        <f t="shared" ca="1" si="0"/>
        <v>Electric</v>
      </c>
      <c r="B41" s="4">
        <f t="shared" ca="1" si="9"/>
        <v>43103</v>
      </c>
      <c r="C41" s="179" t="str">
        <f t="shared" ca="1" si="1"/>
        <v>Actual</v>
      </c>
      <c r="D41" s="17">
        <f t="shared" ca="1" si="10"/>
        <v>6056</v>
      </c>
      <c r="E41" s="17">
        <f t="shared" ca="1" si="2"/>
        <v>31</v>
      </c>
      <c r="F41" s="182">
        <f t="shared" ca="1" si="11"/>
        <v>37600</v>
      </c>
      <c r="G41" s="183">
        <f t="shared" ca="1" si="3"/>
        <v>110.12</v>
      </c>
      <c r="H41" s="184">
        <f ca="1">IF($A41="","",+Rates!N35)</f>
        <v>231.83999999999992</v>
      </c>
      <c r="I41" s="184">
        <f ca="1">IF($A41="","",+ROUND(Rates!O35,2))</f>
        <v>3203.52</v>
      </c>
      <c r="J41" s="184">
        <f ca="1">IF($A41="","",IF(F41=0,0,+ROUND(Rates!P35,2)))</f>
        <v>1309.33</v>
      </c>
      <c r="K41" s="184">
        <f ca="1">IF($A41="","",+ROUND(Rates!X35,2))</f>
        <v>592.42999999999995</v>
      </c>
      <c r="L41" s="184">
        <f ca="1">IF($A41="","",+ROUND(Rates!Q35,2))</f>
        <v>120.32</v>
      </c>
      <c r="M41" s="185">
        <f ca="1">IF($A41="","",+ROUND(Rates!R35,2))</f>
        <v>5457.44</v>
      </c>
      <c r="N41" s="186">
        <f t="shared" ca="1" si="12"/>
        <v>50537.634408602149</v>
      </c>
      <c r="O41" s="187">
        <f t="shared" ca="1" si="4"/>
        <v>0.45893238656558438</v>
      </c>
      <c r="P41" s="188">
        <f ca="1">IFERROR(SUM(INDIRECT("'FAF &amp; DDs'!"&amp;(ADDRESS(MATCH($B41-$E41,'FAF &amp; DDs'!$Q:$Q,0),COLUMN($R$1),2,1))&amp;":"&amp;(ADDRESS(MATCH($B41-1,'FAF &amp; DDs'!$Q:$Q,0),COLUMN($R$1),1))))/E41*30,-1)</f>
        <v>1095.2903225806451</v>
      </c>
      <c r="Q41" s="188">
        <f ca="1">IFERROR(SUM(INDIRECT("'FAF &amp; DDs'!"&amp;(ADDRESS(MATCH($B41-$E41,'FAF &amp; DDs'!$Q:$Q,0),COLUMN($S$1),2,1))&amp;":"&amp;(ADDRESS(MATCH($B41-1,'FAF &amp; DDs'!$Q:$Q,0),COLUMN($S$1),1))))/E41*30,-1)</f>
        <v>0.19354838709677419</v>
      </c>
      <c r="R41" s="176">
        <f t="shared" ca="1" si="13"/>
        <v>6</v>
      </c>
      <c r="S41">
        <f ca="1">IF(ROW()&gt;MIN(($AB$8,$AB$7))+11,0,MATCH(V41,INDIRECT("'Reading History'!B"&amp;$Y$5&amp;":b"&amp;$Y$6),-1))</f>
        <v>30</v>
      </c>
      <c r="T41" s="49"/>
      <c r="U41" s="152">
        <f t="shared" ca="1" si="5"/>
        <v>43103</v>
      </c>
      <c r="V41" s="4">
        <f t="shared" ca="1" si="14"/>
        <v>43108</v>
      </c>
      <c r="W41">
        <f t="shared" ca="1" si="6"/>
        <v>5</v>
      </c>
      <c r="X41">
        <f t="shared" ca="1" si="7"/>
        <v>32</v>
      </c>
      <c r="AB41" s="176">
        <f t="shared" ca="1" si="15"/>
        <v>0</v>
      </c>
    </row>
    <row r="42" spans="1:28" ht="15" customHeight="1" x14ac:dyDescent="0.2">
      <c r="A42" s="2" t="str">
        <f t="shared" ca="1" si="0"/>
        <v>Electric</v>
      </c>
      <c r="B42" s="4">
        <f t="shared" ca="1" si="9"/>
        <v>43072</v>
      </c>
      <c r="C42" s="179" t="str">
        <f t="shared" ca="1" si="1"/>
        <v>Actual</v>
      </c>
      <c r="D42" s="17">
        <f t="shared" ca="1" si="10"/>
        <v>5868</v>
      </c>
      <c r="E42" s="17">
        <f t="shared" ca="1" si="2"/>
        <v>30</v>
      </c>
      <c r="F42" s="182">
        <f t="shared" ca="1" si="11"/>
        <v>35200</v>
      </c>
      <c r="G42" s="183">
        <f t="shared" ca="1" si="3"/>
        <v>121.3</v>
      </c>
      <c r="H42" s="184">
        <f ca="1">IF($A42="","",+Rates!N36)</f>
        <v>231.83999999999989</v>
      </c>
      <c r="I42" s="184">
        <f ca="1">IF($A42="","",+ROUND(Rates!O36,2))</f>
        <v>2999.04</v>
      </c>
      <c r="J42" s="184">
        <f ca="1">IF($A42="","",IF(F42=0,0,+ROUND(Rates!P36,2)))</f>
        <v>1442.26</v>
      </c>
      <c r="K42" s="184">
        <f ca="1">IF($A42="","",+ROUND(Rates!X36,2))</f>
        <v>298.57</v>
      </c>
      <c r="L42" s="184">
        <f ca="1">IF($A42="","",+ROUND(Rates!Q36,2))</f>
        <v>112.64</v>
      </c>
      <c r="M42" s="185">
        <f ca="1">IF($A42="","",+ROUND(Rates!R36,2))</f>
        <v>5084.3500000000004</v>
      </c>
      <c r="N42" s="186">
        <f t="shared" ca="1" si="12"/>
        <v>48888.888888888883</v>
      </c>
      <c r="O42" s="187">
        <f t="shared" ca="1" si="4"/>
        <v>0.40304112851515983</v>
      </c>
      <c r="P42" s="188">
        <f ca="1">IFERROR(SUM(INDIRECT("'FAF &amp; DDs'!"&amp;(ADDRESS(MATCH($B42-$E42,'FAF &amp; DDs'!$Q:$Q,0),COLUMN($R$1),2,1))&amp;":"&amp;(ADDRESS(MATCH($B42-1,'FAF &amp; DDs'!$Q:$Q,0),COLUMN($R$1),1))))/E42*30,-1)</f>
        <v>635.69999999999993</v>
      </c>
      <c r="Q42" s="188">
        <f ca="1">IFERROR(SUM(INDIRECT("'FAF &amp; DDs'!"&amp;(ADDRESS(MATCH($B42-$E42,'FAF &amp; DDs'!$Q:$Q,0),COLUMN($S$1),2,1))&amp;":"&amp;(ADDRESS(MATCH($B42-1,'FAF &amp; DDs'!$Q:$Q,0),COLUMN($S$1),1))))/E42*30,-1)</f>
        <v>1.7999999999999998</v>
      </c>
      <c r="R42" s="176">
        <f t="shared" ca="1" si="13"/>
        <v>6</v>
      </c>
      <c r="S42">
        <f ca="1">IF(ROW()&gt;MIN(($AB$8,$AB$7))+11,0,MATCH(V42,INDIRECT("'Reading History'!B"&amp;$Y$5&amp;":b"&amp;$Y$6),-1))</f>
        <v>31</v>
      </c>
      <c r="T42" s="49"/>
      <c r="U42" s="152">
        <f t="shared" ca="1" si="5"/>
        <v>43072</v>
      </c>
      <c r="V42" s="4">
        <f t="shared" ca="1" si="14"/>
        <v>43076</v>
      </c>
      <c r="W42">
        <f t="shared" ca="1" si="6"/>
        <v>4</v>
      </c>
      <c r="X42">
        <f t="shared" ca="1" si="7"/>
        <v>30</v>
      </c>
      <c r="AB42" s="176">
        <f t="shared" ca="1" si="15"/>
        <v>0</v>
      </c>
    </row>
    <row r="43" spans="1:28" ht="15" customHeight="1" x14ac:dyDescent="0.2">
      <c r="A43" s="2" t="str">
        <f t="shared" ca="1" si="0"/>
        <v>Electric</v>
      </c>
      <c r="B43" s="4">
        <f t="shared" ca="1" si="9"/>
        <v>43042</v>
      </c>
      <c r="C43" s="179" t="str">
        <f t="shared" ca="1" si="1"/>
        <v>Actual</v>
      </c>
      <c r="D43" s="17">
        <f t="shared" ca="1" si="10"/>
        <v>5692</v>
      </c>
      <c r="E43" s="17">
        <f t="shared" ca="1" si="2"/>
        <v>31</v>
      </c>
      <c r="F43" s="182">
        <f t="shared" ca="1" si="11"/>
        <v>37000</v>
      </c>
      <c r="G43" s="183">
        <f t="shared" ca="1" si="3"/>
        <v>130.78</v>
      </c>
      <c r="H43" s="184">
        <f ca="1">IF($A43="","",+Rates!N37)</f>
        <v>231.84000000000003</v>
      </c>
      <c r="I43" s="184">
        <f ca="1">IF($A43="","",+ROUND(Rates!O37,2))</f>
        <v>3152.4</v>
      </c>
      <c r="J43" s="184">
        <f ca="1">IF($A43="","",IF(F43=0,0,+ROUND(Rates!P37,2)))</f>
        <v>1554.97</v>
      </c>
      <c r="K43" s="184">
        <f ca="1">IF($A43="","",+ROUND(Rates!X37,2))</f>
        <v>294.93</v>
      </c>
      <c r="L43" s="184">
        <f ca="1">IF($A43="","",+ROUND(Rates!Q37,2))</f>
        <v>118.4</v>
      </c>
      <c r="M43" s="185">
        <f ca="1">IF($A43="","",+ROUND(Rates!R37,2))</f>
        <v>5352.54</v>
      </c>
      <c r="N43" s="186">
        <f t="shared" ca="1" si="12"/>
        <v>49731.182795698922</v>
      </c>
      <c r="O43" s="187">
        <f t="shared" ca="1" si="4"/>
        <v>0.3802659641818239</v>
      </c>
      <c r="P43" s="188">
        <f ca="1">IFERROR(SUM(INDIRECT("'FAF &amp; DDs'!"&amp;(ADDRESS(MATCH($B43-$E43,'FAF &amp; DDs'!$Q:$Q,0),COLUMN($R$1),2,1))&amp;":"&amp;(ADDRESS(MATCH($B43-1,'FAF &amp; DDs'!$Q:$Q,0),COLUMN($R$1),1))))/E43*30,-1)</f>
        <v>272.03225806451616</v>
      </c>
      <c r="Q43" s="188">
        <f ca="1">IFERROR(SUM(INDIRECT("'FAF &amp; DDs'!"&amp;(ADDRESS(MATCH($B43-$E43,'FAF &amp; DDs'!$Q:$Q,0),COLUMN($S$1),2,1))&amp;":"&amp;(ADDRESS(MATCH($B43-1,'FAF &amp; DDs'!$Q:$Q,0),COLUMN($S$1),1))))/E43*30,-1)</f>
        <v>80.225806451612897</v>
      </c>
      <c r="R43" s="176">
        <f t="shared" ca="1" si="13"/>
        <v>6</v>
      </c>
      <c r="S43">
        <f ca="1">IF(ROW()&gt;MIN(($AB$8,$AB$7))+11,0,MATCH(V43,INDIRECT("'Reading History'!B"&amp;$Y$5&amp;":b"&amp;$Y$6),-1))</f>
        <v>32</v>
      </c>
      <c r="T43" s="49"/>
      <c r="U43" s="152">
        <f t="shared" ca="1" si="5"/>
        <v>43042</v>
      </c>
      <c r="V43" s="4">
        <f t="shared" ca="1" si="14"/>
        <v>43046</v>
      </c>
      <c r="W43">
        <f t="shared" ca="1" si="6"/>
        <v>4</v>
      </c>
      <c r="X43">
        <f t="shared" ca="1" si="7"/>
        <v>29</v>
      </c>
      <c r="AB43" s="176">
        <f t="shared" ca="1" si="15"/>
        <v>0</v>
      </c>
    </row>
    <row r="44" spans="1:28" ht="15" customHeight="1" x14ac:dyDescent="0.2">
      <c r="A44" s="2" t="str">
        <f t="shared" ref="A44:A75" ca="1" si="17">IF(S44=0,"",INDIRECT("'Reading History'!A"&amp;$S44+$Y$5-1))</f>
        <v>Electric</v>
      </c>
      <c r="B44" s="4">
        <f t="shared" ca="1" si="9"/>
        <v>43011</v>
      </c>
      <c r="C44" s="179" t="str">
        <f t="shared" ref="C44:C75" ca="1" si="18">IF($A44="","",IF(RIGHT(INDIRECT("'Reading History'!E"&amp;$S44+$Y$5-1),4)="Read",LEFT(INDIRECT("'Reading History'!E"&amp;$S44+$Y$5-1),LEN(INDIRECT("'Reading History'!E"&amp;$S44+$Y$5-1))-5),INDIRECT("'Reading History'!E"&amp;$S44+$Y$5-1)))</f>
        <v>Actual</v>
      </c>
      <c r="D44" s="17">
        <f t="shared" ca="1" si="10"/>
        <v>5507</v>
      </c>
      <c r="E44" s="17">
        <f t="shared" ref="E44:E75" ca="1" si="19">IF($A44="","",IF(ISNUMBER(D45),B44-B45,INDIRECT("'Reading History'!H"&amp;$S44+$Y$5-1)))</f>
        <v>30</v>
      </c>
      <c r="F44" s="182">
        <f t="shared" ca="1" si="11"/>
        <v>43400</v>
      </c>
      <c r="G44" s="183">
        <f t="shared" ref="G44:G75" ca="1" si="20">IF($A44="","",INDIRECT("'Reading History'!I"&amp;$S44+$Y$4-1))</f>
        <v>145.72</v>
      </c>
      <c r="H44" s="184">
        <f ca="1">IF($A44="","",+Rates!N38)</f>
        <v>231.84000000000003</v>
      </c>
      <c r="I44" s="184">
        <f ca="1">IF($A44="","",+ROUND(Rates!O38,2))</f>
        <v>3760.54</v>
      </c>
      <c r="J44" s="184">
        <f ca="1">IF($A44="","",IF(F44=0,0,+ROUND(Rates!P38,2)))</f>
        <v>1785.87</v>
      </c>
      <c r="K44" s="184">
        <f ca="1">IF($A44="","",+ROUND(Rates!X38,2))</f>
        <v>-164.01</v>
      </c>
      <c r="L44" s="184">
        <f ca="1">IF($A44="","",+ROUND(Rates!Q38,2))</f>
        <v>138.88</v>
      </c>
      <c r="M44" s="185">
        <f ca="1">IF($A44="","",+ROUND(Rates!R38,2))</f>
        <v>5753.12</v>
      </c>
      <c r="N44" s="186">
        <f t="shared" ca="1" si="12"/>
        <v>60277.777777777781</v>
      </c>
      <c r="O44" s="187">
        <f t="shared" ca="1" si="4"/>
        <v>0.41365480220819223</v>
      </c>
      <c r="P44" s="188">
        <f ca="1">IFERROR(SUM(INDIRECT("'FAF &amp; DDs'!"&amp;(ADDRESS(MATCH($B44-$E44,'FAF &amp; DDs'!$Q:$Q,0),COLUMN($R$1),2,1))&amp;":"&amp;(ADDRESS(MATCH($B44-1,'FAF &amp; DDs'!$Q:$Q,0),COLUMN($R$1),1))))/E44*30,-1)</f>
        <v>78.699999999999989</v>
      </c>
      <c r="Q44" s="188">
        <f ca="1">IFERROR(SUM(INDIRECT("'FAF &amp; DDs'!"&amp;(ADDRESS(MATCH($B44-$E44,'FAF &amp; DDs'!$Q:$Q,0),COLUMN($S$1),2,1))&amp;":"&amp;(ADDRESS(MATCH($B44-1,'FAF &amp; DDs'!$Q:$Q,0),COLUMN($S$1),1))))/E44*30,-1)</f>
        <v>248.29999999999995</v>
      </c>
      <c r="R44" s="176">
        <f t="shared" ca="1" si="13"/>
        <v>6</v>
      </c>
      <c r="S44">
        <f ca="1">IF(ROW()&gt;MIN(($AB$8,$AB$7))+11,0,MATCH(V44,INDIRECT("'Reading History'!B"&amp;$Y$5&amp;":b"&amp;$Y$6),-1))</f>
        <v>33</v>
      </c>
      <c r="T44" s="49"/>
      <c r="U44" s="152">
        <f t="shared" ref="U44:U75" ca="1" si="21">IF(VALUE(INDIRECT("'Reading History'!c"&amp;$Y$5+S43))&gt;$R$8,DATE(YEAR(V44-ABS(AB44)),MONTH(V44-ABS(AB44)),VLOOKUP(VALUE(R44),AMRReadDates,2)),V44)</f>
        <v>43011</v>
      </c>
      <c r="V44" s="4">
        <f t="shared" ca="1" si="14"/>
        <v>43017</v>
      </c>
      <c r="W44">
        <f t="shared" ca="1" si="6"/>
        <v>6</v>
      </c>
      <c r="X44">
        <f t="shared" ref="X44:X75" ca="1" si="22">+INDIRECT("'Reading History'!H"&amp;$S44+$Y$5-1)</f>
        <v>29</v>
      </c>
      <c r="AB44" s="176">
        <f t="shared" ca="1" si="15"/>
        <v>0</v>
      </c>
    </row>
    <row r="45" spans="1:28" ht="15" customHeight="1" x14ac:dyDescent="0.2">
      <c r="A45" s="2" t="str">
        <f t="shared" ca="1" si="17"/>
        <v>Electric</v>
      </c>
      <c r="B45" s="4">
        <f t="shared" ca="1" si="9"/>
        <v>42981</v>
      </c>
      <c r="C45" s="179" t="str">
        <f t="shared" ca="1" si="18"/>
        <v>Actual</v>
      </c>
      <c r="D45" s="17">
        <f t="shared" ref="D45:D76" ca="1" si="23">IF($A45="","",INDIRECT("'Reading History'!G"&amp;$S45+$Y$5-1))</f>
        <v>5290</v>
      </c>
      <c r="E45" s="17">
        <f t="shared" ca="1" si="19"/>
        <v>31</v>
      </c>
      <c r="F45" s="182">
        <f t="shared" ref="F45:F76" ca="1" si="24">IF($A45="","",INDIRECT("'Reading History'!I"&amp;$S45+$Y$5-1))</f>
        <v>46800</v>
      </c>
      <c r="G45" s="183">
        <f t="shared" ca="1" si="20"/>
        <v>140.47999999999999</v>
      </c>
      <c r="H45" s="184">
        <f ca="1">IF($A45="","",+Rates!N39)</f>
        <v>231.84000000000015</v>
      </c>
      <c r="I45" s="184">
        <f ca="1">IF($A45="","",+ROUND(Rates!O39,2))</f>
        <v>4380.4799999999996</v>
      </c>
      <c r="J45" s="184">
        <f ca="1">IF($A45="","",IF(F45=0,0,+ROUND(Rates!P39,2)))</f>
        <v>1968.12</v>
      </c>
      <c r="K45" s="184">
        <f ca="1">IF($A45="","",+ROUND(Rates!X39,2))</f>
        <v>-194.22</v>
      </c>
      <c r="L45" s="184">
        <f ca="1">IF($A45="","",+ROUND(Rates!Q39,2))</f>
        <v>149.76</v>
      </c>
      <c r="M45" s="185">
        <f ca="1">IF($A45="","",+ROUND(Rates!R39,2))</f>
        <v>6535.98</v>
      </c>
      <c r="N45" s="186">
        <f t="shared" ref="N45:N76" ca="1" si="25">IFERROR(IF(C46="Estimate",+(F45+F46)/(E45+E46),IF(C45="Estimate",+(F45+F44)/(E45+E44),+F45/E45))/24*1000,-1)</f>
        <v>62903.225806451614</v>
      </c>
      <c r="O45" s="187">
        <f t="shared" ca="1" si="4"/>
        <v>0.44777353222132416</v>
      </c>
      <c r="P45" s="188">
        <f ca="1">IFERROR(SUM(INDIRECT("'FAF &amp; DDs'!"&amp;(ADDRESS(MATCH($B45-$E45,'FAF &amp; DDs'!$Q:$Q,0),COLUMN($R$1),2,1))&amp;":"&amp;(ADDRESS(MATCH($B45-1,'FAF &amp; DDs'!$Q:$Q,0),COLUMN($R$1),1))))/E45*30,-1)</f>
        <v>41.709677419354833</v>
      </c>
      <c r="Q45" s="188">
        <f ca="1">IFERROR(SUM(INDIRECT("'FAF &amp; DDs'!"&amp;(ADDRESS(MATCH($B45-$E45,'FAF &amp; DDs'!$Q:$Q,0),COLUMN($S$1),2,1))&amp;":"&amp;(ADDRESS(MATCH($B45-1,'FAF &amp; DDs'!$Q:$Q,0),COLUMN($S$1),1))))/E45*30,-1)</f>
        <v>226.64516129032262</v>
      </c>
      <c r="R45" s="176">
        <f t="shared" ca="1" si="13"/>
        <v>6</v>
      </c>
      <c r="S45">
        <f ca="1">IF(ROW()&gt;MIN(($AB$8,$AB$7))+11,0,MATCH(V45,INDIRECT("'Reading History'!B"&amp;$Y$5&amp;":b"&amp;$Y$6),-1))</f>
        <v>34</v>
      </c>
      <c r="T45" s="49"/>
      <c r="U45" s="152">
        <f t="shared" ca="1" si="21"/>
        <v>42981</v>
      </c>
      <c r="V45" s="4">
        <f t="shared" ref="V45:V76" ca="1" si="26">INT(INDIRECT("'Reading History'!B"&amp;$Y$5+S44))</f>
        <v>42988</v>
      </c>
      <c r="W45">
        <f t="shared" ca="1" si="6"/>
        <v>7</v>
      </c>
      <c r="X45">
        <f t="shared" ca="1" si="22"/>
        <v>32</v>
      </c>
      <c r="AB45" s="176">
        <f t="shared" ca="1" si="15"/>
        <v>0</v>
      </c>
    </row>
    <row r="46" spans="1:28" ht="15" customHeight="1" x14ac:dyDescent="0.2">
      <c r="A46" s="2" t="str">
        <f t="shared" ca="1" si="17"/>
        <v>Electric</v>
      </c>
      <c r="B46" s="4">
        <f t="shared" ca="1" si="9"/>
        <v>42950</v>
      </c>
      <c r="C46" s="179" t="str">
        <f t="shared" ca="1" si="18"/>
        <v>Actual</v>
      </c>
      <c r="D46" s="17">
        <f t="shared" ca="1" si="23"/>
        <v>5056</v>
      </c>
      <c r="E46" s="17">
        <f t="shared" ca="1" si="19"/>
        <v>31</v>
      </c>
      <c r="F46" s="182">
        <f t="shared" ca="1" si="24"/>
        <v>49000</v>
      </c>
      <c r="G46" s="183">
        <f t="shared" ca="1" si="20"/>
        <v>147.30000000000001</v>
      </c>
      <c r="H46" s="184">
        <f ca="1">IF($A46="","",+Rates!N40)</f>
        <v>231.83999999999992</v>
      </c>
      <c r="I46" s="184">
        <f ca="1">IF($A46="","",+ROUND(Rates!O40,2))</f>
        <v>4586.3999999999996</v>
      </c>
      <c r="J46" s="184">
        <f ca="1">IF($A46="","",IF(F46=0,0,+ROUND(Rates!P40,2)))</f>
        <v>2063.67</v>
      </c>
      <c r="K46" s="184">
        <f ca="1">IF($A46="","",+ROUND(Rates!X40,2))</f>
        <v>160.66999999999999</v>
      </c>
      <c r="L46" s="184">
        <f ca="1">IF($A46="","",+ROUND(Rates!Q40,2))</f>
        <v>156.80000000000001</v>
      </c>
      <c r="M46" s="185">
        <f ca="1">IF($A46="","",+ROUND(Rates!R40,2))</f>
        <v>7199.38</v>
      </c>
      <c r="N46" s="186">
        <f t="shared" ca="1" si="25"/>
        <v>65860.215053763444</v>
      </c>
      <c r="O46" s="187">
        <f t="shared" ca="1" si="4"/>
        <v>0.4471161918110213</v>
      </c>
      <c r="P46" s="188">
        <f ca="1">IFERROR(SUM(INDIRECT("'FAF &amp; DDs'!"&amp;(ADDRESS(MATCH($B46-$E46,'FAF &amp; DDs'!$Q:$Q,0),COLUMN($R$1),2,1))&amp;":"&amp;(ADDRESS(MATCH($B46-1,'FAF &amp; DDs'!$Q:$Q,0),COLUMN($R$1),1))))/E46*30,-1)</f>
        <v>3.7741935483870965</v>
      </c>
      <c r="Q46" s="188">
        <f ca="1">IFERROR(SUM(INDIRECT("'FAF &amp; DDs'!"&amp;(ADDRESS(MATCH($B46-$E46,'FAF &amp; DDs'!$Q:$Q,0),COLUMN($S$1),2,1))&amp;":"&amp;(ADDRESS(MATCH($B46-1,'FAF &amp; DDs'!$Q:$Q,0),COLUMN($S$1),1))))/E46*30,-1)</f>
        <v>411.19354838709671</v>
      </c>
      <c r="R46" s="176">
        <f t="shared" ca="1" si="13"/>
        <v>6</v>
      </c>
      <c r="S46">
        <f ca="1">IF(ROW()&gt;MIN(($AB$8,$AB$7))+11,0,MATCH(V46,INDIRECT("'Reading History'!B"&amp;$Y$5&amp;":b"&amp;$Y$6),-1))</f>
        <v>35</v>
      </c>
      <c r="T46" s="49"/>
      <c r="U46" s="152">
        <f t="shared" ca="1" si="21"/>
        <v>42950</v>
      </c>
      <c r="V46" s="4">
        <f t="shared" ca="1" si="26"/>
        <v>42956</v>
      </c>
      <c r="W46">
        <f t="shared" ca="1" si="6"/>
        <v>6</v>
      </c>
      <c r="X46">
        <f t="shared" ca="1" si="22"/>
        <v>31</v>
      </c>
      <c r="AB46" s="176">
        <f t="shared" ca="1" si="15"/>
        <v>0</v>
      </c>
    </row>
    <row r="47" spans="1:28" ht="15" customHeight="1" x14ac:dyDescent="0.2">
      <c r="A47" s="2" t="str">
        <f t="shared" ca="1" si="17"/>
        <v>Electric</v>
      </c>
      <c r="B47" s="4">
        <f t="shared" ca="1" si="9"/>
        <v>42919</v>
      </c>
      <c r="C47" s="179" t="str">
        <f t="shared" ca="1" si="18"/>
        <v>Actual</v>
      </c>
      <c r="D47" s="17">
        <f t="shared" ca="1" si="23"/>
        <v>4811</v>
      </c>
      <c r="E47" s="17">
        <f t="shared" ca="1" si="19"/>
        <v>30</v>
      </c>
      <c r="F47" s="182">
        <f t="shared" ca="1" si="24"/>
        <v>45600</v>
      </c>
      <c r="G47" s="183">
        <f t="shared" ca="1" si="20"/>
        <v>155.72</v>
      </c>
      <c r="H47" s="184">
        <f ca="1">IF($A47="","",+Rates!N41)</f>
        <v>231.84000000000003</v>
      </c>
      <c r="I47" s="184">
        <f ca="1">IF($A47="","",+ROUND(Rates!O41,2))</f>
        <v>4268.16</v>
      </c>
      <c r="J47" s="184">
        <f ca="1">IF($A47="","",IF(F47=0,0,+ROUND(Rates!P41,2)))</f>
        <v>2181.64</v>
      </c>
      <c r="K47" s="184">
        <f ca="1">IF($A47="","",+ROUND(Rates!X41,2))</f>
        <v>239.13</v>
      </c>
      <c r="L47" s="184">
        <f ca="1">IF($A47="","",+ROUND(Rates!Q41,2))</f>
        <v>145.91999999999999</v>
      </c>
      <c r="M47" s="185">
        <f ca="1">IF($A47="","",+ROUND(Rates!R41,2))</f>
        <v>7066.69</v>
      </c>
      <c r="N47" s="186">
        <f t="shared" ca="1" si="25"/>
        <v>63333.333333333336</v>
      </c>
      <c r="O47" s="187">
        <f t="shared" ca="1" si="4"/>
        <v>0.40671290350201211</v>
      </c>
      <c r="P47" s="188">
        <f ca="1">IFERROR(SUM(INDIRECT("'FAF &amp; DDs'!"&amp;(ADDRESS(MATCH($B47-$E47,'FAF &amp; DDs'!$Q:$Q,0),COLUMN($R$1),2,1))&amp;":"&amp;(ADDRESS(MATCH($B47-1,'FAF &amp; DDs'!$Q:$Q,0),COLUMN($R$1),1))))/E47*30,-1)</f>
        <v>19.000000000000004</v>
      </c>
      <c r="Q47" s="188">
        <f ca="1">IFERROR(SUM(INDIRECT("'FAF &amp; DDs'!"&amp;(ADDRESS(MATCH($B47-$E47,'FAF &amp; DDs'!$Q:$Q,0),COLUMN($S$1),2,1))&amp;":"&amp;(ADDRESS(MATCH($B47-1,'FAF &amp; DDs'!$Q:$Q,0),COLUMN($S$1),1))))/E47*30,-1)</f>
        <v>350.1</v>
      </c>
      <c r="R47" s="176">
        <f t="shared" ca="1" si="13"/>
        <v>6</v>
      </c>
      <c r="S47">
        <f ca="1">IF(ROW()&gt;MIN(($AB$8,$AB$7))+11,0,MATCH(V47,INDIRECT("'Reading History'!B"&amp;$Y$5&amp;":b"&amp;$Y$6),-1))</f>
        <v>36</v>
      </c>
      <c r="T47" s="49"/>
      <c r="U47" s="152">
        <f t="shared" ca="1" si="21"/>
        <v>42919</v>
      </c>
      <c r="V47" s="4">
        <f t="shared" ca="1" si="26"/>
        <v>42925</v>
      </c>
      <c r="W47">
        <f t="shared" ca="1" si="6"/>
        <v>6</v>
      </c>
      <c r="X47">
        <f t="shared" ca="1" si="22"/>
        <v>31</v>
      </c>
      <c r="AB47" s="176">
        <f t="shared" ca="1" si="15"/>
        <v>0</v>
      </c>
    </row>
    <row r="48" spans="1:28" ht="15" customHeight="1" x14ac:dyDescent="0.2">
      <c r="A48" s="2" t="str">
        <f t="shared" ca="1" si="17"/>
        <v>Electric</v>
      </c>
      <c r="B48" s="4">
        <f t="shared" ca="1" si="9"/>
        <v>42889</v>
      </c>
      <c r="C48" s="179" t="str">
        <f t="shared" ca="1" si="18"/>
        <v>Actual</v>
      </c>
      <c r="D48" s="17">
        <f t="shared" ca="1" si="23"/>
        <v>4583</v>
      </c>
      <c r="E48" s="17">
        <f t="shared" ca="1" si="19"/>
        <v>31</v>
      </c>
      <c r="F48" s="182">
        <f t="shared" ca="1" si="24"/>
        <v>30800</v>
      </c>
      <c r="G48" s="183">
        <f t="shared" ca="1" si="20"/>
        <v>154.44</v>
      </c>
      <c r="H48" s="184">
        <f ca="1">IF($A48="","",+Rates!N42)</f>
        <v>231.84</v>
      </c>
      <c r="I48" s="184">
        <f ca="1">IF($A48="","",+ROUND(Rates!O42,2))</f>
        <v>2801.57</v>
      </c>
      <c r="J48" s="184">
        <f ca="1">IF($A48="","",IF(F48=0,0,+ROUND(Rates!P42,2)))</f>
        <v>2060.8000000000002</v>
      </c>
      <c r="K48" s="184">
        <f ca="1">IF($A48="","",+ROUND(Rates!X42,2))</f>
        <v>248.37</v>
      </c>
      <c r="L48" s="184">
        <f ca="1">IF($A48="","",+ROUND(Rates!Q42,2))</f>
        <v>98.56</v>
      </c>
      <c r="M48" s="185">
        <f ca="1">IF($A48="","",+ROUND(Rates!R42,2))</f>
        <v>5441.14</v>
      </c>
      <c r="N48" s="186">
        <f t="shared" ca="1" si="25"/>
        <v>41397.849462365593</v>
      </c>
      <c r="O48" s="187">
        <f t="shared" ca="1" si="4"/>
        <v>0.26805134332016051</v>
      </c>
      <c r="P48" s="188">
        <f ca="1">IFERROR(SUM(INDIRECT("'FAF &amp; DDs'!"&amp;(ADDRESS(MATCH($B48-$E48,'FAF &amp; DDs'!$Q:$Q,0),COLUMN($R$1),2,1))&amp;":"&amp;(ADDRESS(MATCH($B48-1,'FAF &amp; DDs'!$Q:$Q,0),COLUMN($R$1),1))))/E48*30,-1)</f>
        <v>126.58064516129033</v>
      </c>
      <c r="Q48" s="188">
        <f ca="1">IFERROR(SUM(INDIRECT("'FAF &amp; DDs'!"&amp;(ADDRESS(MATCH($B48-$E48,'FAF &amp; DDs'!$Q:$Q,0),COLUMN($S$1),2,1))&amp;":"&amp;(ADDRESS(MATCH($B48-1,'FAF &amp; DDs'!$Q:$Q,0),COLUMN($S$1),1))))/E48*30,-1)</f>
        <v>150.09677419354838</v>
      </c>
      <c r="R48" s="176">
        <f t="shared" ca="1" si="13"/>
        <v>6</v>
      </c>
      <c r="S48">
        <f ca="1">IF(ROW()&gt;MIN(($AB$8,$AB$7))+11,0,MATCH(V48,INDIRECT("'Reading History'!B"&amp;$Y$5&amp;":b"&amp;$Y$6),-1))</f>
        <v>37</v>
      </c>
      <c r="T48" s="49"/>
      <c r="U48" s="152">
        <f t="shared" ca="1" si="21"/>
        <v>42889</v>
      </c>
      <c r="V48" s="4">
        <f t="shared" ca="1" si="26"/>
        <v>42894</v>
      </c>
      <c r="W48">
        <f t="shared" ca="1" si="6"/>
        <v>5</v>
      </c>
      <c r="X48">
        <f t="shared" ca="1" si="22"/>
        <v>35</v>
      </c>
      <c r="AB48" s="176">
        <f t="shared" ca="1" si="15"/>
        <v>0</v>
      </c>
    </row>
    <row r="49" spans="1:28" ht="15" customHeight="1" x14ac:dyDescent="0.2">
      <c r="A49" s="2" t="str">
        <f t="shared" ca="1" si="17"/>
        <v>Electric</v>
      </c>
      <c r="B49" s="4">
        <f t="shared" ca="1" si="9"/>
        <v>42858</v>
      </c>
      <c r="C49" s="179" t="str">
        <f t="shared" ca="1" si="18"/>
        <v>Actual</v>
      </c>
      <c r="D49" s="17">
        <f t="shared" ca="1" si="23"/>
        <v>4429</v>
      </c>
      <c r="E49" s="17">
        <f t="shared" ca="1" si="19"/>
        <v>30</v>
      </c>
      <c r="F49" s="182">
        <f t="shared" ca="1" si="24"/>
        <v>50600</v>
      </c>
      <c r="G49" s="183">
        <f t="shared" ca="1" si="20"/>
        <v>138</v>
      </c>
      <c r="H49" s="184">
        <f ca="1">IF($A49="","",+Rates!N43)</f>
        <v>231.84</v>
      </c>
      <c r="I49" s="184">
        <f ca="1">IF($A49="","",+ROUND(Rates!O43,2))</f>
        <v>4311.12</v>
      </c>
      <c r="J49" s="184">
        <f ca="1">IF($A49="","",IF(F49=0,0,+ROUND(Rates!P43,2)))</f>
        <v>1640.82</v>
      </c>
      <c r="K49" s="184">
        <f ca="1">IF($A49="","",+ROUND(Rates!X43,2))</f>
        <v>591.05999999999995</v>
      </c>
      <c r="L49" s="184">
        <f ca="1">IF($A49="","",+ROUND(Rates!Q43,2))</f>
        <v>161.91999999999999</v>
      </c>
      <c r="M49" s="185">
        <f ca="1">IF($A49="","",+ROUND(Rates!R43,2))</f>
        <v>6936.76</v>
      </c>
      <c r="N49" s="186">
        <f t="shared" ca="1" si="25"/>
        <v>70277.777777777781</v>
      </c>
      <c r="O49" s="187">
        <f t="shared" ca="1" si="4"/>
        <v>0.5092592592592593</v>
      </c>
      <c r="P49" s="188">
        <f ca="1">IFERROR(SUM(INDIRECT("'FAF &amp; DDs'!"&amp;(ADDRESS(MATCH($B49-$E49,'FAF &amp; DDs'!$Q:$Q,0),COLUMN($R$1),2,1))&amp;":"&amp;(ADDRESS(MATCH($B49-1,'FAF &amp; DDs'!$Q:$Q,0),COLUMN($R$1),1))))/E49*30,-1)</f>
        <v>231.60000000000002</v>
      </c>
      <c r="Q49" s="188">
        <f ca="1">IFERROR(SUM(INDIRECT("'FAF &amp; DDs'!"&amp;(ADDRESS(MATCH($B49-$E49,'FAF &amp; DDs'!$Q:$Q,0),COLUMN($S$1),2,1))&amp;":"&amp;(ADDRESS(MATCH($B49-1,'FAF &amp; DDs'!$Q:$Q,0),COLUMN($S$1),1))))/E49*30,-1)</f>
        <v>70.3</v>
      </c>
      <c r="R49" s="176">
        <f t="shared" ca="1" si="13"/>
        <v>6</v>
      </c>
      <c r="S49">
        <f ca="1">IF(ROW()&gt;MIN(($AB$8,$AB$7))+11,0,MATCH(V49,INDIRECT("'Reading History'!B"&amp;$Y$5&amp;":b"&amp;$Y$6),-1))</f>
        <v>38</v>
      </c>
      <c r="T49" s="49"/>
      <c r="U49" s="152">
        <f t="shared" ca="1" si="21"/>
        <v>42858</v>
      </c>
      <c r="V49" s="4">
        <f t="shared" ca="1" si="26"/>
        <v>42859</v>
      </c>
      <c r="W49">
        <f t="shared" ca="1" si="6"/>
        <v>1</v>
      </c>
      <c r="X49">
        <f t="shared" ca="1" si="22"/>
        <v>27</v>
      </c>
      <c r="AB49" s="176">
        <f t="shared" ca="1" si="15"/>
        <v>0</v>
      </c>
    </row>
    <row r="50" spans="1:28" ht="15" customHeight="1" x14ac:dyDescent="0.2">
      <c r="A50" s="2" t="str">
        <f t="shared" ca="1" si="17"/>
        <v>Electric</v>
      </c>
      <c r="B50" s="4">
        <f t="shared" ca="1" si="9"/>
        <v>42828</v>
      </c>
      <c r="C50" s="179" t="str">
        <f t="shared" ca="1" si="18"/>
        <v>Actual</v>
      </c>
      <c r="D50" s="17">
        <f t="shared" ca="1" si="23"/>
        <v>4176</v>
      </c>
      <c r="E50" s="17">
        <f t="shared" ca="1" si="19"/>
        <v>31</v>
      </c>
      <c r="F50" s="182">
        <f t="shared" ca="1" si="24"/>
        <v>39800</v>
      </c>
      <c r="G50" s="183">
        <f t="shared" ca="1" si="20"/>
        <v>118.9</v>
      </c>
      <c r="H50" s="184">
        <f ca="1">IF($A50="","",+Rates!N44)</f>
        <v>231.83999999999997</v>
      </c>
      <c r="I50" s="184">
        <f ca="1">IF($A50="","",+ROUND(Rates!O44,2))</f>
        <v>3390.96</v>
      </c>
      <c r="J50" s="184">
        <f ca="1">IF($A50="","",IF(F50=0,0,+ROUND(Rates!P44,2)))</f>
        <v>1413.72</v>
      </c>
      <c r="K50" s="184">
        <f ca="1">IF($A50="","",+ROUND(Rates!X44,2))</f>
        <v>394.26</v>
      </c>
      <c r="L50" s="184">
        <f ca="1">IF($A50="","",+ROUND(Rates!Q44,2))</f>
        <v>127.36</v>
      </c>
      <c r="M50" s="185">
        <f ca="1">IF($A50="","",+ROUND(Rates!R44,2))</f>
        <v>5558.14</v>
      </c>
      <c r="N50" s="186">
        <f t="shared" ca="1" si="25"/>
        <v>53494.62365591398</v>
      </c>
      <c r="O50" s="187">
        <f t="shared" ca="1" si="4"/>
        <v>0.4499127304954918</v>
      </c>
      <c r="P50" s="188">
        <f ca="1">IFERROR(SUM(INDIRECT("'FAF &amp; DDs'!"&amp;(ADDRESS(MATCH($B50-$E50,'FAF &amp; DDs'!$Q:$Q,0),COLUMN($R$1),2,1))&amp;":"&amp;(ADDRESS(MATCH($B50-1,'FAF &amp; DDs'!$Q:$Q,0),COLUMN($R$1),1))))/E50*30,-1)</f>
        <v>582.00000000000011</v>
      </c>
      <c r="Q50" s="188">
        <f ca="1">IFERROR(SUM(INDIRECT("'FAF &amp; DDs'!"&amp;(ADDRESS(MATCH($B50-$E50,'FAF &amp; DDs'!$Q:$Q,0),COLUMN($S$1),2,1))&amp;":"&amp;(ADDRESS(MATCH($B50-1,'FAF &amp; DDs'!$Q:$Q,0),COLUMN($S$1),1))))/E50*30,-1)</f>
        <v>6.5806451612903238</v>
      </c>
      <c r="R50" s="176">
        <f t="shared" ca="1" si="13"/>
        <v>6</v>
      </c>
      <c r="S50">
        <f ca="1">IF(ROW()&gt;MIN(($AB$8,$AB$7))+11,0,MATCH(V50,INDIRECT("'Reading History'!B"&amp;$Y$5&amp;":b"&amp;$Y$6),-1))</f>
        <v>39</v>
      </c>
      <c r="T50" s="49"/>
      <c r="U50" s="152">
        <f t="shared" ca="1" si="21"/>
        <v>42828</v>
      </c>
      <c r="V50" s="4">
        <f t="shared" ca="1" si="26"/>
        <v>42832</v>
      </c>
      <c r="W50">
        <f t="shared" ca="1" si="6"/>
        <v>4</v>
      </c>
      <c r="X50">
        <f t="shared" ca="1" si="22"/>
        <v>29</v>
      </c>
      <c r="AB50" s="176">
        <f t="shared" ca="1" si="15"/>
        <v>0</v>
      </c>
    </row>
    <row r="51" spans="1:28" ht="15" customHeight="1" x14ac:dyDescent="0.2">
      <c r="A51" s="2" t="str">
        <f t="shared" ca="1" si="17"/>
        <v>Electric</v>
      </c>
      <c r="B51" s="4">
        <f t="shared" ca="1" si="9"/>
        <v>42797</v>
      </c>
      <c r="C51" s="179" t="str">
        <f t="shared" ca="1" si="18"/>
        <v>Actual</v>
      </c>
      <c r="D51" s="17">
        <f t="shared" ca="1" si="23"/>
        <v>3977</v>
      </c>
      <c r="E51" s="17">
        <f t="shared" ca="1" si="19"/>
        <v>28</v>
      </c>
      <c r="F51" s="182">
        <f t="shared" ca="1" si="24"/>
        <v>75400</v>
      </c>
      <c r="G51" s="183">
        <f t="shared" ca="1" si="20"/>
        <v>122.8</v>
      </c>
      <c r="H51" s="184">
        <f ca="1">IF($A51="","",+Rates!N45)</f>
        <v>230.64548387096775</v>
      </c>
      <c r="I51" s="184">
        <f ca="1">IF($A51="","",+ROUND(Rates!O45,2))</f>
        <v>6424.08</v>
      </c>
      <c r="J51" s="184">
        <f ca="1">IF($A51="","",IF(F51=0,0,+ROUND(Rates!P45,2)))</f>
        <v>1460.09</v>
      </c>
      <c r="K51" s="184">
        <f ca="1">IF($A51="","",+ROUND(Rates!X45,2))</f>
        <v>388.08</v>
      </c>
      <c r="L51" s="184">
        <f ca="1">IF($A51="","",+ROUND(Rates!Q45,2))</f>
        <v>241.28</v>
      </c>
      <c r="M51" s="185">
        <f ca="1">IF($A51="","",+ROUND(Rates!R45,2))</f>
        <v>8744.18</v>
      </c>
      <c r="N51" s="186">
        <f t="shared" ca="1" si="25"/>
        <v>112202.38095238095</v>
      </c>
      <c r="O51" s="187">
        <f t="shared" ca="1" si="4"/>
        <v>0.91370017062199471</v>
      </c>
      <c r="P51" s="188">
        <f ca="1">IFERROR(SUM(INDIRECT("'FAF &amp; DDs'!"&amp;(ADDRESS(MATCH($B51-$E51,'FAF &amp; DDs'!$Q:$Q,0),COLUMN($R$1),2,1))&amp;":"&amp;(ADDRESS(MATCH($B51-1,'FAF &amp; DDs'!$Q:$Q,0),COLUMN($R$1),1))))/E51*30,-1)</f>
        <v>619.17857142857133</v>
      </c>
      <c r="Q51" s="188">
        <f ca="1">IFERROR(SUM(INDIRECT("'FAF &amp; DDs'!"&amp;(ADDRESS(MATCH($B51-$E51,'FAF &amp; DDs'!$Q:$Q,0),COLUMN($S$1),2,1))&amp;":"&amp;(ADDRESS(MATCH($B51-1,'FAF &amp; DDs'!$Q:$Q,0),COLUMN($S$1),1))))/E51*30,-1)</f>
        <v>6.9642857142857144</v>
      </c>
      <c r="R51" s="176">
        <f t="shared" ca="1" si="13"/>
        <v>6</v>
      </c>
      <c r="S51">
        <f ca="1">IF(ROW()&gt;MIN(($AB$8,$AB$7))+11,0,MATCH(V51,INDIRECT("'Reading History'!B"&amp;$Y$5&amp;":b"&amp;$Y$6),-1))</f>
        <v>40</v>
      </c>
      <c r="T51" s="49"/>
      <c r="U51" s="152">
        <f t="shared" ca="1" si="21"/>
        <v>42797</v>
      </c>
      <c r="V51" s="4">
        <f t="shared" ca="1" si="26"/>
        <v>42803</v>
      </c>
      <c r="W51">
        <f t="shared" ca="1" si="6"/>
        <v>6</v>
      </c>
      <c r="X51">
        <f t="shared" ca="1" si="22"/>
        <v>31</v>
      </c>
      <c r="AB51" s="176">
        <f t="shared" ca="1" si="15"/>
        <v>0</v>
      </c>
    </row>
    <row r="52" spans="1:28" ht="15" customHeight="1" x14ac:dyDescent="0.2">
      <c r="A52" s="2" t="str">
        <f t="shared" ca="1" si="17"/>
        <v>Electric</v>
      </c>
      <c r="B52" s="4">
        <f t="shared" ca="1" si="9"/>
        <v>42769</v>
      </c>
      <c r="C52" s="179" t="str">
        <f t="shared" ca="1" si="18"/>
        <v>Actual</v>
      </c>
      <c r="D52" s="17">
        <f t="shared" ca="1" si="23"/>
        <v>3600</v>
      </c>
      <c r="E52" s="17">
        <f t="shared" ca="1" si="19"/>
        <v>31</v>
      </c>
      <c r="F52" s="182">
        <f t="shared" ca="1" si="24"/>
        <v>0</v>
      </c>
      <c r="G52" s="183">
        <f t="shared" ca="1" si="20"/>
        <v>106.18</v>
      </c>
      <c r="H52" s="184">
        <f ca="1">IF($A52="","",+Rates!N46)</f>
        <v>230.23000000000008</v>
      </c>
      <c r="I52" s="184">
        <f ca="1">IF($A52="","",+ROUND(Rates!O46,2))</f>
        <v>0</v>
      </c>
      <c r="J52" s="184">
        <f ca="1">IF($A52="","",IF(F52=0,0,+ROUND(Rates!P46,2)))</f>
        <v>0</v>
      </c>
      <c r="K52" s="184">
        <f ca="1">IF($A52="","",+ROUND(Rates!X46,2))</f>
        <v>0</v>
      </c>
      <c r="L52" s="184">
        <f ca="1">IF($A52="","",+ROUND(Rates!Q46,2))</f>
        <v>0</v>
      </c>
      <c r="M52" s="185">
        <f ca="1">IF($A52="","",+ROUND(Rates!R46,2))</f>
        <v>230.23</v>
      </c>
      <c r="N52" s="186">
        <f t="shared" ca="1" si="25"/>
        <v>0</v>
      </c>
      <c r="O52" s="187">
        <f t="shared" ca="1" si="4"/>
        <v>0</v>
      </c>
      <c r="P52" s="188">
        <f ca="1">IFERROR(SUM(INDIRECT("'FAF &amp; DDs'!"&amp;(ADDRESS(MATCH($B52-$E52,'FAF &amp; DDs'!$Q:$Q,0),COLUMN($R$1),2,1))&amp;":"&amp;(ADDRESS(MATCH($B52-1,'FAF &amp; DDs'!$Q:$Q,0),COLUMN($R$1),1))))/E52*30,-1)</f>
        <v>940.25806451612914</v>
      </c>
      <c r="Q52" s="188">
        <f ca="1">IFERROR(SUM(INDIRECT("'FAF &amp; DDs'!"&amp;(ADDRESS(MATCH($B52-$E52,'FAF &amp; DDs'!$Q:$Q,0),COLUMN($S$1),2,1))&amp;":"&amp;(ADDRESS(MATCH($B52-1,'FAF &amp; DDs'!$Q:$Q,0),COLUMN($S$1),1))))/E52*30,-1)</f>
        <v>0</v>
      </c>
      <c r="R52" s="176">
        <f t="shared" ca="1" si="13"/>
        <v>6</v>
      </c>
      <c r="S52">
        <f ca="1">IF(ROW()&gt;MIN(($AB$8,$AB$7))+11,0,MATCH(V52,INDIRECT("'Reading History'!B"&amp;$Y$5&amp;":b"&amp;$Y$6),-1))</f>
        <v>41</v>
      </c>
      <c r="T52" s="49"/>
      <c r="U52" s="152">
        <f t="shared" ca="1" si="21"/>
        <v>42769</v>
      </c>
      <c r="V52" s="4">
        <f t="shared" ca="1" si="26"/>
        <v>42772</v>
      </c>
      <c r="W52">
        <f t="shared" ca="1" si="6"/>
        <v>3</v>
      </c>
      <c r="X52">
        <f t="shared" ca="1" si="22"/>
        <v>28</v>
      </c>
      <c r="AB52" s="176">
        <f t="shared" ca="1" si="15"/>
        <v>0</v>
      </c>
    </row>
    <row r="53" spans="1:28" ht="15" customHeight="1" x14ac:dyDescent="0.2">
      <c r="A53" s="2" t="str">
        <f t="shared" ca="1" si="17"/>
        <v>Electric</v>
      </c>
      <c r="B53" s="4">
        <f t="shared" ca="1" si="9"/>
        <v>42738</v>
      </c>
      <c r="C53" s="179" t="str">
        <f t="shared" ca="1" si="18"/>
        <v>Actual</v>
      </c>
      <c r="D53" s="17">
        <f t="shared" ca="1" si="23"/>
        <v>3600</v>
      </c>
      <c r="E53" s="17">
        <f t="shared" ca="1" si="19"/>
        <v>31</v>
      </c>
      <c r="F53" s="182">
        <f t="shared" ca="1" si="24"/>
        <v>39600</v>
      </c>
      <c r="G53" s="183">
        <f t="shared" ca="1" si="20"/>
        <v>106.18</v>
      </c>
      <c r="H53" s="184">
        <f ca="1">IF($A53="","",+Rates!N47)</f>
        <v>230.22999999999968</v>
      </c>
      <c r="I53" s="184">
        <f ca="1">IF($A53="","",+ROUND(Rates!O47,2))</f>
        <v>3373.92</v>
      </c>
      <c r="J53" s="184">
        <f ca="1">IF($A53="","",IF(F53=0,0,+ROUND(Rates!P47,2)))</f>
        <v>1262.48</v>
      </c>
      <c r="K53" s="184">
        <f ca="1">IF($A53="","",+ROUND(Rates!X47,2))</f>
        <v>517.69000000000005</v>
      </c>
      <c r="L53" s="184">
        <f ca="1">IF($A53="","",+ROUND(Rates!Q47,2))</f>
        <v>126.72</v>
      </c>
      <c r="M53" s="185">
        <f ca="1">IF($A53="","",+ROUND(Rates!R47,2))</f>
        <v>5511.04</v>
      </c>
      <c r="N53" s="186">
        <f t="shared" ca="1" si="25"/>
        <v>53225.806451612902</v>
      </c>
      <c r="O53" s="187">
        <f t="shared" ca="1" si="4"/>
        <v>0.50127902101726218</v>
      </c>
      <c r="P53" s="188">
        <f ca="1">IFERROR(SUM(INDIRECT("'FAF &amp; DDs'!"&amp;(ADDRESS(MATCH($B53-$E53,'FAF &amp; DDs'!$Q:$Q,0),COLUMN($R$1),2,1))&amp;":"&amp;(ADDRESS(MATCH($B53-1,'FAF &amp; DDs'!$Q:$Q,0),COLUMN($R$1),1))))/E53*30,-1)</f>
        <v>1018.5483870967743</v>
      </c>
      <c r="Q53" s="188">
        <f ca="1">IFERROR(SUM(INDIRECT("'FAF &amp; DDs'!"&amp;(ADDRESS(MATCH($B53-$E53,'FAF &amp; DDs'!$Q:$Q,0),COLUMN($S$1),2,1))&amp;":"&amp;(ADDRESS(MATCH($B53-1,'FAF &amp; DDs'!$Q:$Q,0),COLUMN($S$1),1))))/E53*30,-1)</f>
        <v>0</v>
      </c>
      <c r="R53" s="176">
        <f t="shared" ca="1" si="13"/>
        <v>6</v>
      </c>
      <c r="S53">
        <f ca="1">IF(ROW()&gt;MIN(($AB$8,$AB$7))+11,0,MATCH(V53,INDIRECT("'Reading History'!B"&amp;$Y$5&amp;":b"&amp;$Y$6),-1))</f>
        <v>42</v>
      </c>
      <c r="T53" s="49"/>
      <c r="U53" s="152">
        <f t="shared" ca="1" si="21"/>
        <v>42738</v>
      </c>
      <c r="V53" s="4">
        <f t="shared" ca="1" si="26"/>
        <v>42744</v>
      </c>
      <c r="W53">
        <f t="shared" ca="1" si="6"/>
        <v>6</v>
      </c>
      <c r="X53">
        <f t="shared" ca="1" si="22"/>
        <v>35</v>
      </c>
      <c r="AB53" s="176">
        <f t="shared" ca="1" si="15"/>
        <v>0</v>
      </c>
    </row>
    <row r="54" spans="1:28" ht="15" customHeight="1" x14ac:dyDescent="0.2">
      <c r="A54" s="2" t="str">
        <f t="shared" ca="1" si="17"/>
        <v>Electric</v>
      </c>
      <c r="B54" s="4">
        <f t="shared" ca="1" si="9"/>
        <v>42707</v>
      </c>
      <c r="C54" s="179" t="str">
        <f t="shared" ca="1" si="18"/>
        <v>Actual</v>
      </c>
      <c r="D54" s="17">
        <f t="shared" ca="1" si="23"/>
        <v>3402</v>
      </c>
      <c r="E54" s="17">
        <f t="shared" ca="1" si="19"/>
        <v>30</v>
      </c>
      <c r="F54" s="182">
        <f t="shared" ca="1" si="24"/>
        <v>38400</v>
      </c>
      <c r="G54" s="183">
        <f t="shared" ca="1" si="20"/>
        <v>138.56</v>
      </c>
      <c r="H54" s="184">
        <f ca="1">IF($A54="","",+Rates!N48)</f>
        <v>230.23000000000002</v>
      </c>
      <c r="I54" s="184">
        <f ca="1">IF($A54="","",+ROUND(Rates!O48,2))</f>
        <v>3271.68</v>
      </c>
      <c r="J54" s="184">
        <f ca="1">IF($A54="","",IF(F54=0,0,+ROUND(Rates!P48,2)))</f>
        <v>1647.48</v>
      </c>
      <c r="K54" s="184">
        <f ca="1">IF($A54="","",+ROUND(Rates!X48,2))</f>
        <v>370.41</v>
      </c>
      <c r="L54" s="184">
        <f ca="1">IF($A54="","",+ROUND(Rates!Q48,2))</f>
        <v>122.88</v>
      </c>
      <c r="M54" s="185">
        <f ca="1">IF($A54="","",+ROUND(Rates!R48,2))</f>
        <v>5642.68</v>
      </c>
      <c r="N54" s="186">
        <f t="shared" ca="1" si="25"/>
        <v>53333.333333333336</v>
      </c>
      <c r="O54" s="187">
        <f t="shared" ca="1" si="4"/>
        <v>0.38491147036181672</v>
      </c>
      <c r="P54" s="188">
        <f ca="1">IFERROR(SUM(INDIRECT("'FAF &amp; DDs'!"&amp;(ADDRESS(MATCH($B54-$E54,'FAF &amp; DDs'!$Q:$Q,0),COLUMN($R$1),2,1))&amp;":"&amp;(ADDRESS(MATCH($B54-1,'FAF &amp; DDs'!$Q:$Q,0),COLUMN($R$1),1))))/E54*30,-1)</f>
        <v>539.4</v>
      </c>
      <c r="Q54" s="188">
        <f ca="1">IFERROR(SUM(INDIRECT("'FAF &amp; DDs'!"&amp;(ADDRESS(MATCH($B54-$E54,'FAF &amp; DDs'!$Q:$Q,0),COLUMN($S$1),2,1))&amp;":"&amp;(ADDRESS(MATCH($B54-1,'FAF &amp; DDs'!$Q:$Q,0),COLUMN($S$1),1))))/E54*30,-1)</f>
        <v>5.0999999999999996</v>
      </c>
      <c r="R54" s="176">
        <f t="shared" ca="1" si="13"/>
        <v>6</v>
      </c>
      <c r="S54">
        <f ca="1">IF(ROW()&gt;MIN(($AB$8,$AB$7))+11,0,MATCH(V54,INDIRECT("'Reading History'!B"&amp;$Y$5&amp;":b"&amp;$Y$6),-1))</f>
        <v>43</v>
      </c>
      <c r="T54" s="49"/>
      <c r="U54" s="152">
        <f t="shared" ca="1" si="21"/>
        <v>42707</v>
      </c>
      <c r="V54" s="4">
        <f t="shared" ca="1" si="26"/>
        <v>42709</v>
      </c>
      <c r="W54">
        <f t="shared" ca="1" si="6"/>
        <v>2</v>
      </c>
      <c r="X54">
        <f t="shared" ca="1" si="22"/>
        <v>32</v>
      </c>
      <c r="AB54" s="176">
        <f t="shared" ca="1" si="15"/>
        <v>0</v>
      </c>
    </row>
    <row r="55" spans="1:28" ht="15" customHeight="1" x14ac:dyDescent="0.2">
      <c r="A55" s="2" t="str">
        <f t="shared" ca="1" si="17"/>
        <v>Electric</v>
      </c>
      <c r="B55" s="4">
        <f t="shared" ca="1" si="9"/>
        <v>42677</v>
      </c>
      <c r="C55" s="179" t="str">
        <f t="shared" ca="1" si="18"/>
        <v>Actual</v>
      </c>
      <c r="D55" s="17">
        <f t="shared" ca="1" si="23"/>
        <v>3210</v>
      </c>
      <c r="E55" s="17">
        <f t="shared" ca="1" si="19"/>
        <v>31</v>
      </c>
      <c r="F55" s="182">
        <f t="shared" ca="1" si="24"/>
        <v>33000</v>
      </c>
      <c r="G55" s="183">
        <f t="shared" ca="1" si="20"/>
        <v>151</v>
      </c>
      <c r="H55" s="184">
        <f ca="1">IF($A55="","",+Rates!N49)</f>
        <v>230.23000000000019</v>
      </c>
      <c r="I55" s="184">
        <f ca="1">IF($A55="","",+ROUND(Rates!O49,2))</f>
        <v>2811.6</v>
      </c>
      <c r="J55" s="184">
        <f ca="1">IF($A55="","",IF(F55=0,0,+ROUND(Rates!P49,2)))</f>
        <v>1795.39</v>
      </c>
      <c r="K55" s="184">
        <f ca="1">IF($A55="","",+ROUND(Rates!X49,2))</f>
        <v>231.1</v>
      </c>
      <c r="L55" s="184">
        <f ca="1">IF($A55="","",+ROUND(Rates!Q49,2))</f>
        <v>105.6</v>
      </c>
      <c r="M55" s="185">
        <f ca="1">IF($A55="","",+ROUND(Rates!R49,2))</f>
        <v>5173.92</v>
      </c>
      <c r="N55" s="186">
        <f t="shared" ca="1" si="25"/>
        <v>44354.838709677417</v>
      </c>
      <c r="O55" s="187">
        <f t="shared" ca="1" si="4"/>
        <v>0.29374065370647295</v>
      </c>
      <c r="P55" s="188">
        <f ca="1">IFERROR(SUM(INDIRECT("'FAF &amp; DDs'!"&amp;(ADDRESS(MATCH($B55-$E55,'FAF &amp; DDs'!$Q:$Q,0),COLUMN($R$1),2,1))&amp;":"&amp;(ADDRESS(MATCH($B55-1,'FAF &amp; DDs'!$Q:$Q,0),COLUMN($R$1),1))))/E55*30,-1)</f>
        <v>180.00000000000003</v>
      </c>
      <c r="Q55" s="188">
        <f ca="1">IFERROR(SUM(INDIRECT("'FAF &amp; DDs'!"&amp;(ADDRESS(MATCH($B55-$E55,'FAF &amp; DDs'!$Q:$Q,0),COLUMN($S$1),2,1))&amp;":"&amp;(ADDRESS(MATCH($B55-1,'FAF &amp; DDs'!$Q:$Q,0),COLUMN($S$1),1))))/E55*30,-1)</f>
        <v>97.645161290322591</v>
      </c>
      <c r="R55" s="176">
        <f t="shared" ca="1" si="13"/>
        <v>6</v>
      </c>
      <c r="S55">
        <f ca="1">IF(ROW()&gt;MIN(($AB$8,$AB$7))+11,0,MATCH(V55,INDIRECT("'Reading History'!B"&amp;$Y$5&amp;":b"&amp;$Y$6),-1))</f>
        <v>44</v>
      </c>
      <c r="T55" s="49"/>
      <c r="U55" s="152">
        <f t="shared" ca="1" si="21"/>
        <v>42677</v>
      </c>
      <c r="V55" s="4">
        <f t="shared" ca="1" si="26"/>
        <v>42677</v>
      </c>
      <c r="W55">
        <f t="shared" ca="1" si="6"/>
        <v>0</v>
      </c>
      <c r="X55">
        <f t="shared" ca="1" si="22"/>
        <v>29</v>
      </c>
      <c r="AB55" s="176">
        <f t="shared" ca="1" si="15"/>
        <v>0</v>
      </c>
    </row>
    <row r="56" spans="1:28" ht="15" customHeight="1" x14ac:dyDescent="0.2">
      <c r="A56" s="2" t="str">
        <f t="shared" ca="1" si="17"/>
        <v>Electric</v>
      </c>
      <c r="B56" s="4">
        <f t="shared" ca="1" si="9"/>
        <v>42646</v>
      </c>
      <c r="C56" s="179" t="str">
        <f t="shared" ca="1" si="18"/>
        <v>Actual</v>
      </c>
      <c r="D56" s="17">
        <f t="shared" ca="1" si="23"/>
        <v>3045</v>
      </c>
      <c r="E56" s="17">
        <f t="shared" ca="1" si="19"/>
        <v>30</v>
      </c>
      <c r="F56" s="182">
        <f t="shared" ca="1" si="24"/>
        <v>53200</v>
      </c>
      <c r="G56" s="183">
        <f t="shared" ca="1" si="20"/>
        <v>120.4</v>
      </c>
      <c r="H56" s="184">
        <f ca="1">IF($A56="","",+Rates!N50)</f>
        <v>230.22999999999993</v>
      </c>
      <c r="I56" s="184">
        <f ca="1">IF($A56="","",+ROUND(Rates!O50,2))</f>
        <v>4671.32</v>
      </c>
      <c r="J56" s="184">
        <f ca="1">IF($A56="","",IF(F56=0,0,+ROUND(Rates!P50,2)))</f>
        <v>1510.77</v>
      </c>
      <c r="K56" s="184">
        <f ca="1">IF($A56="","",+ROUND(Rates!X50,2))</f>
        <v>-19.95</v>
      </c>
      <c r="L56" s="184">
        <f ca="1">IF($A56="","",+ROUND(Rates!Q50,2))</f>
        <v>170.24</v>
      </c>
      <c r="M56" s="185">
        <f ca="1">IF($A56="","",+ROUND(Rates!R50,2))</f>
        <v>6562.61</v>
      </c>
      <c r="N56" s="186">
        <f t="shared" ca="1" si="25"/>
        <v>73888.888888888891</v>
      </c>
      <c r="O56" s="187">
        <f t="shared" ca="1" si="4"/>
        <v>0.6136950904392765</v>
      </c>
      <c r="P56" s="188">
        <f ca="1">IFERROR(SUM(INDIRECT("'FAF &amp; DDs'!"&amp;(ADDRESS(MATCH($B56-$E56,'FAF &amp; DDs'!$Q:$Q,0),COLUMN($R$1),2,1))&amp;":"&amp;(ADDRESS(MATCH($B56-1,'FAF &amp; DDs'!$Q:$Q,0),COLUMN($R$1),1))))/E56*30,-1)</f>
        <v>42.6</v>
      </c>
      <c r="Q56" s="188">
        <f ca="1">IFERROR(SUM(INDIRECT("'FAF &amp; DDs'!"&amp;(ADDRESS(MATCH($B56-$E56,'FAF &amp; DDs'!$Q:$Q,0),COLUMN($S$1),2,1))&amp;":"&amp;(ADDRESS(MATCH($B56-1,'FAF &amp; DDs'!$Q:$Q,0),COLUMN($S$1),1))))/E56*30,-1)</f>
        <v>248.5</v>
      </c>
      <c r="R56" s="176">
        <f t="shared" ca="1" si="13"/>
        <v>6</v>
      </c>
      <c r="S56">
        <f ca="1">IF(ROW()&gt;MIN(($AB$8,$AB$7))+11,0,MATCH(V56,INDIRECT("'Reading History'!B"&amp;$Y$5&amp;":b"&amp;$Y$6),-1))</f>
        <v>45</v>
      </c>
      <c r="T56" s="49"/>
      <c r="U56" s="152">
        <f t="shared" ca="1" si="21"/>
        <v>42646</v>
      </c>
      <c r="V56" s="4">
        <f t="shared" ca="1" si="26"/>
        <v>42648</v>
      </c>
      <c r="W56">
        <f t="shared" ca="1" si="6"/>
        <v>2</v>
      </c>
      <c r="X56">
        <f t="shared" ca="1" si="22"/>
        <v>29</v>
      </c>
      <c r="AB56" s="176">
        <f t="shared" ca="1" si="15"/>
        <v>0</v>
      </c>
    </row>
    <row r="57" spans="1:28" ht="15" customHeight="1" x14ac:dyDescent="0.2">
      <c r="A57" s="2" t="str">
        <f t="shared" ca="1" si="17"/>
        <v>Electric</v>
      </c>
      <c r="B57" s="4">
        <f t="shared" ca="1" si="9"/>
        <v>42616</v>
      </c>
      <c r="C57" s="179" t="str">
        <f t="shared" ca="1" si="18"/>
        <v>Actual</v>
      </c>
      <c r="D57" s="17">
        <f t="shared" ca="1" si="23"/>
        <v>2779</v>
      </c>
      <c r="E57" s="17">
        <f t="shared" ca="1" si="19"/>
        <v>31</v>
      </c>
      <c r="F57" s="182">
        <f t="shared" ca="1" si="24"/>
        <v>50200</v>
      </c>
      <c r="G57" s="183">
        <f t="shared" ca="1" si="20"/>
        <v>157.18</v>
      </c>
      <c r="H57" s="184">
        <f ca="1">IF($A57="","",+Rates!N51)</f>
        <v>230.23000000000005</v>
      </c>
      <c r="I57" s="184">
        <f ca="1">IF($A57="","",+ROUND(Rates!O51,2))</f>
        <v>4698.72</v>
      </c>
      <c r="J57" s="184">
        <f ca="1">IF($A57="","",IF(F57=0,0,+ROUND(Rates!P51,2)))</f>
        <v>2202.09</v>
      </c>
      <c r="K57" s="184">
        <f ca="1">IF($A57="","",+ROUND(Rates!X51,2))</f>
        <v>-160.19</v>
      </c>
      <c r="L57" s="184">
        <f ca="1">IF($A57="","",+ROUND(Rates!Q51,2))</f>
        <v>160.63999999999999</v>
      </c>
      <c r="M57" s="185">
        <f ca="1">IF($A57="","",+ROUND(Rates!R51,2))</f>
        <v>7131.49</v>
      </c>
      <c r="N57" s="186">
        <f t="shared" ca="1" si="25"/>
        <v>67473.118279569884</v>
      </c>
      <c r="O57" s="187">
        <f t="shared" ca="1" si="4"/>
        <v>0.42927292454237115</v>
      </c>
      <c r="P57" s="188">
        <f ca="1">IFERROR(SUM(INDIRECT("'FAF &amp; DDs'!"&amp;(ADDRESS(MATCH($B57-$E57,'FAF &amp; DDs'!$Q:$Q,0),COLUMN($R$1),2,1))&amp;":"&amp;(ADDRESS(MATCH($B57-1,'FAF &amp; DDs'!$Q:$Q,0),COLUMN($R$1),1))))/E57*30,-1)</f>
        <v>7.3548387096774199</v>
      </c>
      <c r="Q57" s="188">
        <f ca="1">IFERROR(SUM(INDIRECT("'FAF &amp; DDs'!"&amp;(ADDRESS(MATCH($B57-$E57,'FAF &amp; DDs'!$Q:$Q,0),COLUMN($S$1),2,1))&amp;":"&amp;(ADDRESS(MATCH($B57-1,'FAF &amp; DDs'!$Q:$Q,0),COLUMN($S$1),1))))/E57*30,-1)</f>
        <v>345.87096774193532</v>
      </c>
      <c r="R57" s="176">
        <f t="shared" ca="1" si="13"/>
        <v>6</v>
      </c>
      <c r="S57">
        <f ca="1">IF(ROW()&gt;MIN(($AB$8,$AB$7))+11,0,MATCH(V57,INDIRECT("'Reading History'!B"&amp;$Y$5&amp;":b"&amp;$Y$6),-1))</f>
        <v>46</v>
      </c>
      <c r="T57" s="49"/>
      <c r="U57" s="152">
        <f t="shared" ca="1" si="21"/>
        <v>42616</v>
      </c>
      <c r="V57" s="4">
        <f t="shared" ca="1" si="26"/>
        <v>42619</v>
      </c>
      <c r="W57">
        <f t="shared" ca="1" si="6"/>
        <v>3</v>
      </c>
      <c r="X57">
        <f t="shared" ca="1" si="22"/>
        <v>30</v>
      </c>
      <c r="AB57" s="176">
        <f t="shared" ca="1" si="15"/>
        <v>0</v>
      </c>
    </row>
    <row r="58" spans="1:28" ht="15" customHeight="1" x14ac:dyDescent="0.2">
      <c r="A58" s="2" t="str">
        <f t="shared" ca="1" si="17"/>
        <v>Electric</v>
      </c>
      <c r="B58" s="4">
        <f t="shared" ca="1" si="9"/>
        <v>42585</v>
      </c>
      <c r="C58" s="179" t="str">
        <f t="shared" ca="1" si="18"/>
        <v>Actual</v>
      </c>
      <c r="D58" s="17">
        <f t="shared" ca="1" si="23"/>
        <v>2528</v>
      </c>
      <c r="E58" s="17">
        <f t="shared" ca="1" si="19"/>
        <v>31</v>
      </c>
      <c r="F58" s="182">
        <f t="shared" ca="1" si="24"/>
        <v>102400</v>
      </c>
      <c r="G58" s="183">
        <f t="shared" ca="1" si="20"/>
        <v>157.18</v>
      </c>
      <c r="H58" s="184">
        <f ca="1">IF($A58="","",+Rates!N52)</f>
        <v>230.23000000000002</v>
      </c>
      <c r="I58" s="184">
        <f ca="1">IF($A58="","",+ROUND(Rates!O52,2))</f>
        <v>9584.64</v>
      </c>
      <c r="J58" s="184">
        <f ca="1">IF($A58="","",IF(F58=0,0,+ROUND(Rates!P52,2)))</f>
        <v>2202.09</v>
      </c>
      <c r="K58" s="184">
        <f ca="1">IF($A58="","",+ROUND(Rates!X52,2))</f>
        <v>-227.12</v>
      </c>
      <c r="L58" s="184">
        <f ca="1">IF($A58="","",+ROUND(Rates!Q52,2))</f>
        <v>327.68</v>
      </c>
      <c r="M58" s="185">
        <f ca="1">IF($A58="","",+ROUND(Rates!R52,2))</f>
        <v>12117.52</v>
      </c>
      <c r="N58" s="186">
        <f t="shared" ca="1" si="25"/>
        <v>137634.40860215054</v>
      </c>
      <c r="O58" s="187">
        <f t="shared" ca="1" si="4"/>
        <v>0.87564835603862157</v>
      </c>
      <c r="P58" s="188">
        <f ca="1">IFERROR(SUM(INDIRECT("'FAF &amp; DDs'!"&amp;(ADDRESS(MATCH($B58-$E58,'FAF &amp; DDs'!$Q:$Q,0),COLUMN($R$1),2,1))&amp;":"&amp;(ADDRESS(MATCH($B58-1,'FAF &amp; DDs'!$Q:$Q,0),COLUMN($R$1),1))))/E58*30,-1)</f>
        <v>2.4193548387096775</v>
      </c>
      <c r="Q58" s="188">
        <f ca="1">IFERROR(SUM(INDIRECT("'FAF &amp; DDs'!"&amp;(ADDRESS(MATCH($B58-$E58,'FAF &amp; DDs'!$Q:$Q,0),COLUMN($S$1),2,1))&amp;":"&amp;(ADDRESS(MATCH($B58-1,'FAF &amp; DDs'!$Q:$Q,0),COLUMN($S$1),1))))/E58*30,-1)</f>
        <v>384.38709677419359</v>
      </c>
      <c r="R58" s="176">
        <f t="shared" ca="1" si="13"/>
        <v>6</v>
      </c>
      <c r="S58">
        <f ca="1">IF(ROW()&gt;MIN(($AB$8,$AB$7))+11,0,MATCH(V58,INDIRECT("'Reading History'!B"&amp;$Y$5&amp;":b"&amp;$Y$6),-1))</f>
        <v>47</v>
      </c>
      <c r="T58" s="49"/>
      <c r="U58" s="152">
        <f t="shared" ca="1" si="21"/>
        <v>42585</v>
      </c>
      <c r="V58" s="4">
        <f t="shared" ca="1" si="26"/>
        <v>42589</v>
      </c>
      <c r="W58">
        <f t="shared" ca="1" si="6"/>
        <v>4</v>
      </c>
      <c r="X58">
        <f t="shared" ca="1" si="22"/>
        <v>32</v>
      </c>
      <c r="AB58" s="176">
        <f t="shared" ca="1" si="15"/>
        <v>0</v>
      </c>
    </row>
    <row r="59" spans="1:28" ht="15" customHeight="1" x14ac:dyDescent="0.2">
      <c r="A59" s="2" t="str">
        <f t="shared" ca="1" si="17"/>
        <v>Electric</v>
      </c>
      <c r="B59" s="4">
        <f t="shared" ca="1" si="9"/>
        <v>42554</v>
      </c>
      <c r="C59" s="179" t="str">
        <f t="shared" ca="1" si="18"/>
        <v>Actual</v>
      </c>
      <c r="D59" s="17">
        <f t="shared" ca="1" si="23"/>
        <v>2016</v>
      </c>
      <c r="E59" s="17">
        <f t="shared" ca="1" si="19"/>
        <v>30</v>
      </c>
      <c r="F59" s="182">
        <f t="shared" ca="1" si="24"/>
        <v>41000</v>
      </c>
      <c r="G59" s="183">
        <f t="shared" ca="1" si="20"/>
        <v>139.02000000000001</v>
      </c>
      <c r="H59" s="184">
        <f ca="1">IF($A59="","",+Rates!N53)</f>
        <v>230.2299999999999</v>
      </c>
      <c r="I59" s="184">
        <f ca="1">IF($A59="","",+ROUND(Rates!O53,2))</f>
        <v>3837.6</v>
      </c>
      <c r="J59" s="184">
        <f ca="1">IF($A59="","",IF(F59=0,0,+ROUND(Rates!P53,2)))</f>
        <v>1947.67</v>
      </c>
      <c r="K59" s="184">
        <f ca="1">IF($A59="","",+ROUND(Rates!X53,2))</f>
        <v>272.89999999999998</v>
      </c>
      <c r="L59" s="184">
        <f ca="1">IF($A59="","",+ROUND(Rates!Q53,2))</f>
        <v>131.19999999999999</v>
      </c>
      <c r="M59" s="185">
        <f ca="1">IF($A59="","",+ROUND(Rates!R53,2))</f>
        <v>6419.6</v>
      </c>
      <c r="N59" s="186">
        <f t="shared" ca="1" si="25"/>
        <v>56944.444444444453</v>
      </c>
      <c r="O59" s="187">
        <f t="shared" ca="1" si="4"/>
        <v>0.40961332502117997</v>
      </c>
      <c r="P59" s="188">
        <f ca="1">IFERROR(SUM(INDIRECT("'FAF &amp; DDs'!"&amp;(ADDRESS(MATCH($B59-$E59,'FAF &amp; DDs'!$Q:$Q,0),COLUMN($R$1),2,1))&amp;":"&amp;(ADDRESS(MATCH($B59-1,'FAF &amp; DDs'!$Q:$Q,0),COLUMN($R$1),1))))/E59*30,-1)</f>
        <v>12.1</v>
      </c>
      <c r="Q59" s="188">
        <f ca="1">IFERROR(SUM(INDIRECT("'FAF &amp; DDs'!"&amp;(ADDRESS(MATCH($B59-$E59,'FAF &amp; DDs'!$Q:$Q,0),COLUMN($S$1),2,1))&amp;":"&amp;(ADDRESS(MATCH($B59-1,'FAF &amp; DDs'!$Q:$Q,0),COLUMN($S$1),1))))/E59*30,-1)</f>
        <v>380.8</v>
      </c>
      <c r="R59" s="176">
        <f t="shared" ca="1" si="13"/>
        <v>6</v>
      </c>
      <c r="S59">
        <f ca="1">IF(ROW()&gt;MIN(($AB$8,$AB$7))+11,0,MATCH(V59,INDIRECT("'Reading History'!B"&amp;$Y$5&amp;":b"&amp;$Y$6),-1))</f>
        <v>48</v>
      </c>
      <c r="T59" s="49"/>
      <c r="U59" s="152">
        <f t="shared" ca="1" si="21"/>
        <v>42554</v>
      </c>
      <c r="V59" s="4">
        <f t="shared" ca="1" si="26"/>
        <v>42557</v>
      </c>
      <c r="W59">
        <f t="shared" ca="1" si="6"/>
        <v>3</v>
      </c>
      <c r="X59">
        <f t="shared" ca="1" si="22"/>
        <v>31</v>
      </c>
      <c r="AB59" s="176">
        <f t="shared" ca="1" si="15"/>
        <v>0</v>
      </c>
    </row>
    <row r="60" spans="1:28" ht="15" customHeight="1" x14ac:dyDescent="0.2">
      <c r="A60" s="2" t="str">
        <f t="shared" ca="1" si="17"/>
        <v>Electric</v>
      </c>
      <c r="B60" s="4">
        <f t="shared" ca="1" si="9"/>
        <v>42524</v>
      </c>
      <c r="C60" s="179" t="str">
        <f t="shared" ca="1" si="18"/>
        <v>Actual</v>
      </c>
      <c r="D60" s="17">
        <f t="shared" ca="1" si="23"/>
        <v>1811</v>
      </c>
      <c r="E60" s="17">
        <f t="shared" ca="1" si="19"/>
        <v>31</v>
      </c>
      <c r="F60" s="182">
        <f t="shared" ca="1" si="24"/>
        <v>38800</v>
      </c>
      <c r="G60" s="183">
        <f t="shared" ca="1" si="20"/>
        <v>140.46</v>
      </c>
      <c r="H60" s="184">
        <f ca="1">IF($A60="","",+Rates!N54)</f>
        <v>230.2299999999999</v>
      </c>
      <c r="I60" s="184">
        <f ca="1">IF($A60="","",+ROUND(Rates!O54,2))</f>
        <v>3519.73</v>
      </c>
      <c r="J60" s="184">
        <f ca="1">IF($A60="","",IF(F60=0,0,+ROUND(Rates!P54,2)))</f>
        <v>1865.48</v>
      </c>
      <c r="K60" s="184">
        <f ca="1">IF($A60="","",+ROUND(Rates!X54,2))</f>
        <v>389.67</v>
      </c>
      <c r="L60" s="184">
        <f ca="1">IF($A60="","",+ROUND(Rates!Q54,2))</f>
        <v>124.16</v>
      </c>
      <c r="M60" s="185">
        <f ca="1">IF($A60="","",+ROUND(Rates!R54,2))</f>
        <v>6129.27</v>
      </c>
      <c r="N60" s="186">
        <f t="shared" ca="1" si="25"/>
        <v>52150.537634408603</v>
      </c>
      <c r="O60" s="187">
        <f t="shared" ca="1" si="4"/>
        <v>0.37128390740715222</v>
      </c>
      <c r="P60" s="188">
        <f ca="1">IFERROR(SUM(INDIRECT("'FAF &amp; DDs'!"&amp;(ADDRESS(MATCH($B60-$E60,'FAF &amp; DDs'!$Q:$Q,0),COLUMN($R$1),2,1))&amp;":"&amp;(ADDRESS(MATCH($B60-1,'FAF &amp; DDs'!$Q:$Q,0),COLUMN($R$1),1))))/E60*30,-1)</f>
        <v>124.93548387096773</v>
      </c>
      <c r="Q60" s="188">
        <f ca="1">IFERROR(SUM(INDIRECT("'FAF &amp; DDs'!"&amp;(ADDRESS(MATCH($B60-$E60,'FAF &amp; DDs'!$Q:$Q,0),COLUMN($S$1),2,1))&amp;":"&amp;(ADDRESS(MATCH($B60-1,'FAF &amp; DDs'!$Q:$Q,0),COLUMN($S$1),1))))/E60*30,-1)</f>
        <v>142.35483870967744</v>
      </c>
      <c r="R60" s="176">
        <f t="shared" ca="1" si="13"/>
        <v>6</v>
      </c>
      <c r="S60">
        <f ca="1">IF(ROW()&gt;MIN(($AB$8,$AB$7))+11,0,MATCH(V60,INDIRECT("'Reading History'!B"&amp;$Y$5&amp;":b"&amp;$Y$6),-1))</f>
        <v>49</v>
      </c>
      <c r="T60" s="49"/>
      <c r="U60" s="152">
        <f t="shared" ca="1" si="21"/>
        <v>42524</v>
      </c>
      <c r="V60" s="4">
        <f t="shared" ca="1" si="26"/>
        <v>42526</v>
      </c>
      <c r="W60">
        <f t="shared" ca="1" si="6"/>
        <v>2</v>
      </c>
      <c r="X60">
        <f t="shared" ca="1" si="22"/>
        <v>32</v>
      </c>
      <c r="AB60" s="176">
        <f t="shared" ca="1" si="15"/>
        <v>0</v>
      </c>
    </row>
    <row r="61" spans="1:28" ht="15" customHeight="1" x14ac:dyDescent="0.2">
      <c r="A61" s="2" t="str">
        <f t="shared" ca="1" si="17"/>
        <v>Electric</v>
      </c>
      <c r="B61" s="4">
        <f t="shared" ca="1" si="9"/>
        <v>42493</v>
      </c>
      <c r="C61" s="179" t="str">
        <f t="shared" ca="1" si="18"/>
        <v>Actual</v>
      </c>
      <c r="D61" s="17">
        <f t="shared" ca="1" si="23"/>
        <v>1617</v>
      </c>
      <c r="E61" s="17">
        <f t="shared" ca="1" si="19"/>
        <v>30</v>
      </c>
      <c r="F61" s="182">
        <f t="shared" ca="1" si="24"/>
        <v>38600</v>
      </c>
      <c r="G61" s="183">
        <f t="shared" ca="1" si="20"/>
        <v>126.22</v>
      </c>
      <c r="H61" s="184">
        <f ca="1">IF($A61="","",+Rates!N55)</f>
        <v>230.23000000000008</v>
      </c>
      <c r="I61" s="184">
        <f ca="1">IF($A61="","",+ROUND(Rates!O55,2))</f>
        <v>3288.72</v>
      </c>
      <c r="J61" s="184">
        <f ca="1">IF($A61="","",IF(F61=0,0,+ROUND(Rates!P55,2)))</f>
        <v>1500.76</v>
      </c>
      <c r="K61" s="184">
        <f ca="1">IF($A61="","",+ROUND(Rates!X55,2))</f>
        <v>699.55</v>
      </c>
      <c r="L61" s="184">
        <f ca="1">IF($A61="","",+ROUND(Rates!Q55,2))</f>
        <v>123.52</v>
      </c>
      <c r="M61" s="185">
        <f ca="1">IF($A61="","",+ROUND(Rates!R55,2))</f>
        <v>5842.78</v>
      </c>
      <c r="N61" s="186">
        <f t="shared" ca="1" si="25"/>
        <v>53611.111111111117</v>
      </c>
      <c r="O61" s="187">
        <f t="shared" ca="1" si="4"/>
        <v>0.4247433933696016</v>
      </c>
      <c r="P61" s="188">
        <f ca="1">IFERROR(SUM(INDIRECT("'FAF &amp; DDs'!"&amp;(ADDRESS(MATCH($B61-$E61,'FAF &amp; DDs'!$Q:$Q,0),COLUMN($R$1),2,1))&amp;":"&amp;(ADDRESS(MATCH($B61-1,'FAF &amp; DDs'!$Q:$Q,0),COLUMN($R$1),1))))/E61*30,-1)</f>
        <v>302.20000000000005</v>
      </c>
      <c r="Q61" s="188">
        <f ca="1">IFERROR(SUM(INDIRECT("'FAF &amp; DDs'!"&amp;(ADDRESS(MATCH($B61-$E61,'FAF &amp; DDs'!$Q:$Q,0),COLUMN($S$1),2,1))&amp;":"&amp;(ADDRESS(MATCH($B61-1,'FAF &amp; DDs'!$Q:$Q,0),COLUMN($S$1),1))))/E61*30,-1)</f>
        <v>50.8</v>
      </c>
      <c r="R61" s="176">
        <f t="shared" ca="1" si="13"/>
        <v>6</v>
      </c>
      <c r="S61">
        <f ca="1">IF(ROW()&gt;MIN(($AB$8,$AB$7))+11,0,MATCH(V61,INDIRECT("'Reading History'!B"&amp;$Y$5&amp;":b"&amp;$Y$6),-1))</f>
        <v>50</v>
      </c>
      <c r="T61" s="49"/>
      <c r="U61" s="152">
        <f t="shared" ca="1" si="21"/>
        <v>42493</v>
      </c>
      <c r="V61" s="4">
        <f t="shared" ca="1" si="26"/>
        <v>42494</v>
      </c>
      <c r="W61">
        <f t="shared" ca="1" si="6"/>
        <v>1</v>
      </c>
      <c r="X61">
        <f t="shared" ca="1" si="22"/>
        <v>29</v>
      </c>
      <c r="AB61" s="176">
        <f t="shared" ca="1" si="15"/>
        <v>0</v>
      </c>
    </row>
    <row r="62" spans="1:28" ht="15" customHeight="1" x14ac:dyDescent="0.2">
      <c r="A62" s="2" t="str">
        <f t="shared" ca="1" si="17"/>
        <v>Electric</v>
      </c>
      <c r="B62" s="4">
        <f t="shared" ca="1" si="9"/>
        <v>42463</v>
      </c>
      <c r="C62" s="179" t="str">
        <f t="shared" ca="1" si="18"/>
        <v>Actual</v>
      </c>
      <c r="D62" s="17">
        <f t="shared" ca="1" si="23"/>
        <v>1424</v>
      </c>
      <c r="E62" s="17">
        <f t="shared" ca="1" si="19"/>
        <v>31</v>
      </c>
      <c r="F62" s="182">
        <f t="shared" ca="1" si="24"/>
        <v>36600</v>
      </c>
      <c r="G62" s="183">
        <f t="shared" ca="1" si="20"/>
        <v>108.08</v>
      </c>
      <c r="H62" s="184">
        <f ca="1">IF($A62="","",+Rates!N56)</f>
        <v>230.23</v>
      </c>
      <c r="I62" s="184">
        <f ca="1">IF($A62="","",+ROUND(Rates!O56,2))</f>
        <v>3118.32</v>
      </c>
      <c r="J62" s="184">
        <f ca="1">IF($A62="","",IF(F62=0,0,+ROUND(Rates!P56,2)))</f>
        <v>1285.07</v>
      </c>
      <c r="K62" s="184">
        <f ca="1">IF($A62="","",+ROUND(Rates!X56,2))</f>
        <v>454.1</v>
      </c>
      <c r="L62" s="184">
        <f ca="1">IF($A62="","",+ROUND(Rates!Q56,2))</f>
        <v>117.12</v>
      </c>
      <c r="M62" s="185">
        <f ca="1">IF($A62="","",+ROUND(Rates!R56,2))</f>
        <v>5204.84</v>
      </c>
      <c r="N62" s="186">
        <f t="shared" ca="1" si="25"/>
        <v>49193.548387096773</v>
      </c>
      <c r="O62" s="187">
        <f t="shared" ca="1" si="4"/>
        <v>0.45515866383324177</v>
      </c>
      <c r="P62" s="188">
        <f ca="1">IFERROR(SUM(INDIRECT("'FAF &amp; DDs'!"&amp;(ADDRESS(MATCH($B62-$E62,'FAF &amp; DDs'!$Q:$Q,0),COLUMN($R$1),2,1))&amp;":"&amp;(ADDRESS(MATCH($B62-1,'FAF &amp; DDs'!$Q:$Q,0),COLUMN($R$1),1))))/E62*30,-1)</f>
        <v>447.19354838709671</v>
      </c>
      <c r="Q62" s="188">
        <f ca="1">IFERROR(SUM(INDIRECT("'FAF &amp; DDs'!"&amp;(ADDRESS(MATCH($B62-$E62,'FAF &amp; DDs'!$Q:$Q,0),COLUMN($S$1),2,1))&amp;":"&amp;(ADDRESS(MATCH($B62-1,'FAF &amp; DDs'!$Q:$Q,0),COLUMN($S$1),1))))/E62*30,-1)</f>
        <v>6.967741935483871</v>
      </c>
      <c r="R62" s="176">
        <f t="shared" ca="1" si="13"/>
        <v>6</v>
      </c>
      <c r="S62">
        <f ca="1">IF(ROW()&gt;MIN(($AB$8,$AB$7))+11,0,MATCH(V62,INDIRECT("'Reading History'!B"&amp;$Y$5&amp;":b"&amp;$Y$6),-1))</f>
        <v>51</v>
      </c>
      <c r="T62" s="49"/>
      <c r="U62" s="152">
        <f t="shared" ca="1" si="21"/>
        <v>42463</v>
      </c>
      <c r="V62" s="4">
        <f t="shared" ca="1" si="26"/>
        <v>42465</v>
      </c>
      <c r="W62">
        <f t="shared" ca="1" si="6"/>
        <v>2</v>
      </c>
      <c r="X62">
        <f t="shared" ca="1" si="22"/>
        <v>30</v>
      </c>
      <c r="AB62" s="176">
        <f t="shared" ca="1" si="15"/>
        <v>0</v>
      </c>
    </row>
    <row r="63" spans="1:28" ht="15" customHeight="1" x14ac:dyDescent="0.2">
      <c r="A63" s="2" t="str">
        <f t="shared" ca="1" si="17"/>
        <v>Electric</v>
      </c>
      <c r="B63" s="4">
        <f t="shared" ca="1" si="9"/>
        <v>42432</v>
      </c>
      <c r="C63" s="179" t="str">
        <f t="shared" ca="1" si="18"/>
        <v>Actual</v>
      </c>
      <c r="D63" s="17">
        <f t="shared" ca="1" si="23"/>
        <v>1241</v>
      </c>
      <c r="E63" s="17">
        <f t="shared" ca="1" si="19"/>
        <v>29</v>
      </c>
      <c r="F63" s="182">
        <f t="shared" ca="1" si="24"/>
        <v>40400</v>
      </c>
      <c r="G63" s="183">
        <f t="shared" ca="1" si="20"/>
        <v>108.62</v>
      </c>
      <c r="H63" s="184">
        <f ca="1">IF($A63="","",+Rates!N57)</f>
        <v>230.22999999999996</v>
      </c>
      <c r="I63" s="184">
        <f ca="1">IF($A63="","",+ROUND(Rates!O57,2))</f>
        <v>3442.08</v>
      </c>
      <c r="J63" s="184">
        <f ca="1">IF($A63="","",IF(F63=0,0,+ROUND(Rates!P57,2)))</f>
        <v>1291.49</v>
      </c>
      <c r="K63" s="184">
        <f ca="1">IF($A63="","",+ROUND(Rates!X57,2))</f>
        <v>-16.12</v>
      </c>
      <c r="L63" s="184">
        <f ca="1">IF($A63="","",+ROUND(Rates!Q57,2))</f>
        <v>129.28</v>
      </c>
      <c r="M63" s="185">
        <f ca="1">IF($A63="","",+ROUND(Rates!R57,2))</f>
        <v>5076.96</v>
      </c>
      <c r="N63" s="186">
        <f t="shared" ca="1" si="25"/>
        <v>58045.977011494251</v>
      </c>
      <c r="O63" s="187">
        <f t="shared" ca="1" si="4"/>
        <v>0.53439492737520022</v>
      </c>
      <c r="P63" s="188">
        <f ca="1">IFERROR(SUM(INDIRECT("'FAF &amp; DDs'!"&amp;(ADDRESS(MATCH($B63-$E63,'FAF &amp; DDs'!$Q:$Q,0),COLUMN($R$1),2,1))&amp;":"&amp;(ADDRESS(MATCH($B63-1,'FAF &amp; DDs'!$Q:$Q,0),COLUMN($R$1),1))))/E63*30,-1)</f>
        <v>901.44827586206895</v>
      </c>
      <c r="Q63" s="188">
        <f ca="1">IFERROR(SUM(INDIRECT("'FAF &amp; DDs'!"&amp;(ADDRESS(MATCH($B63-$E63,'FAF &amp; DDs'!$Q:$Q,0),COLUMN($S$1),2,1))&amp;":"&amp;(ADDRESS(MATCH($B63-1,'FAF &amp; DDs'!$Q:$Q,0),COLUMN($S$1),1))))/E63*30,-1)</f>
        <v>2.5862068965517242</v>
      </c>
      <c r="R63" s="176">
        <f t="shared" ca="1" si="13"/>
        <v>6</v>
      </c>
      <c r="S63">
        <f ca="1">IF(ROW()&gt;MIN(($AB$8,$AB$7))+11,0,MATCH(V63,INDIRECT("'Reading History'!B"&amp;$Y$5&amp;":b"&amp;$Y$6),-1))</f>
        <v>52</v>
      </c>
      <c r="T63" s="49"/>
      <c r="U63" s="152">
        <f t="shared" ca="1" si="21"/>
        <v>42432</v>
      </c>
      <c r="V63" s="4">
        <f t="shared" ca="1" si="26"/>
        <v>42435</v>
      </c>
      <c r="W63">
        <f t="shared" ca="1" si="6"/>
        <v>3</v>
      </c>
      <c r="X63">
        <f t="shared" ca="1" si="22"/>
        <v>31</v>
      </c>
      <c r="AB63" s="176">
        <f t="shared" ca="1" si="15"/>
        <v>0</v>
      </c>
    </row>
    <row r="64" spans="1:28" ht="15" customHeight="1" x14ac:dyDescent="0.2">
      <c r="A64" s="2" t="str">
        <f t="shared" ca="1" si="17"/>
        <v>Electric</v>
      </c>
      <c r="B64" s="4">
        <f t="shared" ca="1" si="9"/>
        <v>42403</v>
      </c>
      <c r="C64" s="179" t="str">
        <f t="shared" ca="1" si="18"/>
        <v>Actual</v>
      </c>
      <c r="D64" s="17">
        <f t="shared" ca="1" si="23"/>
        <v>1039</v>
      </c>
      <c r="E64" s="17">
        <f t="shared" ca="1" si="19"/>
        <v>31</v>
      </c>
      <c r="F64" s="182">
        <f t="shared" ca="1" si="24"/>
        <v>0</v>
      </c>
      <c r="G64" s="183">
        <f t="shared" ca="1" si="20"/>
        <v>105.38</v>
      </c>
      <c r="H64" s="184">
        <f ca="1">IF($A64="","",+Rates!N58)</f>
        <v>230.23</v>
      </c>
      <c r="I64" s="184">
        <f ca="1">IF($A64="","",+ROUND(Rates!O58,2))</f>
        <v>0</v>
      </c>
      <c r="J64" s="184">
        <f ca="1">IF($A64="","",IF(F64=0,0,+ROUND(Rates!P58,2)))</f>
        <v>0</v>
      </c>
      <c r="K64" s="184">
        <f ca="1">IF($A64="","",+ROUND(Rates!X58,2))</f>
        <v>0</v>
      </c>
      <c r="L64" s="184">
        <f ca="1">IF($A64="","",+ROUND(Rates!Q58,2))</f>
        <v>0</v>
      </c>
      <c r="M64" s="185">
        <f ca="1">IF($A64="","",+ROUND(Rates!R58,2))</f>
        <v>230.23</v>
      </c>
      <c r="N64" s="186">
        <f t="shared" ca="1" si="25"/>
        <v>0</v>
      </c>
      <c r="O64" s="187">
        <f t="shared" ca="1" si="4"/>
        <v>0</v>
      </c>
      <c r="P64" s="188">
        <f ca="1">IFERROR(SUM(INDIRECT("'FAF &amp; DDs'!"&amp;(ADDRESS(MATCH($B64-$E64,'FAF &amp; DDs'!$Q:$Q,0),COLUMN($R$1),2,1))&amp;":"&amp;(ADDRESS(MATCH($B64-1,'FAF &amp; DDs'!$Q:$Q,0),COLUMN($R$1),1))))/E64*30,-1)</f>
        <v>1048.4516129032259</v>
      </c>
      <c r="Q64" s="188">
        <f ca="1">IFERROR(SUM(INDIRECT("'FAF &amp; DDs'!"&amp;(ADDRESS(MATCH($B64-$E64,'FAF &amp; DDs'!$Q:$Q,0),COLUMN($S$1),2,1))&amp;":"&amp;(ADDRESS(MATCH($B64-1,'FAF &amp; DDs'!$Q:$Q,0),COLUMN($S$1),1))))/E64*30,-1)</f>
        <v>0</v>
      </c>
      <c r="R64" s="176">
        <f t="shared" ca="1" si="13"/>
        <v>6</v>
      </c>
      <c r="S64">
        <f ca="1">IF(ROW()&gt;MIN(($AB$8,$AB$7))+11,0,MATCH(V64,INDIRECT("'Reading History'!B"&amp;$Y$5&amp;":b"&amp;$Y$6),-1))</f>
        <v>53</v>
      </c>
      <c r="T64" s="49"/>
      <c r="U64" s="152">
        <f t="shared" ca="1" si="21"/>
        <v>42403</v>
      </c>
      <c r="V64" s="4">
        <f t="shared" ca="1" si="26"/>
        <v>42404</v>
      </c>
      <c r="W64">
        <f t="shared" ca="1" si="6"/>
        <v>1</v>
      </c>
      <c r="X64">
        <f t="shared" ca="1" si="22"/>
        <v>28</v>
      </c>
      <c r="AB64" s="176">
        <f t="shared" ca="1" si="15"/>
        <v>0</v>
      </c>
    </row>
    <row r="65" spans="1:28" ht="15" customHeight="1" x14ac:dyDescent="0.2">
      <c r="A65" s="2" t="str">
        <f t="shared" ca="1" si="17"/>
        <v>Electric</v>
      </c>
      <c r="B65" s="4">
        <f t="shared" ca="1" si="9"/>
        <v>42372</v>
      </c>
      <c r="C65" s="179" t="str">
        <f t="shared" ca="1" si="18"/>
        <v>Actual</v>
      </c>
      <c r="D65" s="17">
        <f t="shared" ca="1" si="23"/>
        <v>1039</v>
      </c>
      <c r="E65" s="17">
        <f t="shared" ca="1" si="19"/>
        <v>31</v>
      </c>
      <c r="F65" s="182">
        <f t="shared" ca="1" si="24"/>
        <v>37200</v>
      </c>
      <c r="G65" s="183">
        <f t="shared" ca="1" si="20"/>
        <v>105.38</v>
      </c>
      <c r="H65" s="184">
        <f ca="1">IF($A65="","",+Rates!N59)</f>
        <v>150.22999999999999</v>
      </c>
      <c r="I65" s="184">
        <f ca="1">IF($A65="","",+ROUND(Rates!O59,2))</f>
        <v>3196.22</v>
      </c>
      <c r="J65" s="184">
        <f ca="1">IF($A65="","",IF(F65=0,0,+ROUND(Rates!P59,2)))</f>
        <v>1178.78</v>
      </c>
      <c r="K65" s="184">
        <f ca="1">IF($A65="","",+ROUND(Rates!X59,2))</f>
        <v>686.75</v>
      </c>
      <c r="L65" s="184">
        <f ca="1">IF($A65="","",+ROUND(Rates!Q59,2))</f>
        <v>119.04</v>
      </c>
      <c r="M65" s="185">
        <f ca="1">IF($A65="","",+ROUND(Rates!R59,2))</f>
        <v>5331.02</v>
      </c>
      <c r="N65" s="186">
        <f t="shared" ca="1" si="25"/>
        <v>50000</v>
      </c>
      <c r="O65" s="187">
        <f t="shared" ca="1" si="4"/>
        <v>0.47447333459859553</v>
      </c>
      <c r="P65" s="188">
        <f ca="1">IFERROR(SUM(INDIRECT("'FAF &amp; DDs'!"&amp;(ADDRESS(MATCH($B65-$E65,'FAF &amp; DDs'!$Q:$Q,0),COLUMN($R$1),2,1))&amp;":"&amp;(ADDRESS(MATCH($B65-1,'FAF &amp; DDs'!$Q:$Q,0),COLUMN($R$1),1))))/E65*30,-1)</f>
        <v>695.51612903225805</v>
      </c>
      <c r="Q65" s="188">
        <f ca="1">IFERROR(SUM(INDIRECT("'FAF &amp; DDs'!"&amp;(ADDRESS(MATCH($B65-$E65,'FAF &amp; DDs'!$Q:$Q,0),COLUMN($S$1),2,1))&amp;":"&amp;(ADDRESS(MATCH($B65-1,'FAF &amp; DDs'!$Q:$Q,0),COLUMN($S$1),1))))/E65*30,-1)</f>
        <v>0.967741935483871</v>
      </c>
      <c r="R65" s="176">
        <f t="shared" ca="1" si="13"/>
        <v>6</v>
      </c>
      <c r="S65">
        <f ca="1">IF(ROW()&gt;MIN(($AB$8,$AB$7))+11,0,MATCH(V65,INDIRECT("'Reading History'!B"&amp;$Y$5&amp;":b"&amp;$Y$6),-1))</f>
        <v>54</v>
      </c>
      <c r="T65" s="49"/>
      <c r="U65" s="152">
        <f t="shared" ca="1" si="21"/>
        <v>42372</v>
      </c>
      <c r="V65" s="4">
        <f t="shared" ca="1" si="26"/>
        <v>42376</v>
      </c>
      <c r="W65">
        <f t="shared" ca="1" si="6"/>
        <v>4</v>
      </c>
      <c r="X65">
        <f t="shared" ca="1" si="22"/>
        <v>30</v>
      </c>
      <c r="AB65" s="176">
        <f t="shared" ca="1" si="15"/>
        <v>0</v>
      </c>
    </row>
    <row r="66" spans="1:28" ht="15" customHeight="1" x14ac:dyDescent="0.2">
      <c r="A66" s="2" t="str">
        <f t="shared" ca="1" si="17"/>
        <v>Electric</v>
      </c>
      <c r="B66" s="4">
        <f t="shared" ca="1" si="9"/>
        <v>42341</v>
      </c>
      <c r="C66" s="179" t="str">
        <f t="shared" ca="1" si="18"/>
        <v>Actual</v>
      </c>
      <c r="D66" s="17">
        <f t="shared" ca="1" si="23"/>
        <v>853</v>
      </c>
      <c r="E66" s="17">
        <f t="shared" ca="1" si="19"/>
        <v>30</v>
      </c>
      <c r="F66" s="182">
        <f t="shared" ca="1" si="24"/>
        <v>75000</v>
      </c>
      <c r="G66" s="183">
        <f t="shared" ca="1" si="20"/>
        <v>114.6</v>
      </c>
      <c r="H66" s="184">
        <f ca="1">IF($A66="","",+Rates!N60)</f>
        <v>130.22999999999979</v>
      </c>
      <c r="I66" s="184">
        <f ca="1">IF($A66="","",+ROUND(Rates!O60,2))</f>
        <v>6457.5</v>
      </c>
      <c r="J66" s="184">
        <f ca="1">IF($A66="","",IF(F66=0,0,+ROUND(Rates!P60,2)))</f>
        <v>1261.75</v>
      </c>
      <c r="K66" s="184">
        <f ca="1">IF($A66="","",+ROUND(Rates!X60,2))</f>
        <v>1066.3499999999999</v>
      </c>
      <c r="L66" s="184">
        <f ca="1">IF($A66="","",+ROUND(Rates!Q60,2))</f>
        <v>240</v>
      </c>
      <c r="M66" s="185">
        <f ca="1">IF($A66="","",+ROUND(Rates!R60,2))</f>
        <v>9155.83</v>
      </c>
      <c r="N66" s="186">
        <f t="shared" ca="1" si="25"/>
        <v>104166.66666666667</v>
      </c>
      <c r="O66" s="187">
        <f t="shared" ca="1" si="4"/>
        <v>0.90895869691681208</v>
      </c>
      <c r="P66" s="188">
        <f ca="1">IFERROR(SUM(INDIRECT("'FAF &amp; DDs'!"&amp;(ADDRESS(MATCH($B66-$E66,'FAF &amp; DDs'!$Q:$Q,0),COLUMN($R$1),2,1))&amp;":"&amp;(ADDRESS(MATCH($B66-1,'FAF &amp; DDs'!$Q:$Q,0),COLUMN($R$1),1))))/E66*30,-1)</f>
        <v>542.6</v>
      </c>
      <c r="Q66" s="188">
        <f ca="1">IFERROR(SUM(INDIRECT("'FAF &amp; DDs'!"&amp;(ADDRESS(MATCH($B66-$E66,'FAF &amp; DDs'!$Q:$Q,0),COLUMN($S$1),2,1))&amp;":"&amp;(ADDRESS(MATCH($B66-1,'FAF &amp; DDs'!$Q:$Q,0),COLUMN($S$1),1))))/E66*30,-1)</f>
        <v>2.6</v>
      </c>
      <c r="R66" s="176">
        <f t="shared" ca="1" si="13"/>
        <v>6</v>
      </c>
      <c r="S66">
        <f ca="1">IF(ROW()&gt;MIN(($AB$8,$AB$7))+11,0,MATCH(V66,INDIRECT("'Reading History'!B"&amp;$Y$5&amp;":b"&amp;$Y$6),-1))</f>
        <v>55</v>
      </c>
      <c r="T66" s="49"/>
      <c r="U66" s="152">
        <f t="shared" ca="1" si="21"/>
        <v>42341</v>
      </c>
      <c r="V66" s="4">
        <f t="shared" ca="1" si="26"/>
        <v>42346</v>
      </c>
      <c r="W66">
        <f t="shared" ca="1" si="6"/>
        <v>5</v>
      </c>
      <c r="X66">
        <f t="shared" ca="1" si="22"/>
        <v>34</v>
      </c>
      <c r="AB66" s="176">
        <f t="shared" ca="1" si="15"/>
        <v>0</v>
      </c>
    </row>
    <row r="67" spans="1:28" ht="15" customHeight="1" x14ac:dyDescent="0.2">
      <c r="A67" s="2" t="str">
        <f t="shared" ca="1" si="17"/>
        <v>Electric</v>
      </c>
      <c r="B67" s="4">
        <f t="shared" ca="1" si="9"/>
        <v>42311</v>
      </c>
      <c r="C67" s="179" t="str">
        <f t="shared" ca="1" si="18"/>
        <v>Actual</v>
      </c>
      <c r="D67" s="17">
        <f t="shared" ca="1" si="23"/>
        <v>478</v>
      </c>
      <c r="E67" s="17">
        <f t="shared" ca="1" si="19"/>
        <v>31</v>
      </c>
      <c r="F67" s="182">
        <f t="shared" ca="1" si="24"/>
        <v>0</v>
      </c>
      <c r="G67" s="183">
        <f t="shared" ca="1" si="20"/>
        <v>148.06</v>
      </c>
      <c r="H67" s="184">
        <f ca="1">IF($A67="","",+Rates!N61)</f>
        <v>130.22999999999993</v>
      </c>
      <c r="I67" s="184">
        <f ca="1">IF($A67="","",+ROUND(Rates!O61,2))</f>
        <v>0</v>
      </c>
      <c r="J67" s="184">
        <f ca="1">IF($A67="","",IF(F67=0,0,+ROUND(Rates!P61,2)))</f>
        <v>0</v>
      </c>
      <c r="K67" s="184">
        <f ca="1">IF($A67="","",+ROUND(Rates!X61,2))</f>
        <v>0</v>
      </c>
      <c r="L67" s="184">
        <f ca="1">IF($A67="","",+ROUND(Rates!Q61,2))</f>
        <v>0</v>
      </c>
      <c r="M67" s="185">
        <f ca="1">IF($A67="","",+ROUND(Rates!R61,2))</f>
        <v>130.22999999999999</v>
      </c>
      <c r="N67" s="186">
        <f t="shared" ca="1" si="25"/>
        <v>0</v>
      </c>
      <c r="O67" s="187">
        <f t="shared" ca="1" si="4"/>
        <v>0</v>
      </c>
      <c r="P67" s="188">
        <f ca="1">IFERROR(SUM(INDIRECT("'FAF &amp; DDs'!"&amp;(ADDRESS(MATCH($B67-$E67,'FAF &amp; DDs'!$Q:$Q,0),COLUMN($R$1),2,1))&amp;":"&amp;(ADDRESS(MATCH($B67-1,'FAF &amp; DDs'!$Q:$Q,0),COLUMN($R$1),1))))/E67*30,-1)</f>
        <v>272.70967741935482</v>
      </c>
      <c r="Q67" s="188">
        <f ca="1">IFERROR(SUM(INDIRECT("'FAF &amp; DDs'!"&amp;(ADDRESS(MATCH($B67-$E67,'FAF &amp; DDs'!$Q:$Q,0),COLUMN($S$1),2,1))&amp;":"&amp;(ADDRESS(MATCH($B67-1,'FAF &amp; DDs'!$Q:$Q,0),COLUMN($S$1),1))))/E67*30,-1)</f>
        <v>48.967741935483858</v>
      </c>
      <c r="R67" s="176">
        <f t="shared" ca="1" si="13"/>
        <v>6</v>
      </c>
      <c r="S67">
        <f ca="1">IF(ROW()&gt;MIN(($AB$8,$AB$7))+11,0,MATCH(V67,INDIRECT("'Reading History'!B"&amp;$Y$5&amp;":b"&amp;$Y$6),-1))</f>
        <v>56</v>
      </c>
      <c r="T67" s="49"/>
      <c r="U67" s="152">
        <f t="shared" ca="1" si="21"/>
        <v>42311</v>
      </c>
      <c r="V67" s="4">
        <f t="shared" ca="1" si="26"/>
        <v>42312</v>
      </c>
      <c r="W67">
        <f t="shared" ca="1" si="6"/>
        <v>1</v>
      </c>
      <c r="X67">
        <f t="shared" ca="1" si="22"/>
        <v>29</v>
      </c>
      <c r="AB67" s="176">
        <f t="shared" ca="1" si="15"/>
        <v>0</v>
      </c>
    </row>
    <row r="68" spans="1:28" ht="15" customHeight="1" x14ac:dyDescent="0.2">
      <c r="A68" s="2" t="str">
        <f t="shared" ca="1" si="17"/>
        <v>Electric</v>
      </c>
      <c r="B68" s="4">
        <f t="shared" ca="1" si="9"/>
        <v>42280</v>
      </c>
      <c r="C68" s="179" t="str">
        <f t="shared" ca="1" si="18"/>
        <v>Actual</v>
      </c>
      <c r="D68" s="17">
        <f t="shared" ca="1" si="23"/>
        <v>478</v>
      </c>
      <c r="E68" s="17">
        <f t="shared" ca="1" si="19"/>
        <v>30</v>
      </c>
      <c r="F68" s="182">
        <f t="shared" ca="1" si="24"/>
        <v>41800</v>
      </c>
      <c r="G68" s="183">
        <f t="shared" ca="1" si="20"/>
        <v>148.06</v>
      </c>
      <c r="H68" s="184">
        <f ca="1">IF($A68="","",+Rates!N62)</f>
        <v>130.23000000000008</v>
      </c>
      <c r="I68" s="184">
        <f ca="1">IF($A68="","",+ROUND(Rates!O62,2))</f>
        <v>3686.76</v>
      </c>
      <c r="J68" s="184">
        <f ca="1">IF($A68="","",IF(F68=0,0,+ROUND(Rates!P62,2)))</f>
        <v>1702.69</v>
      </c>
      <c r="K68" s="184">
        <f ca="1">IF($A68="","",+ROUND(Rates!X62,2))</f>
        <v>268.02</v>
      </c>
      <c r="L68" s="184">
        <f ca="1">IF($A68="","",+ROUND(Rates!Q62,2))</f>
        <v>133.76</v>
      </c>
      <c r="M68" s="185">
        <f ca="1">IF($A68="","",+ROUND(Rates!R62,2))</f>
        <v>5921.46</v>
      </c>
      <c r="N68" s="186">
        <f t="shared" ca="1" si="25"/>
        <v>58055.555555555547</v>
      </c>
      <c r="O68" s="187">
        <f t="shared" ca="1" si="4"/>
        <v>0.39210830444114242</v>
      </c>
      <c r="P68" s="188">
        <f ca="1">IFERROR(SUM(INDIRECT("'FAF &amp; DDs'!"&amp;(ADDRESS(MATCH($B68-$E68,'FAF &amp; DDs'!$Q:$Q,0),COLUMN($R$1),2,1))&amp;":"&amp;(ADDRESS(MATCH($B68-1,'FAF &amp; DDs'!$Q:$Q,0),COLUMN($R$1),1))))/E68*30,-1)</f>
        <v>75.3</v>
      </c>
      <c r="Q68" s="188">
        <f ca="1">IFERROR(SUM(INDIRECT("'FAF &amp; DDs'!"&amp;(ADDRESS(MATCH($B68-$E68,'FAF &amp; DDs'!$Q:$Q,0),COLUMN($S$1),2,1))&amp;":"&amp;(ADDRESS(MATCH($B68-1,'FAF &amp; DDs'!$Q:$Q,0),COLUMN($S$1),1))))/E68*30,-1)</f>
        <v>231.00000000000003</v>
      </c>
      <c r="R68" s="176">
        <f t="shared" ca="1" si="13"/>
        <v>6</v>
      </c>
      <c r="S68">
        <f ca="1">IF(ROW()&gt;MIN(($AB$8,$AB$7))+11,0,MATCH(V68,INDIRECT("'Reading History'!B"&amp;$Y$5&amp;":b"&amp;$Y$6),-1))</f>
        <v>57</v>
      </c>
      <c r="T68" s="49"/>
      <c r="U68" s="152">
        <f t="shared" ca="1" si="21"/>
        <v>42280</v>
      </c>
      <c r="V68" s="4">
        <f t="shared" ca="1" si="26"/>
        <v>42283</v>
      </c>
      <c r="W68">
        <f t="shared" ca="1" si="6"/>
        <v>3</v>
      </c>
      <c r="X68">
        <f t="shared" ca="1" si="22"/>
        <v>28</v>
      </c>
      <c r="AB68" s="176">
        <f t="shared" ca="1" si="15"/>
        <v>0</v>
      </c>
    </row>
    <row r="69" spans="1:28" ht="15" customHeight="1" x14ac:dyDescent="0.2">
      <c r="A69" s="2" t="str">
        <f t="shared" ca="1" si="17"/>
        <v>Electric</v>
      </c>
      <c r="B69" s="4">
        <f t="shared" ca="1" si="9"/>
        <v>42250</v>
      </c>
      <c r="C69" s="179" t="str">
        <f t="shared" ca="1" si="18"/>
        <v>Actual</v>
      </c>
      <c r="D69" s="17">
        <f t="shared" ca="1" si="23"/>
        <v>269</v>
      </c>
      <c r="E69" s="17">
        <f t="shared" ca="1" si="19"/>
        <v>31</v>
      </c>
      <c r="F69" s="182">
        <f t="shared" ca="1" si="24"/>
        <v>56400</v>
      </c>
      <c r="G69" s="183">
        <f t="shared" ca="1" si="20"/>
        <v>151.66</v>
      </c>
      <c r="H69" s="184">
        <f ca="1">IF($A69="","",+Rates!N63)</f>
        <v>130.2299999999999</v>
      </c>
      <c r="I69" s="184">
        <f ca="1">IF($A69="","",+ROUND(Rates!O63,2))</f>
        <v>5329.8</v>
      </c>
      <c r="J69" s="184">
        <f ca="1">IF($A69="","",IF(F69=0,0,+ROUND(Rates!P63,2)))</f>
        <v>1967.03</v>
      </c>
      <c r="K69" s="184">
        <f ca="1">IF($A69="","",+ROUND(Rates!X63,2))</f>
        <v>49.86</v>
      </c>
      <c r="L69" s="184">
        <f ca="1">IF($A69="","",+ROUND(Rates!Q63,2))</f>
        <v>180.48</v>
      </c>
      <c r="M69" s="185">
        <f ca="1">IF($A69="","",+ROUND(Rates!R63,2))</f>
        <v>7657.4</v>
      </c>
      <c r="N69" s="186">
        <f t="shared" ca="1" si="25"/>
        <v>75806.451612903213</v>
      </c>
      <c r="O69" s="187">
        <f t="shared" ca="1" si="4"/>
        <v>0.49984472908415678</v>
      </c>
      <c r="P69" s="188">
        <f ca="1">IFERROR(SUM(INDIRECT("'FAF &amp; DDs'!"&amp;(ADDRESS(MATCH($B69-$E69,'FAF &amp; DDs'!$Q:$Q,0),COLUMN($R$1),2,1))&amp;":"&amp;(ADDRESS(MATCH($B69-1,'FAF &amp; DDs'!$Q:$Q,0),COLUMN($R$1),1))))/E69*30,-1)</f>
        <v>27.096774193548388</v>
      </c>
      <c r="Q69" s="188">
        <f ca="1">IFERROR(SUM(INDIRECT("'FAF &amp; DDs'!"&amp;(ADDRESS(MATCH($B69-$E69,'FAF &amp; DDs'!$Q:$Q,0),COLUMN($S$1),2,1))&amp;":"&amp;(ADDRESS(MATCH($B69-1,'FAF &amp; DDs'!$Q:$Q,0),COLUMN($S$1),1))))/E69*30,-1)</f>
        <v>284.03225806451604</v>
      </c>
      <c r="R69" s="176">
        <f t="shared" ca="1" si="13"/>
        <v>6</v>
      </c>
      <c r="S69">
        <f ca="1">IF(ROW()&gt;MIN(($AB$8,$AB$7))+11,0,MATCH(V69,INDIRECT("'Reading History'!B"&amp;$Y$5&amp;":b"&amp;$Y$6),-1))</f>
        <v>58</v>
      </c>
      <c r="T69" s="49"/>
      <c r="U69" s="152">
        <f t="shared" ca="1" si="21"/>
        <v>42250</v>
      </c>
      <c r="V69" s="4">
        <f t="shared" ca="1" si="26"/>
        <v>42255</v>
      </c>
      <c r="W69">
        <f t="shared" ca="1" si="6"/>
        <v>5</v>
      </c>
      <c r="X69">
        <f t="shared" ca="1" si="22"/>
        <v>33</v>
      </c>
      <c r="AB69" s="176">
        <f t="shared" ca="1" si="15"/>
        <v>0</v>
      </c>
    </row>
    <row r="70" spans="1:28" ht="15" customHeight="1" x14ac:dyDescent="0.2">
      <c r="A70" s="2" t="str">
        <f t="shared" ca="1" si="17"/>
        <v>Electric</v>
      </c>
      <c r="B70" s="4">
        <f t="shared" ca="1" si="9"/>
        <v>42219</v>
      </c>
      <c r="C70" s="179" t="str">
        <f t="shared" ca="1" si="18"/>
        <v>Actual</v>
      </c>
      <c r="D70" s="17">
        <f t="shared" ca="1" si="23"/>
        <v>9987</v>
      </c>
      <c r="E70" s="17">
        <f t="shared" ca="1" si="19"/>
        <v>31</v>
      </c>
      <c r="F70" s="182">
        <f t="shared" ca="1" si="24"/>
        <v>40600</v>
      </c>
      <c r="G70" s="183">
        <f t="shared" ca="1" si="20"/>
        <v>161.78</v>
      </c>
      <c r="H70" s="184">
        <f ca="1">IF($A70="","",+Rates!N64)</f>
        <v>130.22999999999993</v>
      </c>
      <c r="I70" s="184">
        <f ca="1">IF($A70="","",+ROUND(Rates!O64,2))</f>
        <v>3836.7</v>
      </c>
      <c r="J70" s="184">
        <f ca="1">IF($A70="","",IF(F70=0,0,+ROUND(Rates!P64,2)))</f>
        <v>2098.29</v>
      </c>
      <c r="K70" s="184">
        <f ca="1">IF($A70="","",+ROUND(Rates!X64,2))</f>
        <v>295.89</v>
      </c>
      <c r="L70" s="184">
        <f ca="1">IF($A70="","",+ROUND(Rates!Q64,2))</f>
        <v>129.91999999999999</v>
      </c>
      <c r="M70" s="185">
        <f ca="1">IF($A70="","",+ROUND(Rates!R64,2))</f>
        <v>6491.03</v>
      </c>
      <c r="N70" s="186">
        <f t="shared" ca="1" si="25"/>
        <v>54569.892473118278</v>
      </c>
      <c r="O70" s="187">
        <f t="shared" ca="1" si="4"/>
        <v>0.33730926241264853</v>
      </c>
      <c r="P70" s="188">
        <f ca="1">IFERROR(SUM(INDIRECT("'FAF &amp; DDs'!"&amp;(ADDRESS(MATCH($B70-$E70,'FAF &amp; DDs'!$Q:$Q,0),COLUMN($R$1),2,1))&amp;":"&amp;(ADDRESS(MATCH($B70-1,'FAF &amp; DDs'!$Q:$Q,0),COLUMN($R$1),1))))/E70*30,-1)</f>
        <v>7.258064516129032</v>
      </c>
      <c r="Q70" s="188">
        <f ca="1">IFERROR(SUM(INDIRECT("'FAF &amp; DDs'!"&amp;(ADDRESS(MATCH($B70-$E70,'FAF &amp; DDs'!$Q:$Q,0),COLUMN($S$1),2,1))&amp;":"&amp;(ADDRESS(MATCH($B70-1,'FAF &amp; DDs'!$Q:$Q,0),COLUMN($S$1),1))))/E70*30,-1)</f>
        <v>362.22580645161304</v>
      </c>
      <c r="R70" s="176">
        <f t="shared" ca="1" si="13"/>
        <v>6</v>
      </c>
      <c r="S70">
        <f ca="1">IF(ROW()&gt;MIN(($AB$8,$AB$7))+11,0,MATCH(V70,INDIRECT("'Reading History'!B"&amp;$Y$5&amp;":b"&amp;$Y$6),-1))</f>
        <v>59</v>
      </c>
      <c r="T70" s="49"/>
      <c r="U70" s="152">
        <f t="shared" ca="1" si="21"/>
        <v>42219</v>
      </c>
      <c r="V70" s="4">
        <f t="shared" ca="1" si="26"/>
        <v>42222</v>
      </c>
      <c r="W70">
        <f t="shared" ca="1" si="6"/>
        <v>3</v>
      </c>
      <c r="X70">
        <f t="shared" ca="1" si="22"/>
        <v>29</v>
      </c>
      <c r="AB70" s="176">
        <f t="shared" ca="1" si="15"/>
        <v>0</v>
      </c>
    </row>
    <row r="71" spans="1:28" ht="15" customHeight="1" x14ac:dyDescent="0.2">
      <c r="A71" s="2" t="str">
        <f t="shared" ca="1" si="17"/>
        <v>Electric</v>
      </c>
      <c r="B71" s="4">
        <f t="shared" ca="1" si="9"/>
        <v>42188</v>
      </c>
      <c r="C71" s="179" t="str">
        <f t="shared" ca="1" si="18"/>
        <v>Actual</v>
      </c>
      <c r="D71" s="17">
        <f t="shared" ca="1" si="23"/>
        <v>9784</v>
      </c>
      <c r="E71" s="17">
        <f t="shared" ca="1" si="19"/>
        <v>30</v>
      </c>
      <c r="F71" s="182">
        <f t="shared" ca="1" si="24"/>
        <v>86000</v>
      </c>
      <c r="G71" s="183">
        <f t="shared" ca="1" si="20"/>
        <v>155.29990000000001</v>
      </c>
      <c r="H71" s="184">
        <f ca="1">IF($A71="","",+Rates!N65)</f>
        <v>130.2299999999999</v>
      </c>
      <c r="I71" s="184">
        <f ca="1">IF($A71="","",+ROUND(Rates!O65,2))</f>
        <v>8127</v>
      </c>
      <c r="J71" s="184">
        <f ca="1">IF($A71="","",IF(F71=0,0,+ROUND(Rates!P65,2)))</f>
        <v>2014.24</v>
      </c>
      <c r="K71" s="184">
        <f ca="1">IF($A71="","",+ROUND(Rates!X65,2))</f>
        <v>1453.23</v>
      </c>
      <c r="L71" s="184">
        <f ca="1">IF($A71="","",+ROUND(Rates!Q65,2))</f>
        <v>275.2</v>
      </c>
      <c r="M71" s="185">
        <f ca="1">IF($A71="","",+ROUND(Rates!R65,2))</f>
        <v>11999.9</v>
      </c>
      <c r="N71" s="186">
        <f t="shared" ca="1" si="25"/>
        <v>119444.44444444444</v>
      </c>
      <c r="O71" s="187">
        <f t="shared" ca="1" si="4"/>
        <v>0.76912119353872366</v>
      </c>
      <c r="P71" s="188">
        <f ca="1">IFERROR(SUM(INDIRECT("'FAF &amp; DDs'!"&amp;(ADDRESS(MATCH($B71-$E71,'FAF &amp; DDs'!$Q:$Q,0),COLUMN($R$1),2,1))&amp;":"&amp;(ADDRESS(MATCH($B71-1,'FAF &amp; DDs'!$Q:$Q,0),COLUMN($R$1),1))))/E71*30,-1)</f>
        <v>5.4</v>
      </c>
      <c r="Q71" s="188">
        <f ca="1">IFERROR(SUM(INDIRECT("'FAF &amp; DDs'!"&amp;(ADDRESS(MATCH($B71-$E71,'FAF &amp; DDs'!$Q:$Q,0),COLUMN($S$1),2,1))&amp;":"&amp;(ADDRESS(MATCH($B71-1,'FAF &amp; DDs'!$Q:$Q,0),COLUMN($S$1),1))))/E71*30,-1)</f>
        <v>304</v>
      </c>
      <c r="R71" s="176">
        <f t="shared" ca="1" si="13"/>
        <v>6</v>
      </c>
      <c r="S71">
        <f ca="1">IF(ROW()&gt;MIN(($AB$8,$AB$7))+11,0,MATCH(V71,INDIRECT("'Reading History'!B"&amp;$Y$5&amp;":b"&amp;$Y$6),-1))</f>
        <v>60</v>
      </c>
      <c r="T71" s="49"/>
      <c r="U71" s="152">
        <f t="shared" ca="1" si="21"/>
        <v>42188</v>
      </c>
      <c r="V71" s="4">
        <f t="shared" ca="1" si="26"/>
        <v>42193</v>
      </c>
      <c r="W71">
        <f t="shared" ca="1" si="6"/>
        <v>5</v>
      </c>
      <c r="X71">
        <f t="shared" ca="1" si="22"/>
        <v>33</v>
      </c>
      <c r="AB71" s="176">
        <f t="shared" ca="1" si="15"/>
        <v>0</v>
      </c>
    </row>
    <row r="72" spans="1:28" ht="15" customHeight="1" x14ac:dyDescent="0.2">
      <c r="A72" s="2" t="str">
        <f t="shared" ca="1" si="17"/>
        <v>Electric</v>
      </c>
      <c r="B72" s="4">
        <f t="shared" ca="1" si="9"/>
        <v>42158</v>
      </c>
      <c r="C72" s="179" t="str">
        <f t="shared" ca="1" si="18"/>
        <v>Actual</v>
      </c>
      <c r="D72" s="17">
        <f t="shared" ca="1" si="23"/>
        <v>9354</v>
      </c>
      <c r="E72" s="17">
        <f t="shared" ca="1" si="19"/>
        <v>31</v>
      </c>
      <c r="F72" s="182">
        <f t="shared" ca="1" si="24"/>
        <v>12600</v>
      </c>
      <c r="G72" s="183">
        <f t="shared" ca="1" si="20"/>
        <v>146.47999999999999</v>
      </c>
      <c r="H72" s="184">
        <f ca="1">IF($A72="","",+Rates!N66)</f>
        <v>130.2300000000003</v>
      </c>
      <c r="I72" s="184">
        <f ca="1">IF($A72="","",+ROUND(Rates!O66,2))</f>
        <v>1158.95</v>
      </c>
      <c r="J72" s="184">
        <f ca="1">IF($A72="","",IF(F72=0,0,+ROUND(Rates!P66,2)))</f>
        <v>1813.72</v>
      </c>
      <c r="K72" s="184">
        <f ca="1">IF($A72="","",+ROUND(Rates!X66,2))</f>
        <v>140.28</v>
      </c>
      <c r="L72" s="184">
        <f ca="1">IF($A72="","",+ROUND(Rates!Q66,2))</f>
        <v>40.32</v>
      </c>
      <c r="M72" s="185">
        <f ca="1">IF($A72="","",+ROUND(Rates!R66,2))</f>
        <v>3283.5</v>
      </c>
      <c r="N72" s="186">
        <f t="shared" ca="1" si="25"/>
        <v>16935.483870967739</v>
      </c>
      <c r="O72" s="187">
        <f t="shared" ca="1" si="4"/>
        <v>0.11561635630098131</v>
      </c>
      <c r="P72" s="188">
        <f ca="1">IFERROR(SUM(INDIRECT("'FAF &amp; DDs'!"&amp;(ADDRESS(MATCH($B72-$E72,'FAF &amp; DDs'!$Q:$Q,0),COLUMN($R$1),2,1))&amp;":"&amp;(ADDRESS(MATCH($B72-1,'FAF &amp; DDs'!$Q:$Q,0),COLUMN($R$1),1))))/E72*30,-1)</f>
        <v>84.967741935483872</v>
      </c>
      <c r="Q72" s="188">
        <f ca="1">IFERROR(SUM(INDIRECT("'FAF &amp; DDs'!"&amp;(ADDRESS(MATCH($B72-$E72,'FAF &amp; DDs'!$Q:$Q,0),COLUMN($S$1),2,1))&amp;":"&amp;(ADDRESS(MATCH($B72-1,'FAF &amp; DDs'!$Q:$Q,0),COLUMN($S$1),1))))/E72*30,-1)</f>
        <v>164.70967741935485</v>
      </c>
      <c r="R72" s="176">
        <f t="shared" ca="1" si="13"/>
        <v>6</v>
      </c>
      <c r="S72">
        <f ca="1">IF(ROW()&gt;MIN(($AB$8,$AB$7))+11,0,MATCH(V72,INDIRECT("'Reading History'!B"&amp;$Y$5&amp;":b"&amp;$Y$6),-1))</f>
        <v>61</v>
      </c>
      <c r="T72" s="49"/>
      <c r="U72" s="152">
        <f t="shared" ca="1" si="21"/>
        <v>42158</v>
      </c>
      <c r="V72" s="4">
        <f t="shared" ca="1" si="26"/>
        <v>42160</v>
      </c>
      <c r="W72">
        <f t="shared" ca="1" si="6"/>
        <v>2</v>
      </c>
      <c r="X72">
        <f t="shared" ca="1" si="22"/>
        <v>30</v>
      </c>
      <c r="AB72" s="176">
        <f t="shared" ca="1" si="15"/>
        <v>0</v>
      </c>
    </row>
    <row r="73" spans="1:28" ht="15" customHeight="1" x14ac:dyDescent="0.2">
      <c r="A73" s="2" t="str">
        <f t="shared" ca="1" si="17"/>
        <v>Electric</v>
      </c>
      <c r="B73" s="4">
        <f t="shared" ca="1" si="9"/>
        <v>42127</v>
      </c>
      <c r="C73" s="179" t="str">
        <f t="shared" ca="1" si="18"/>
        <v>Actual</v>
      </c>
      <c r="D73" s="17">
        <f t="shared" ca="1" si="23"/>
        <v>9291</v>
      </c>
      <c r="E73" s="17">
        <f t="shared" ca="1" si="19"/>
        <v>30</v>
      </c>
      <c r="F73" s="182">
        <f t="shared" ca="1" si="24"/>
        <v>28000</v>
      </c>
      <c r="G73" s="183">
        <f t="shared" ca="1" si="20"/>
        <v>146.47999999999999</v>
      </c>
      <c r="H73" s="184">
        <f ca="1">IF($A73="","",+Rates!N67)</f>
        <v>130.22999999999993</v>
      </c>
      <c r="I73" s="184">
        <f ca="1">IF($A73="","",+ROUND(Rates!O67,2))</f>
        <v>2410.8000000000002</v>
      </c>
      <c r="J73" s="184">
        <f ca="1">IF($A73="","",IF(F73=0,0,+ROUND(Rates!P67,2)))</f>
        <v>1612.74</v>
      </c>
      <c r="K73" s="184">
        <f ca="1">IF($A73="","",+ROUND(Rates!X67,2))</f>
        <v>411.6</v>
      </c>
      <c r="L73" s="184">
        <f ca="1">IF($A73="","",+ROUND(Rates!Q67,2))</f>
        <v>89.6</v>
      </c>
      <c r="M73" s="185">
        <f ca="1">IF($A73="","",+ROUND(Rates!R67,2))</f>
        <v>4654.97</v>
      </c>
      <c r="N73" s="186">
        <f t="shared" ca="1" si="25"/>
        <v>38888.888888888891</v>
      </c>
      <c r="O73" s="187">
        <f t="shared" ca="1" si="4"/>
        <v>0.26548941076521637</v>
      </c>
      <c r="P73" s="188">
        <f ca="1">IFERROR(SUM(INDIRECT("'FAF &amp; DDs'!"&amp;(ADDRESS(MATCH($B73-$E73,'FAF &amp; DDs'!$Q:$Q,0),COLUMN($R$1),2,1))&amp;":"&amp;(ADDRESS(MATCH($B73-1,'FAF &amp; DDs'!$Q:$Q,0),COLUMN($R$1),1))))/E73*30,-1)</f>
        <v>276.79999999999995</v>
      </c>
      <c r="Q73" s="188">
        <f ca="1">IFERROR(SUM(INDIRECT("'FAF &amp; DDs'!"&amp;(ADDRESS(MATCH($B73-$E73,'FAF &amp; DDs'!$Q:$Q,0),COLUMN($S$1),2,1))&amp;":"&amp;(ADDRESS(MATCH($B73-1,'FAF &amp; DDs'!$Q:$Q,0),COLUMN($S$1),1))))/E73*30,-1)</f>
        <v>36.200000000000003</v>
      </c>
      <c r="R73" s="176">
        <f t="shared" ca="1" si="13"/>
        <v>6</v>
      </c>
      <c r="S73">
        <f ca="1">IF(ROW()&gt;MIN(($AB$8,$AB$7))+11,0,MATCH(V73,INDIRECT("'Reading History'!B"&amp;$Y$5&amp;":b"&amp;$Y$6),-1))</f>
        <v>62</v>
      </c>
      <c r="T73" s="49"/>
      <c r="U73" s="152">
        <f t="shared" ca="1" si="21"/>
        <v>42127</v>
      </c>
      <c r="V73" s="4">
        <f t="shared" ca="1" si="26"/>
        <v>42130</v>
      </c>
      <c r="W73">
        <f t="shared" ca="1" si="6"/>
        <v>3</v>
      </c>
      <c r="X73">
        <f t="shared" ca="1" si="22"/>
        <v>29</v>
      </c>
      <c r="AB73" s="176">
        <f t="shared" ca="1" si="15"/>
        <v>0</v>
      </c>
    </row>
    <row r="74" spans="1:28" ht="15" customHeight="1" x14ac:dyDescent="0.2">
      <c r="A74" s="2" t="str">
        <f t="shared" ca="1" si="17"/>
        <v>Electric</v>
      </c>
      <c r="B74" s="4">
        <f t="shared" ca="1" si="9"/>
        <v>42097</v>
      </c>
      <c r="C74" s="179" t="str">
        <f t="shared" ca="1" si="18"/>
        <v>Actual</v>
      </c>
      <c r="D74" s="17">
        <f t="shared" ca="1" si="23"/>
        <v>9151</v>
      </c>
      <c r="E74" s="17">
        <f t="shared" ca="1" si="19"/>
        <v>31</v>
      </c>
      <c r="F74" s="182">
        <f t="shared" ca="1" si="24"/>
        <v>79400</v>
      </c>
      <c r="G74" s="183">
        <f t="shared" ca="1" si="20"/>
        <v>127.66</v>
      </c>
      <c r="H74" s="184">
        <f ca="1">IF($A74="","",+Rates!N68)</f>
        <v>130.23000000000002</v>
      </c>
      <c r="I74" s="184">
        <f ca="1">IF($A74="","",+ROUND(Rates!O68,2))</f>
        <v>6836.34</v>
      </c>
      <c r="J74" s="184">
        <f ca="1">IF($A74="","",IF(F74=0,0,+ROUND(Rates!P68,2)))</f>
        <v>1405.54</v>
      </c>
      <c r="K74" s="184">
        <f ca="1">IF($A74="","",+ROUND(Rates!X68,2))</f>
        <v>785.82</v>
      </c>
      <c r="L74" s="184">
        <f ca="1">IF($A74="","",+ROUND(Rates!Q68,2))</f>
        <v>254.08</v>
      </c>
      <c r="M74" s="185">
        <f ca="1">IF($A74="","",+ROUND(Rates!R68,2))</f>
        <v>9412.01</v>
      </c>
      <c r="N74" s="186">
        <f t="shared" ca="1" si="25"/>
        <v>106720.43010752689</v>
      </c>
      <c r="O74" s="187">
        <f t="shared" ca="1" si="4"/>
        <v>0.83597391592924075</v>
      </c>
      <c r="P74" s="188">
        <f ca="1">IFERROR(SUM(INDIRECT("'FAF &amp; DDs'!"&amp;(ADDRESS(MATCH($B74-$E74,'FAF &amp; DDs'!$Q:$Q,0),COLUMN($R$1),2,1))&amp;":"&amp;(ADDRESS(MATCH($B74-1,'FAF &amp; DDs'!$Q:$Q,0),COLUMN($R$1),1))))/E74*30,-1)</f>
        <v>661.45161290322596</v>
      </c>
      <c r="Q74" s="188">
        <f ca="1">IFERROR(SUM(INDIRECT("'FAF &amp; DDs'!"&amp;(ADDRESS(MATCH($B74-$E74,'FAF &amp; DDs'!$Q:$Q,0),COLUMN($S$1),2,1))&amp;":"&amp;(ADDRESS(MATCH($B74-1,'FAF &amp; DDs'!$Q:$Q,0),COLUMN($S$1),1))))/E74*30,-1)</f>
        <v>10.35483870967742</v>
      </c>
      <c r="R74" s="176">
        <f t="shared" ca="1" si="13"/>
        <v>6</v>
      </c>
      <c r="S74">
        <f ca="1">IF(ROW()&gt;MIN(($AB$8,$AB$7))+11,0,MATCH(V74,INDIRECT("'Reading History'!B"&amp;$Y$5&amp;":b"&amp;$Y$6),-1))</f>
        <v>63</v>
      </c>
      <c r="T74" s="49"/>
      <c r="U74" s="152">
        <f t="shared" ca="1" si="21"/>
        <v>42097</v>
      </c>
      <c r="V74" s="4">
        <f t="shared" ca="1" si="26"/>
        <v>42101</v>
      </c>
      <c r="W74">
        <f t="shared" ca="1" si="6"/>
        <v>4</v>
      </c>
      <c r="X74">
        <f t="shared" ca="1" si="22"/>
        <v>32</v>
      </c>
      <c r="AB74" s="176">
        <f t="shared" ca="1" si="15"/>
        <v>0</v>
      </c>
    </row>
    <row r="75" spans="1:28" ht="15" customHeight="1" x14ac:dyDescent="0.2">
      <c r="A75" s="2" t="str">
        <f t="shared" ca="1" si="17"/>
        <v>Electric</v>
      </c>
      <c r="B75" s="4">
        <f t="shared" ca="1" si="9"/>
        <v>42066</v>
      </c>
      <c r="C75" s="179" t="str">
        <f t="shared" ca="1" si="18"/>
        <v>Actual</v>
      </c>
      <c r="D75" s="17">
        <f t="shared" ca="1" si="23"/>
        <v>8754</v>
      </c>
      <c r="E75" s="17">
        <f t="shared" ca="1" si="19"/>
        <v>28</v>
      </c>
      <c r="F75" s="182">
        <f t="shared" ca="1" si="24"/>
        <v>45000</v>
      </c>
      <c r="G75" s="183">
        <f t="shared" ca="1" si="20"/>
        <v>118.6</v>
      </c>
      <c r="H75" s="184">
        <f ca="1">IF($A75="","",+Rates!N69)</f>
        <v>130.23000000000008</v>
      </c>
      <c r="I75" s="184">
        <f ca="1">IF($A75="","",+ROUND(Rates!O69,2))</f>
        <v>3874.5</v>
      </c>
      <c r="J75" s="184">
        <f ca="1">IF($A75="","",IF(F75=0,0,+ROUND(Rates!P69,2)))</f>
        <v>1305.79</v>
      </c>
      <c r="K75" s="184">
        <f ca="1">IF($A75="","",+ROUND(Rates!X69,2))</f>
        <v>399.56</v>
      </c>
      <c r="L75" s="184">
        <f ca="1">IF($A75="","",+ROUND(Rates!Q69,2))</f>
        <v>144</v>
      </c>
      <c r="M75" s="185">
        <f ca="1">IF($A75="","",+ROUND(Rates!R69,2))</f>
        <v>5854.08</v>
      </c>
      <c r="N75" s="186">
        <f t="shared" ca="1" si="25"/>
        <v>66964.28571428571</v>
      </c>
      <c r="O75" s="187">
        <f t="shared" ca="1" si="4"/>
        <v>0.56462298241387621</v>
      </c>
      <c r="P75" s="188">
        <f ca="1">IFERROR(SUM(INDIRECT("'FAF &amp; DDs'!"&amp;(ADDRESS(MATCH($B75-$E75,'FAF &amp; DDs'!$Q:$Q,0),COLUMN($R$1),2,1))&amp;":"&amp;(ADDRESS(MATCH($B75-1,'FAF &amp; DDs'!$Q:$Q,0),COLUMN($R$1),1))))/E75*30,-1)</f>
        <v>1296.5357142857142</v>
      </c>
      <c r="Q75" s="188">
        <f ca="1">IFERROR(SUM(INDIRECT("'FAF &amp; DDs'!"&amp;(ADDRESS(MATCH($B75-$E75,'FAF &amp; DDs'!$Q:$Q,0),COLUMN($S$1),2,1))&amp;":"&amp;(ADDRESS(MATCH($B75-1,'FAF &amp; DDs'!$Q:$Q,0),COLUMN($S$1),1))))/E75*30,-1)</f>
        <v>0</v>
      </c>
      <c r="R75" s="176">
        <f t="shared" ca="1" si="13"/>
        <v>6</v>
      </c>
      <c r="S75">
        <f ca="1">IF(ROW()&gt;MIN(($AB$8,$AB$7))+11,0,MATCH(V75,INDIRECT("'Reading History'!B"&amp;$Y$5&amp;":b"&amp;$Y$6),-1))</f>
        <v>64</v>
      </c>
      <c r="T75" s="49"/>
      <c r="U75" s="152">
        <f t="shared" ca="1" si="21"/>
        <v>42066</v>
      </c>
      <c r="V75" s="4">
        <f t="shared" ca="1" si="26"/>
        <v>42069</v>
      </c>
      <c r="W75">
        <f t="shared" ca="1" si="6"/>
        <v>3</v>
      </c>
      <c r="X75">
        <f t="shared" ca="1" si="22"/>
        <v>28</v>
      </c>
      <c r="AB75" s="176">
        <f t="shared" ca="1" si="15"/>
        <v>0</v>
      </c>
    </row>
    <row r="76" spans="1:28" ht="15" customHeight="1" x14ac:dyDescent="0.2">
      <c r="A76" s="2" t="str">
        <f t="shared" ref="A76:A107" ca="1" si="27">IF(S76=0,"",INDIRECT("'Reading History'!A"&amp;$S76+$Y$5-1))</f>
        <v>Electric</v>
      </c>
      <c r="B76" s="4">
        <f t="shared" ca="1" si="9"/>
        <v>42038</v>
      </c>
      <c r="C76" s="179" t="str">
        <f t="shared" ref="C76:C107" ca="1" si="28">IF($A76="","",IF(RIGHT(INDIRECT("'Reading History'!E"&amp;$S76+$Y$5-1),4)="Read",LEFT(INDIRECT("'Reading History'!E"&amp;$S76+$Y$5-1),LEN(INDIRECT("'Reading History'!E"&amp;$S76+$Y$5-1))-5),INDIRECT("'Reading History'!E"&amp;$S76+$Y$5-1)))</f>
        <v>Actual</v>
      </c>
      <c r="D76" s="17">
        <f t="shared" ca="1" si="23"/>
        <v>8529</v>
      </c>
      <c r="E76" s="17">
        <f t="shared" ref="E76:E107" ca="1" si="29">IF($A76="","",IF(ISNUMBER(D77),B76-B77,INDIRECT("'Reading History'!H"&amp;$S76+$Y$5-1)))</f>
        <v>31</v>
      </c>
      <c r="F76" s="182">
        <f t="shared" ca="1" si="24"/>
        <v>0</v>
      </c>
      <c r="G76" s="183">
        <f t="shared" ref="G76:G107" ca="1" si="30">IF($A76="","",INDIRECT("'Reading History'!I"&amp;$S76+$Y$4-1))</f>
        <v>117.6</v>
      </c>
      <c r="H76" s="184">
        <f ca="1">IF($A76="","",+Rates!N70)</f>
        <v>130.22999999999993</v>
      </c>
      <c r="I76" s="184">
        <f ca="1">IF($A76="","",+ROUND(Rates!O70,2))</f>
        <v>0</v>
      </c>
      <c r="J76" s="184">
        <f ca="1">IF($A76="","",IF(F76=0,0,+ROUND(Rates!P70,2)))</f>
        <v>0</v>
      </c>
      <c r="K76" s="184">
        <f ca="1">IF($A76="","",+ROUND(Rates!X70,2))</f>
        <v>0</v>
      </c>
      <c r="L76" s="184">
        <f ca="1">IF($A76="","",+ROUND(Rates!Q70,2))</f>
        <v>0</v>
      </c>
      <c r="M76" s="185">
        <f ca="1">IF($A76="","",+ROUND(Rates!R70,2))</f>
        <v>130.22999999999999</v>
      </c>
      <c r="N76" s="186">
        <f t="shared" ca="1" si="25"/>
        <v>0</v>
      </c>
      <c r="O76" s="187">
        <f t="shared" ref="O76:O139" ca="1" si="31">IF(OR($A76="",$G76=0,$E76=0),"",F76/(G76*E76*24))</f>
        <v>0</v>
      </c>
      <c r="P76" s="188">
        <f ca="1">IFERROR(SUM(INDIRECT("'FAF &amp; DDs'!"&amp;(ADDRESS(MATCH($B76-$E76,'FAF &amp; DDs'!$Q:$Q,0),COLUMN($R$1),2,1))&amp;":"&amp;(ADDRESS(MATCH($B76-1,'FAF &amp; DDs'!$Q:$Q,0),COLUMN($R$1),1))))/E76*30,-1)</f>
        <v>1127.9032258064515</v>
      </c>
      <c r="Q76" s="188">
        <f ca="1">IFERROR(SUM(INDIRECT("'FAF &amp; DDs'!"&amp;(ADDRESS(MATCH($B76-$E76,'FAF &amp; DDs'!$Q:$Q,0),COLUMN($S$1),2,1))&amp;":"&amp;(ADDRESS(MATCH($B76-1,'FAF &amp; DDs'!$Q:$Q,0),COLUMN($S$1),1))))/E76*30,-1)</f>
        <v>0</v>
      </c>
      <c r="R76" s="176">
        <f t="shared" ca="1" si="13"/>
        <v>6</v>
      </c>
      <c r="S76">
        <f ca="1">IF(ROW()&gt;MIN(($AB$8,$AB$7))+11,0,MATCH(V76,INDIRECT("'Reading History'!B"&amp;$Y$5&amp;":b"&amp;$Y$6),-1))</f>
        <v>65</v>
      </c>
      <c r="T76" s="49"/>
      <c r="U76" s="152">
        <f t="shared" ref="U76:U107" ca="1" si="32">IF(VALUE(INDIRECT("'Reading History'!c"&amp;$Y$5+S75))&gt;$R$8,DATE(YEAR(V76-ABS(AB76)),MONTH(V76-ABS(AB76)),VLOOKUP(VALUE(R76),AMRReadDates,2)),V76)</f>
        <v>42038</v>
      </c>
      <c r="V76" s="4">
        <f t="shared" ca="1" si="26"/>
        <v>42041</v>
      </c>
      <c r="W76">
        <f t="shared" ref="W76:W139" ca="1" si="33">+V76-U76</f>
        <v>3</v>
      </c>
      <c r="X76">
        <f t="shared" ref="X76:X107" ca="1" si="34">+INDIRECT("'Reading History'!H"&amp;$S76+$Y$5-1)</f>
        <v>29</v>
      </c>
      <c r="AB76" s="176">
        <f t="shared" ca="1" si="15"/>
        <v>0</v>
      </c>
    </row>
    <row r="77" spans="1:28" ht="15" customHeight="1" x14ac:dyDescent="0.2">
      <c r="A77" s="2" t="str">
        <f t="shared" ca="1" si="27"/>
        <v>Electric</v>
      </c>
      <c r="B77" s="4">
        <f t="shared" ref="B77:B140" ca="1" si="35">IF(OR(W77&gt;7,W77&lt;0),V77,U77)</f>
        <v>42007</v>
      </c>
      <c r="C77" s="179" t="str">
        <f t="shared" ca="1" si="28"/>
        <v>Actual</v>
      </c>
      <c r="D77" s="17">
        <f t="shared" ref="D77:D108" ca="1" si="36">IF($A77="","",INDIRECT("'Reading History'!G"&amp;$S77+$Y$5-1))</f>
        <v>8529</v>
      </c>
      <c r="E77" s="17">
        <f t="shared" ca="1" si="29"/>
        <v>31</v>
      </c>
      <c r="F77" s="182">
        <f t="shared" ref="F77:F108" ca="1" si="37">IF($A77="","",INDIRECT("'Reading History'!I"&amp;$S77+$Y$5-1))</f>
        <v>42400</v>
      </c>
      <c r="G77" s="183">
        <f t="shared" ca="1" si="30"/>
        <v>117.6</v>
      </c>
      <c r="H77" s="184">
        <f ca="1">IF($A77="","",+Rates!N71)</f>
        <v>130.22999999999968</v>
      </c>
      <c r="I77" s="184">
        <f ca="1">IF($A77="","",+ROUND(Rates!O71,2))</f>
        <v>3650.64</v>
      </c>
      <c r="J77" s="184">
        <f ca="1">IF($A77="","",IF(F77=0,0,+ROUND(Rates!P71,2)))</f>
        <v>1294.78</v>
      </c>
      <c r="K77" s="184">
        <f ca="1">IF($A77="","",+ROUND(Rates!X71,2))</f>
        <v>810.05</v>
      </c>
      <c r="L77" s="184">
        <f ca="1">IF($A77="","",+ROUND(Rates!Q71,2))</f>
        <v>135.68</v>
      </c>
      <c r="M77" s="185">
        <f ca="1">IF($A77="","",+ROUND(Rates!R71,2))</f>
        <v>6021.38</v>
      </c>
      <c r="N77" s="186">
        <f t="shared" ref="N77:N108" ca="1" si="38">IFERROR(IF(C78="Estimate",+(F77+F78)/(E77+E78),IF(C77="Estimate",+(F77+F76)/(E77+E76),+F77/E77))/24*1000,-1)</f>
        <v>56989.247311827959</v>
      </c>
      <c r="O77" s="187">
        <f t="shared" ca="1" si="31"/>
        <v>0.48460244312778877</v>
      </c>
      <c r="P77" s="188">
        <f ca="1">IFERROR(SUM(INDIRECT("'FAF &amp; DDs'!"&amp;(ADDRESS(MATCH($B77-$E77,'FAF &amp; DDs'!$Q:$Q,0),COLUMN($R$1),2,1))&amp;":"&amp;(ADDRESS(MATCH($B77-1,'FAF &amp; DDs'!$Q:$Q,0),COLUMN($R$1),1))))/E77*30,-1)</f>
        <v>897.00000000000023</v>
      </c>
      <c r="Q77" s="188">
        <f ca="1">IFERROR(SUM(INDIRECT("'FAF &amp; DDs'!"&amp;(ADDRESS(MATCH($B77-$E77,'FAF &amp; DDs'!$Q:$Q,0),COLUMN($S$1),2,1))&amp;":"&amp;(ADDRESS(MATCH($B77-1,'FAF &amp; DDs'!$Q:$Q,0),COLUMN($S$1),1))))/E77*30,-1)</f>
        <v>0</v>
      </c>
      <c r="R77" s="176">
        <f t="shared" ref="R77:R140" ca="1" si="39">VLOOKUP(V77+8,$AC$12:$AD$23,2)</f>
        <v>6</v>
      </c>
      <c r="S77">
        <f ca="1">IF(ROW()&gt;MIN(($AB$8,$AB$7))+11,0,MATCH(V77,INDIRECT("'Reading History'!B"&amp;$Y$5&amp;":b"&amp;$Y$6),-1))</f>
        <v>66</v>
      </c>
      <c r="T77" s="49"/>
      <c r="U77" s="152">
        <f t="shared" ca="1" si="32"/>
        <v>42007</v>
      </c>
      <c r="V77" s="4">
        <f t="shared" ref="V77:V108" ca="1" si="40">INT(INDIRECT("'Reading History'!B"&amp;$Y$5+S76))</f>
        <v>42012</v>
      </c>
      <c r="W77">
        <f t="shared" ca="1" si="33"/>
        <v>5</v>
      </c>
      <c r="X77">
        <f t="shared" ca="1" si="34"/>
        <v>31</v>
      </c>
      <c r="AB77" s="176">
        <f t="shared" ref="AB77:AB140" ca="1" si="41">IF(VALUE(R77)&lt;6,6,IF(AND(VALUE(R77)&gt;16,VALUE(R77)&lt;&gt;81),-6,0))</f>
        <v>0</v>
      </c>
    </row>
    <row r="78" spans="1:28" ht="15" customHeight="1" x14ac:dyDescent="0.2">
      <c r="A78" s="2" t="str">
        <f t="shared" ca="1" si="27"/>
        <v>Electric</v>
      </c>
      <c r="B78" s="4">
        <f t="shared" ca="1" si="35"/>
        <v>41976</v>
      </c>
      <c r="C78" s="179" t="str">
        <f t="shared" ca="1" si="28"/>
        <v>Actual</v>
      </c>
      <c r="D78" s="17">
        <f t="shared" ca="1" si="36"/>
        <v>8317</v>
      </c>
      <c r="E78" s="17">
        <f t="shared" ca="1" si="29"/>
        <v>30</v>
      </c>
      <c r="F78" s="182">
        <f t="shared" ca="1" si="37"/>
        <v>46600</v>
      </c>
      <c r="G78" s="183">
        <f t="shared" ca="1" si="30"/>
        <v>116.5</v>
      </c>
      <c r="H78" s="184">
        <f ca="1">IF($A78="","",+Rates!N72)</f>
        <v>130.23000000000002</v>
      </c>
      <c r="I78" s="184">
        <f ca="1">IF($A78="","",+ROUND(Rates!O72,2))</f>
        <v>4012.26</v>
      </c>
      <c r="J78" s="184">
        <f ca="1">IF($A78="","",IF(F78=0,0,+ROUND(Rates!P72,2)))</f>
        <v>1282.67</v>
      </c>
      <c r="K78" s="184">
        <f ca="1">IF($A78="","",+ROUND(Rates!X72,2))</f>
        <v>591.35</v>
      </c>
      <c r="L78" s="184">
        <f ca="1">IF($A78="","",+ROUND(Rates!Q72,2))</f>
        <v>149.12</v>
      </c>
      <c r="M78" s="185">
        <f ca="1">IF($A78="","",+ROUND(Rates!R72,2))</f>
        <v>6165.63</v>
      </c>
      <c r="N78" s="186">
        <f t="shared" ca="1" si="38"/>
        <v>64722.222222222212</v>
      </c>
      <c r="O78" s="187">
        <f t="shared" ca="1" si="31"/>
        <v>0.55555555555555558</v>
      </c>
      <c r="P78" s="188">
        <f ca="1">IFERROR(SUM(INDIRECT("'FAF &amp; DDs'!"&amp;(ADDRESS(MATCH($B78-$E78,'FAF &amp; DDs'!$Q:$Q,0),COLUMN($R$1),2,1))&amp;":"&amp;(ADDRESS(MATCH($B78-1,'FAF &amp; DDs'!$Q:$Q,0),COLUMN($R$1),1))))/E78*30,-1)</f>
        <v>873</v>
      </c>
      <c r="Q78" s="188">
        <f ca="1">IFERROR(SUM(INDIRECT("'FAF &amp; DDs'!"&amp;(ADDRESS(MATCH($B78-$E78,'FAF &amp; DDs'!$Q:$Q,0),COLUMN($S$1),2,1))&amp;":"&amp;(ADDRESS(MATCH($B78-1,'FAF &amp; DDs'!$Q:$Q,0),COLUMN($S$1),1))))/E78*30,-1)</f>
        <v>0.8</v>
      </c>
      <c r="R78" s="176">
        <f t="shared" ca="1" si="39"/>
        <v>6</v>
      </c>
      <c r="S78">
        <f ca="1">IF(ROW()&gt;MIN(($AB$8,$AB$7))+11,0,MATCH(V78,INDIRECT("'Reading History'!B"&amp;$Y$5&amp;":b"&amp;$Y$6),-1))</f>
        <v>67</v>
      </c>
      <c r="T78" s="49"/>
      <c r="U78" s="152">
        <f t="shared" ca="1" si="32"/>
        <v>41976</v>
      </c>
      <c r="V78" s="4">
        <f t="shared" ca="1" si="40"/>
        <v>41981</v>
      </c>
      <c r="W78">
        <f t="shared" ca="1" si="33"/>
        <v>5</v>
      </c>
      <c r="X78">
        <f t="shared" ca="1" si="34"/>
        <v>32</v>
      </c>
      <c r="AB78" s="176">
        <f t="shared" ca="1" si="41"/>
        <v>0</v>
      </c>
    </row>
    <row r="79" spans="1:28" ht="15" customHeight="1" x14ac:dyDescent="0.2">
      <c r="A79" s="2" t="str">
        <f t="shared" ca="1" si="27"/>
        <v>Electric</v>
      </c>
      <c r="B79" s="4">
        <f t="shared" ca="1" si="35"/>
        <v>41946</v>
      </c>
      <c r="C79" s="179" t="str">
        <f t="shared" ca="1" si="28"/>
        <v>Actual</v>
      </c>
      <c r="D79" s="17">
        <f t="shared" ca="1" si="36"/>
        <v>8084</v>
      </c>
      <c r="E79" s="17">
        <f t="shared" ca="1" si="29"/>
        <v>31</v>
      </c>
      <c r="F79" s="182">
        <f t="shared" ca="1" si="37"/>
        <v>33800</v>
      </c>
      <c r="G79" s="183">
        <f t="shared" ca="1" si="30"/>
        <v>130.41999999999999</v>
      </c>
      <c r="H79" s="184">
        <f ca="1">IF($A79="","",+Rates!N73)</f>
        <v>130.22999999999993</v>
      </c>
      <c r="I79" s="184">
        <f ca="1">IF($A79="","",+ROUND(Rates!O73,2))</f>
        <v>2910.18</v>
      </c>
      <c r="J79" s="184">
        <f ca="1">IF($A79="","",IF(F79=0,0,+ROUND(Rates!P73,2)))</f>
        <v>1435.92</v>
      </c>
      <c r="K79" s="184">
        <f ca="1">IF($A79="","",+ROUND(Rates!X73,2))</f>
        <v>490.95</v>
      </c>
      <c r="L79" s="184">
        <f ca="1">IF($A79="","",+ROUND(Rates!Q73,2))</f>
        <v>108.16</v>
      </c>
      <c r="M79" s="185">
        <f ca="1">IF($A79="","",+ROUND(Rates!R73,2))</f>
        <v>5075.4399999999996</v>
      </c>
      <c r="N79" s="186">
        <f t="shared" ca="1" si="38"/>
        <v>45430.107526881722</v>
      </c>
      <c r="O79" s="187">
        <f t="shared" ca="1" si="31"/>
        <v>0.3483369692292726</v>
      </c>
      <c r="P79" s="188">
        <f ca="1">IFERROR(SUM(INDIRECT("'FAF &amp; DDs'!"&amp;(ADDRESS(MATCH($B79-$E79,'FAF &amp; DDs'!$Q:$Q,0),COLUMN($R$1),2,1))&amp;":"&amp;(ADDRESS(MATCH($B79-1,'FAF &amp; DDs'!$Q:$Q,0),COLUMN($R$1),1))))/E79*30,-1)</f>
        <v>354.48387096774189</v>
      </c>
      <c r="Q79" s="188">
        <f ca="1">IFERROR(SUM(INDIRECT("'FAF &amp; DDs'!"&amp;(ADDRESS(MATCH($B79-$E79,'FAF &amp; DDs'!$Q:$Q,0),COLUMN($S$1),2,1))&amp;":"&amp;(ADDRESS(MATCH($B79-1,'FAF &amp; DDs'!$Q:$Q,0),COLUMN($S$1),1))))/E79*30,-1)</f>
        <v>20.129032258064516</v>
      </c>
      <c r="R79" s="176">
        <f t="shared" ca="1" si="39"/>
        <v>6</v>
      </c>
      <c r="S79">
        <f ca="1">IF(ROW()&gt;MIN(($AB$8,$AB$7))+11,0,MATCH(V79,INDIRECT("'Reading History'!B"&amp;$Y$5&amp;":b"&amp;$Y$6),-1))</f>
        <v>68</v>
      </c>
      <c r="T79" s="49"/>
      <c r="U79" s="152">
        <f t="shared" ca="1" si="32"/>
        <v>41946</v>
      </c>
      <c r="V79" s="4">
        <f t="shared" ca="1" si="40"/>
        <v>41949</v>
      </c>
      <c r="W79">
        <f t="shared" ca="1" si="33"/>
        <v>3</v>
      </c>
      <c r="X79">
        <f t="shared" ca="1" si="34"/>
        <v>29</v>
      </c>
      <c r="AB79" s="176">
        <f t="shared" ca="1" si="41"/>
        <v>0</v>
      </c>
    </row>
    <row r="80" spans="1:28" ht="15" customHeight="1" x14ac:dyDescent="0.2">
      <c r="A80" s="2" t="str">
        <f t="shared" ca="1" si="27"/>
        <v>Electric</v>
      </c>
      <c r="B80" s="4">
        <f t="shared" ca="1" si="35"/>
        <v>41915</v>
      </c>
      <c r="C80" s="179" t="str">
        <f t="shared" ca="1" si="28"/>
        <v>Actual</v>
      </c>
      <c r="D80" s="17">
        <f t="shared" ca="1" si="36"/>
        <v>7915</v>
      </c>
      <c r="E80" s="17">
        <f t="shared" ca="1" si="29"/>
        <v>30</v>
      </c>
      <c r="F80" s="182">
        <f t="shared" ca="1" si="37"/>
        <v>37800</v>
      </c>
      <c r="G80" s="183">
        <f t="shared" ca="1" si="30"/>
        <v>155.80000000000001</v>
      </c>
      <c r="H80" s="184">
        <f ca="1">IF($A80="","",+Rates!N74)</f>
        <v>130.2300000000003</v>
      </c>
      <c r="I80" s="184">
        <f ca="1">IF($A80="","",+ROUND(Rates!O74,2))</f>
        <v>3328.67</v>
      </c>
      <c r="J80" s="184">
        <f ca="1">IF($A80="","",IF(F80=0,0,+ROUND(Rates!P74,2)))</f>
        <v>1786.61</v>
      </c>
      <c r="K80" s="184">
        <f ca="1">IF($A80="","",+ROUND(Rates!X74,2))</f>
        <v>-20.56</v>
      </c>
      <c r="L80" s="184">
        <f ca="1">IF($A80="","",+ROUND(Rates!Q74,2))</f>
        <v>120.96</v>
      </c>
      <c r="M80" s="185">
        <f ca="1">IF($A80="","",+ROUND(Rates!R74,2))</f>
        <v>5345.91</v>
      </c>
      <c r="N80" s="186">
        <f t="shared" ca="1" si="38"/>
        <v>52500</v>
      </c>
      <c r="O80" s="187">
        <f t="shared" ca="1" si="31"/>
        <v>0.33697047496790755</v>
      </c>
      <c r="P80" s="188">
        <f ca="1">IFERROR(SUM(INDIRECT("'FAF &amp; DDs'!"&amp;(ADDRESS(MATCH($B80-$E80,'FAF &amp; DDs'!$Q:$Q,0),COLUMN($R$1),2,1))&amp;":"&amp;(ADDRESS(MATCH($B80-1,'FAF &amp; DDs'!$Q:$Q,0),COLUMN($R$1),1))))/E80*30,-1)</f>
        <v>136.39999999999998</v>
      </c>
      <c r="Q80" s="188">
        <f ca="1">IFERROR(SUM(INDIRECT("'FAF &amp; DDs'!"&amp;(ADDRESS(MATCH($B80-$E80,'FAF &amp; DDs'!$Q:$Q,0),COLUMN($S$1),2,1))&amp;":"&amp;(ADDRESS(MATCH($B80-1,'FAF &amp; DDs'!$Q:$Q,0),COLUMN($S$1),1))))/E80*30,-1)</f>
        <v>136.80000000000001</v>
      </c>
      <c r="R80" s="176">
        <f t="shared" ca="1" si="39"/>
        <v>6</v>
      </c>
      <c r="S80">
        <f ca="1">IF(ROW()&gt;MIN(($AB$8,$AB$7))+11,0,MATCH(V80,INDIRECT("'Reading History'!B"&amp;$Y$5&amp;":b"&amp;$Y$6),-1))</f>
        <v>69</v>
      </c>
      <c r="U80" s="152">
        <f t="shared" ca="1" si="32"/>
        <v>41915</v>
      </c>
      <c r="V80" s="4">
        <f t="shared" ca="1" si="40"/>
        <v>41920</v>
      </c>
      <c r="W80">
        <f t="shared" ca="1" si="33"/>
        <v>5</v>
      </c>
      <c r="X80">
        <f t="shared" ca="1" si="34"/>
        <v>30</v>
      </c>
      <c r="AB80" s="176">
        <f t="shared" ca="1" si="41"/>
        <v>0</v>
      </c>
    </row>
    <row r="81" spans="1:28" ht="15" customHeight="1" x14ac:dyDescent="0.2">
      <c r="A81" s="2" t="str">
        <f t="shared" ca="1" si="27"/>
        <v>Electric</v>
      </c>
      <c r="B81" s="4">
        <f t="shared" ca="1" si="35"/>
        <v>41885</v>
      </c>
      <c r="C81" s="179" t="str">
        <f t="shared" ca="1" si="28"/>
        <v>Actual</v>
      </c>
      <c r="D81" s="17">
        <f t="shared" ca="1" si="36"/>
        <v>7726</v>
      </c>
      <c r="E81" s="17">
        <f t="shared" ca="1" si="29"/>
        <v>31</v>
      </c>
      <c r="F81" s="182">
        <f t="shared" ca="1" si="37"/>
        <v>49000</v>
      </c>
      <c r="G81" s="183">
        <f t="shared" ca="1" si="30"/>
        <v>175.8</v>
      </c>
      <c r="H81" s="184">
        <f ca="1">IF($A81="","",+Rates!N75)</f>
        <v>130.2299999999999</v>
      </c>
      <c r="I81" s="184">
        <f ca="1">IF($A81="","",+ROUND(Rates!O75,2))</f>
        <v>4630.5</v>
      </c>
      <c r="J81" s="184">
        <f ca="1">IF($A81="","",IF(F81=0,0,+ROUND(Rates!P75,2)))</f>
        <v>2280.13</v>
      </c>
      <c r="K81" s="184">
        <f ca="1">IF($A81="","",+ROUND(Rates!X75,2))</f>
        <v>354.86</v>
      </c>
      <c r="L81" s="184">
        <f ca="1">IF($A81="","",+ROUND(Rates!Q75,2))</f>
        <v>156.80000000000001</v>
      </c>
      <c r="M81" s="185">
        <f ca="1">IF($A81="","",+ROUND(Rates!R75,2))</f>
        <v>7552.52</v>
      </c>
      <c r="N81" s="186">
        <f t="shared" ca="1" si="38"/>
        <v>65860.215053763444</v>
      </c>
      <c r="O81" s="187">
        <f t="shared" ca="1" si="31"/>
        <v>0.37463148494745979</v>
      </c>
      <c r="P81" s="188">
        <f ca="1">IFERROR(SUM(INDIRECT("'FAF &amp; DDs'!"&amp;(ADDRESS(MATCH($B81-$E81,'FAF &amp; DDs'!$Q:$Q,0),COLUMN($R$1),2,1))&amp;":"&amp;(ADDRESS(MATCH($B81-1,'FAF &amp; DDs'!$Q:$Q,0),COLUMN($R$1),1))))/E81*30,-1)</f>
        <v>7.258064516129032</v>
      </c>
      <c r="Q81" s="188">
        <f ca="1">IFERROR(SUM(INDIRECT("'FAF &amp; DDs'!"&amp;(ADDRESS(MATCH($B81-$E81,'FAF &amp; DDs'!$Q:$Q,0),COLUMN($S$1),2,1))&amp;":"&amp;(ADDRESS(MATCH($B81-1,'FAF &amp; DDs'!$Q:$Q,0),COLUMN($S$1),1))))/E81*30,-1)</f>
        <v>320.12903225806451</v>
      </c>
      <c r="R81" s="176">
        <f t="shared" ca="1" si="39"/>
        <v>6</v>
      </c>
      <c r="S81">
        <f ca="1">IF(ROW()&gt;MIN(($AB$8,$AB$7))+11,0,MATCH(V81,INDIRECT("'Reading History'!B"&amp;$Y$5&amp;":b"&amp;$Y$6),-1))</f>
        <v>70</v>
      </c>
      <c r="U81" s="152">
        <f t="shared" ca="1" si="32"/>
        <v>41885</v>
      </c>
      <c r="V81" s="4">
        <f t="shared" ca="1" si="40"/>
        <v>41890</v>
      </c>
      <c r="W81">
        <f t="shared" ca="1" si="33"/>
        <v>5</v>
      </c>
      <c r="X81">
        <f t="shared" ca="1" si="34"/>
        <v>33</v>
      </c>
      <c r="AB81" s="176">
        <f t="shared" ca="1" si="41"/>
        <v>0</v>
      </c>
    </row>
    <row r="82" spans="1:28" ht="15" customHeight="1" x14ac:dyDescent="0.2">
      <c r="A82" s="2" t="str">
        <f t="shared" ca="1" si="27"/>
        <v>Electric</v>
      </c>
      <c r="B82" s="4">
        <f t="shared" ca="1" si="35"/>
        <v>41854</v>
      </c>
      <c r="C82" s="179" t="str">
        <f t="shared" ca="1" si="28"/>
        <v>Actual</v>
      </c>
      <c r="D82" s="17">
        <f t="shared" ca="1" si="36"/>
        <v>7481</v>
      </c>
      <c r="E82" s="17">
        <f t="shared" ca="1" si="29"/>
        <v>31</v>
      </c>
      <c r="F82" s="182">
        <f t="shared" ca="1" si="37"/>
        <v>42200</v>
      </c>
      <c r="G82" s="183">
        <f t="shared" ca="1" si="30"/>
        <v>169.41990000000001</v>
      </c>
      <c r="H82" s="184">
        <f ca="1">IF($A82="","",+Rates!N76)</f>
        <v>130.22999999999982</v>
      </c>
      <c r="I82" s="184">
        <f ca="1">IF($A82="","",+ROUND(Rates!O76,2))</f>
        <v>3987.9</v>
      </c>
      <c r="J82" s="184">
        <f ca="1">IF($A82="","",IF(F82=0,0,+ROUND(Rates!P76,2)))</f>
        <v>2197.38</v>
      </c>
      <c r="K82" s="184">
        <f ca="1">IF($A82="","",+ROUND(Rates!X76,2))</f>
        <v>386.43</v>
      </c>
      <c r="L82" s="184">
        <f ca="1">IF($A82="","",+ROUND(Rates!Q76,2))</f>
        <v>135.04</v>
      </c>
      <c r="M82" s="185">
        <f ca="1">IF($A82="","",+ROUND(Rates!R76,2))</f>
        <v>6836.98</v>
      </c>
      <c r="N82" s="186">
        <f t="shared" ca="1" si="38"/>
        <v>56720.430107526881</v>
      </c>
      <c r="O82" s="187">
        <f t="shared" ca="1" si="31"/>
        <v>0.33479201739303871</v>
      </c>
      <c r="P82" s="188">
        <f ca="1">IFERROR(SUM(INDIRECT("'FAF &amp; DDs'!"&amp;(ADDRESS(MATCH($B82-$E82,'FAF &amp; DDs'!$Q:$Q,0),COLUMN($R$1),2,1))&amp;":"&amp;(ADDRESS(MATCH($B82-1,'FAF &amp; DDs'!$Q:$Q,0),COLUMN($R$1),1))))/E82*30,-1)</f>
        <v>41.032258064516121</v>
      </c>
      <c r="Q82" s="188">
        <f ca="1">IFERROR(SUM(INDIRECT("'FAF &amp; DDs'!"&amp;(ADDRESS(MATCH($B82-$E82,'FAF &amp; DDs'!$Q:$Q,0),COLUMN($S$1),2,1))&amp;":"&amp;(ADDRESS(MATCH($B82-1,'FAF &amp; DDs'!$Q:$Q,0),COLUMN($S$1),1))))/E82*30,-1)</f>
        <v>251.41935483870969</v>
      </c>
      <c r="R82" s="176">
        <f t="shared" ca="1" si="39"/>
        <v>6</v>
      </c>
      <c r="S82">
        <f ca="1">IF(ROW()&gt;MIN(($AB$8,$AB$7))+11,0,MATCH(V82,INDIRECT("'Reading History'!B"&amp;$Y$5&amp;":b"&amp;$Y$6),-1))</f>
        <v>71</v>
      </c>
      <c r="U82" s="152">
        <f t="shared" ca="1" si="32"/>
        <v>41854</v>
      </c>
      <c r="V82" s="4">
        <f t="shared" ca="1" si="40"/>
        <v>41857</v>
      </c>
      <c r="W82">
        <f t="shared" ca="1" si="33"/>
        <v>3</v>
      </c>
      <c r="X82">
        <f t="shared" ca="1" si="34"/>
        <v>28</v>
      </c>
      <c r="AB82" s="176">
        <f t="shared" ca="1" si="41"/>
        <v>0</v>
      </c>
    </row>
    <row r="83" spans="1:28" ht="15" customHeight="1" x14ac:dyDescent="0.2">
      <c r="A83" s="2" t="str">
        <f t="shared" ca="1" si="27"/>
        <v>Electric</v>
      </c>
      <c r="B83" s="4">
        <f t="shared" ca="1" si="35"/>
        <v>41823</v>
      </c>
      <c r="C83" s="179" t="str">
        <f t="shared" ca="1" si="28"/>
        <v>Actual</v>
      </c>
      <c r="D83" s="17">
        <f t="shared" ca="1" si="36"/>
        <v>7270</v>
      </c>
      <c r="E83" s="17">
        <f t="shared" ca="1" si="29"/>
        <v>30</v>
      </c>
      <c r="F83" s="182">
        <f t="shared" ca="1" si="37"/>
        <v>49000</v>
      </c>
      <c r="G83" s="183">
        <f t="shared" ca="1" si="30"/>
        <v>171.4599</v>
      </c>
      <c r="H83" s="184">
        <f ca="1">IF($A83="","",+Rates!N77)</f>
        <v>130.22999999999999</v>
      </c>
      <c r="I83" s="184">
        <f ca="1">IF($A83="","",+ROUND(Rates!O77,2))</f>
        <v>4630.5</v>
      </c>
      <c r="J83" s="184">
        <f ca="1">IF($A83="","",IF(F83=0,0,+ROUND(Rates!P77,2)))</f>
        <v>2223.83</v>
      </c>
      <c r="K83" s="184">
        <f ca="1">IF($A83="","",+ROUND(Rates!X77,2))</f>
        <v>88.98</v>
      </c>
      <c r="L83" s="184">
        <f ca="1">IF($A83="","",+ROUND(Rates!Q77,2))</f>
        <v>156.80000000000001</v>
      </c>
      <c r="M83" s="185">
        <f ca="1">IF($A83="","",+ROUND(Rates!R77,2))</f>
        <v>7230.34</v>
      </c>
      <c r="N83" s="186">
        <f t="shared" ca="1" si="38"/>
        <v>68055.555555555562</v>
      </c>
      <c r="O83" s="187">
        <f t="shared" ca="1" si="31"/>
        <v>0.39691820393897087</v>
      </c>
      <c r="P83" s="188">
        <f ca="1">IFERROR(SUM(INDIRECT("'FAF &amp; DDs'!"&amp;(ADDRESS(MATCH($B83-$E83,'FAF &amp; DDs'!$Q:$Q,0),COLUMN($R$1),2,1))&amp;":"&amp;(ADDRESS(MATCH($B83-1,'FAF &amp; DDs'!$Q:$Q,0),COLUMN($R$1),1))))/E83*30,-1)</f>
        <v>14.399999999999999</v>
      </c>
      <c r="Q83" s="188">
        <f ca="1">IFERROR(SUM(INDIRECT("'FAF &amp; DDs'!"&amp;(ADDRESS(MATCH($B83-$E83,'FAF &amp; DDs'!$Q:$Q,0),COLUMN($S$1),2,1))&amp;":"&amp;(ADDRESS(MATCH($B83-1,'FAF &amp; DDs'!$Q:$Q,0),COLUMN($S$1),1))))/E83*30,-1)</f>
        <v>293.90000000000009</v>
      </c>
      <c r="R83" s="176">
        <f t="shared" ca="1" si="39"/>
        <v>6</v>
      </c>
      <c r="S83">
        <f ca="1">IF(ROW()&gt;MIN(($AB$8,$AB$7))+11,0,MATCH(V83,INDIRECT("'Reading History'!B"&amp;$Y$5&amp;":b"&amp;$Y$6),-1))</f>
        <v>72</v>
      </c>
      <c r="U83" s="152">
        <f t="shared" ca="1" si="32"/>
        <v>41823</v>
      </c>
      <c r="V83" s="4">
        <f t="shared" ca="1" si="40"/>
        <v>41829</v>
      </c>
      <c r="W83">
        <f t="shared" ca="1" si="33"/>
        <v>6</v>
      </c>
      <c r="X83">
        <f t="shared" ca="1" si="34"/>
        <v>34</v>
      </c>
      <c r="AB83" s="176">
        <f t="shared" ca="1" si="41"/>
        <v>0</v>
      </c>
    </row>
    <row r="84" spans="1:28" ht="15" customHeight="1" x14ac:dyDescent="0.2">
      <c r="A84" s="2" t="str">
        <f t="shared" ca="1" si="27"/>
        <v>Electric</v>
      </c>
      <c r="B84" s="4">
        <f t="shared" ca="1" si="35"/>
        <v>41793</v>
      </c>
      <c r="C84" s="179" t="str">
        <f t="shared" ca="1" si="28"/>
        <v>Actual</v>
      </c>
      <c r="D84" s="17">
        <f t="shared" ca="1" si="36"/>
        <v>7025</v>
      </c>
      <c r="E84" s="17">
        <f t="shared" ca="1" si="29"/>
        <v>31</v>
      </c>
      <c r="F84" s="182">
        <f t="shared" ca="1" si="37"/>
        <v>39800</v>
      </c>
      <c r="G84" s="183">
        <f t="shared" ca="1" si="30"/>
        <v>153.07990000000001</v>
      </c>
      <c r="H84" s="184">
        <f ca="1">IF($A84="","",+Rates!N78)</f>
        <v>130.23000000000005</v>
      </c>
      <c r="I84" s="184">
        <f ca="1">IF($A84="","",+ROUND(Rates!O78,2))</f>
        <v>3660.8</v>
      </c>
      <c r="J84" s="184">
        <f ca="1">IF($A84="","",IF(F84=0,0,+ROUND(Rates!P78,2)))</f>
        <v>1895.44</v>
      </c>
      <c r="K84" s="184">
        <f ca="1">IF($A84="","",+ROUND(Rates!X78,2))</f>
        <v>1003.44</v>
      </c>
      <c r="L84" s="184">
        <f ca="1">IF($A84="","",+ROUND(Rates!Q78,2))</f>
        <v>127.36</v>
      </c>
      <c r="M84" s="185">
        <f ca="1">IF($A84="","",+ROUND(Rates!R78,2))</f>
        <v>6817.27</v>
      </c>
      <c r="N84" s="186">
        <f t="shared" ca="1" si="38"/>
        <v>53494.62365591398</v>
      </c>
      <c r="O84" s="187">
        <f t="shared" ca="1" si="31"/>
        <v>0.34945556964640018</v>
      </c>
      <c r="P84" s="188">
        <f ca="1">IFERROR(SUM(INDIRECT("'FAF &amp; DDs'!"&amp;(ADDRESS(MATCH($B84-$E84,'FAF &amp; DDs'!$Q:$Q,0),COLUMN($R$1),2,1))&amp;":"&amp;(ADDRESS(MATCH($B84-1,'FAF &amp; DDs'!$Q:$Q,0),COLUMN($R$1),1))))/E84*30,-1)</f>
        <v>109.54838709677421</v>
      </c>
      <c r="Q84" s="188">
        <f ca="1">IFERROR(SUM(INDIRECT("'FAF &amp; DDs'!"&amp;(ADDRESS(MATCH($B84-$E84,'FAF &amp; DDs'!$Q:$Q,0),COLUMN($S$1),2,1))&amp;":"&amp;(ADDRESS(MATCH($B84-1,'FAF &amp; DDs'!$Q:$Q,0),COLUMN($S$1),1))))/E84*30,-1)</f>
        <v>213.9677419354839</v>
      </c>
      <c r="R84" s="176">
        <f t="shared" ca="1" si="39"/>
        <v>6</v>
      </c>
      <c r="S84">
        <f ca="1">IF(ROW()&gt;MIN(($AB$8,$AB$7))+11,0,MATCH(V84,INDIRECT("'Reading History'!B"&amp;$Y$5&amp;":b"&amp;$Y$6),-1))</f>
        <v>73</v>
      </c>
      <c r="U84" s="152">
        <f t="shared" ca="1" si="32"/>
        <v>41793</v>
      </c>
      <c r="V84" s="4">
        <f t="shared" ca="1" si="40"/>
        <v>41795</v>
      </c>
      <c r="W84">
        <f t="shared" ca="1" si="33"/>
        <v>2</v>
      </c>
      <c r="X84">
        <f t="shared" ca="1" si="34"/>
        <v>30</v>
      </c>
      <c r="AB84" s="176">
        <f t="shared" ca="1" si="41"/>
        <v>0</v>
      </c>
    </row>
    <row r="85" spans="1:28" ht="15" customHeight="1" x14ac:dyDescent="0.2">
      <c r="A85" s="2" t="str">
        <f t="shared" ca="1" si="27"/>
        <v>Electric</v>
      </c>
      <c r="B85" s="4">
        <f t="shared" ca="1" si="35"/>
        <v>41762</v>
      </c>
      <c r="C85" s="179" t="str">
        <f t="shared" ca="1" si="28"/>
        <v>Actual</v>
      </c>
      <c r="D85" s="17">
        <f t="shared" ca="1" si="36"/>
        <v>6826</v>
      </c>
      <c r="E85" s="17">
        <f t="shared" ca="1" si="29"/>
        <v>30</v>
      </c>
      <c r="F85" s="182">
        <f t="shared" ca="1" si="37"/>
        <v>33200</v>
      </c>
      <c r="G85" s="183">
        <f t="shared" ca="1" si="30"/>
        <v>118.98</v>
      </c>
      <c r="H85" s="184">
        <f ca="1">IF($A85="","",+Rates!N79)</f>
        <v>130.23000000000008</v>
      </c>
      <c r="I85" s="184">
        <f ca="1">IF($A85="","",+ROUND(Rates!O79,2))</f>
        <v>2858.52</v>
      </c>
      <c r="J85" s="184">
        <f ca="1">IF($A85="","",IF(F85=0,0,+ROUND(Rates!P79,2)))</f>
        <v>1309.97</v>
      </c>
      <c r="K85" s="184">
        <f ca="1">IF($A85="","",+ROUND(Rates!X79,2))</f>
        <v>300.95999999999998</v>
      </c>
      <c r="L85" s="184">
        <f ca="1">IF($A85="","",+ROUND(Rates!Q79,2))</f>
        <v>106.24</v>
      </c>
      <c r="M85" s="185">
        <f ca="1">IF($A85="","",+ROUND(Rates!R79,2))</f>
        <v>4705.92</v>
      </c>
      <c r="N85" s="186">
        <f t="shared" ca="1" si="38"/>
        <v>46111.111111111117</v>
      </c>
      <c r="O85" s="187">
        <f t="shared" ca="1" si="31"/>
        <v>0.38755346370071531</v>
      </c>
      <c r="P85" s="188">
        <f ca="1">IFERROR(SUM(INDIRECT("'FAF &amp; DDs'!"&amp;(ADDRESS(MATCH($B85-$E85,'FAF &amp; DDs'!$Q:$Q,0),COLUMN($R$1),2,1))&amp;":"&amp;(ADDRESS(MATCH($B85-1,'FAF &amp; DDs'!$Q:$Q,0),COLUMN($R$1),1))))/E85*30,-1)</f>
        <v>325.5</v>
      </c>
      <c r="Q85" s="188">
        <f ca="1">IFERROR(SUM(INDIRECT("'FAF &amp; DDs'!"&amp;(ADDRESS(MATCH($B85-$E85,'FAF &amp; DDs'!$Q:$Q,0),COLUMN($S$1),2,1))&amp;":"&amp;(ADDRESS(MATCH($B85-1,'FAF &amp; DDs'!$Q:$Q,0),COLUMN($S$1),1))))/E85*30,-1)</f>
        <v>38.699999999999996</v>
      </c>
      <c r="R85" s="176">
        <f t="shared" ca="1" si="39"/>
        <v>6</v>
      </c>
      <c r="S85">
        <f ca="1">IF(ROW()&gt;MIN(($AB$8,$AB$7))+11,0,MATCH(V85,INDIRECT("'Reading History'!B"&amp;$Y$5&amp;":b"&amp;$Y$6),-1))</f>
        <v>74</v>
      </c>
      <c r="U85" s="152">
        <f t="shared" ca="1" si="32"/>
        <v>41762</v>
      </c>
      <c r="V85" s="4">
        <f t="shared" ca="1" si="40"/>
        <v>41765</v>
      </c>
      <c r="W85">
        <f t="shared" ca="1" si="33"/>
        <v>3</v>
      </c>
      <c r="X85">
        <f t="shared" ca="1" si="34"/>
        <v>28</v>
      </c>
      <c r="AB85" s="176">
        <f t="shared" ca="1" si="41"/>
        <v>0</v>
      </c>
    </row>
    <row r="86" spans="1:28" ht="15" customHeight="1" x14ac:dyDescent="0.2">
      <c r="A86" s="2" t="str">
        <f t="shared" ca="1" si="27"/>
        <v>Electric</v>
      </c>
      <c r="B86" s="4">
        <f t="shared" ca="1" si="35"/>
        <v>41732</v>
      </c>
      <c r="C86" s="179" t="str">
        <f t="shared" ca="1" si="28"/>
        <v>Actual</v>
      </c>
      <c r="D86" s="17">
        <f t="shared" ca="1" si="36"/>
        <v>6660</v>
      </c>
      <c r="E86" s="17">
        <f t="shared" ca="1" si="29"/>
        <v>31</v>
      </c>
      <c r="F86" s="182">
        <f t="shared" ca="1" si="37"/>
        <v>36000</v>
      </c>
      <c r="G86" s="183">
        <f t="shared" ca="1" si="30"/>
        <v>108.46</v>
      </c>
      <c r="H86" s="184">
        <f ca="1">IF($A86="","",+Rates!N80)</f>
        <v>130.22999999999993</v>
      </c>
      <c r="I86" s="184">
        <f ca="1">IF($A86="","",+ROUND(Rates!O80,2))</f>
        <v>3099.6</v>
      </c>
      <c r="J86" s="184">
        <f ca="1">IF($A86="","",IF(F86=0,0,+ROUND(Rates!P80,2)))</f>
        <v>1194.1400000000001</v>
      </c>
      <c r="K86" s="184">
        <f ca="1">IF($A86="","",+ROUND(Rates!X80,2))</f>
        <v>139.28</v>
      </c>
      <c r="L86" s="184">
        <f ca="1">IF($A86="","",+ROUND(Rates!Q80,2))</f>
        <v>115.2</v>
      </c>
      <c r="M86" s="185">
        <f ca="1">IF($A86="","",+ROUND(Rates!R80,2))</f>
        <v>4678.45</v>
      </c>
      <c r="N86" s="186">
        <f t="shared" ca="1" si="38"/>
        <v>48387.096774193546</v>
      </c>
      <c r="O86" s="187">
        <f t="shared" ca="1" si="31"/>
        <v>0.4461284969038683</v>
      </c>
      <c r="P86" s="188">
        <f ca="1">IFERROR(SUM(INDIRECT("'FAF &amp; DDs'!"&amp;(ADDRESS(MATCH($B86-$E86,'FAF &amp; DDs'!$Q:$Q,0),COLUMN($R$1),2,1))&amp;":"&amp;(ADDRESS(MATCH($B86-1,'FAF &amp; DDs'!$Q:$Q,0),COLUMN($R$1),1))))/E86*30,-1)</f>
        <v>774.77419354838696</v>
      </c>
      <c r="Q86" s="188">
        <f ca="1">IFERROR(SUM(INDIRECT("'FAF &amp; DDs'!"&amp;(ADDRESS(MATCH($B86-$E86,'FAF &amp; DDs'!$Q:$Q,0),COLUMN($S$1),2,1))&amp;":"&amp;(ADDRESS(MATCH($B86-1,'FAF &amp; DDs'!$Q:$Q,0),COLUMN($S$1),1))))/E86*30,-1)</f>
        <v>2.129032258064516</v>
      </c>
      <c r="R86" s="176">
        <f t="shared" ca="1" si="39"/>
        <v>6</v>
      </c>
      <c r="S86">
        <f ca="1">IF(ROW()&gt;MIN(($AB$8,$AB$7))+11,0,MATCH(V86,INDIRECT("'Reading History'!B"&amp;$Y$5&amp;":b"&amp;$Y$6),-1))</f>
        <v>75</v>
      </c>
      <c r="U86" s="152">
        <f t="shared" ca="1" si="32"/>
        <v>41732</v>
      </c>
      <c r="V86" s="4">
        <f t="shared" ca="1" si="40"/>
        <v>41737</v>
      </c>
      <c r="W86">
        <f t="shared" ca="1" si="33"/>
        <v>5</v>
      </c>
      <c r="X86">
        <f t="shared" ca="1" si="34"/>
        <v>29</v>
      </c>
      <c r="AB86" s="176">
        <f t="shared" ca="1" si="41"/>
        <v>0</v>
      </c>
    </row>
    <row r="87" spans="1:28" ht="15" customHeight="1" x14ac:dyDescent="0.2">
      <c r="A87" s="2" t="str">
        <f t="shared" ca="1" si="27"/>
        <v>Electric</v>
      </c>
      <c r="B87" s="4">
        <f t="shared" ca="1" si="35"/>
        <v>41701</v>
      </c>
      <c r="C87" s="179" t="str">
        <f t="shared" ca="1" si="28"/>
        <v>Actual</v>
      </c>
      <c r="D87" s="17">
        <f t="shared" ca="1" si="36"/>
        <v>6480</v>
      </c>
      <c r="E87" s="17">
        <f t="shared" ca="1" si="29"/>
        <v>28</v>
      </c>
      <c r="F87" s="182">
        <f t="shared" ca="1" si="37"/>
        <v>35400</v>
      </c>
      <c r="G87" s="183">
        <f t="shared" ca="1" si="30"/>
        <v>111.7</v>
      </c>
      <c r="H87" s="184">
        <f ca="1">IF($A87="","",+Rates!N81)</f>
        <v>130.2300000000001</v>
      </c>
      <c r="I87" s="184">
        <f ca="1">IF($A87="","",+ROUND(Rates!O81,2))</f>
        <v>3047.94</v>
      </c>
      <c r="J87" s="184">
        <f ca="1">IF($A87="","",IF(F87=0,0,+ROUND(Rates!P81,2)))</f>
        <v>1229.82</v>
      </c>
      <c r="K87" s="184">
        <f ca="1">IF($A87="","",+ROUND(Rates!X81,2))</f>
        <v>252.93</v>
      </c>
      <c r="L87" s="184">
        <f ca="1">IF($A87="","",+ROUND(Rates!Q81,2))</f>
        <v>113.28</v>
      </c>
      <c r="M87" s="185">
        <f ca="1">IF($A87="","",+ROUND(Rates!R81,2))</f>
        <v>4774.2</v>
      </c>
      <c r="N87" s="186">
        <f t="shared" ca="1" si="38"/>
        <v>52678.57142857142</v>
      </c>
      <c r="O87" s="187">
        <f t="shared" ca="1" si="31"/>
        <v>0.47160762245811488</v>
      </c>
      <c r="P87" s="188">
        <f ca="1">IFERROR(SUM(INDIRECT("'FAF &amp; DDs'!"&amp;(ADDRESS(MATCH($B87-$E87,'FAF &amp; DDs'!$Q:$Q,0),COLUMN($R$1),2,1))&amp;":"&amp;(ADDRESS(MATCH($B87-1,'FAF &amp; DDs'!$Q:$Q,0),COLUMN($R$1),1))))/E87*30,-1)</f>
        <v>1325.1428571428571</v>
      </c>
      <c r="Q87" s="188">
        <f ca="1">IFERROR(SUM(INDIRECT("'FAF &amp; DDs'!"&amp;(ADDRESS(MATCH($B87-$E87,'FAF &amp; DDs'!$Q:$Q,0),COLUMN($S$1),2,1))&amp;":"&amp;(ADDRESS(MATCH($B87-1,'FAF &amp; DDs'!$Q:$Q,0),COLUMN($S$1),1))))/E87*30,-1)</f>
        <v>0</v>
      </c>
      <c r="R87" s="176">
        <f t="shared" ca="1" si="39"/>
        <v>6</v>
      </c>
      <c r="S87">
        <f ca="1">IF(ROW()&gt;MIN(($AB$8,$AB$7))+11,0,MATCH(V87,INDIRECT("'Reading History'!B"&amp;$Y$5&amp;":b"&amp;$Y$6),-1))</f>
        <v>76</v>
      </c>
      <c r="U87" s="152">
        <f t="shared" ca="1" si="32"/>
        <v>41701</v>
      </c>
      <c r="V87" s="4">
        <f t="shared" ca="1" si="40"/>
        <v>41708</v>
      </c>
      <c r="W87">
        <f t="shared" ca="1" si="33"/>
        <v>7</v>
      </c>
      <c r="X87">
        <f t="shared" ca="1" si="34"/>
        <v>33</v>
      </c>
      <c r="AB87" s="176">
        <f t="shared" ca="1" si="41"/>
        <v>0</v>
      </c>
    </row>
    <row r="88" spans="1:28" ht="15" customHeight="1" x14ac:dyDescent="0.2">
      <c r="A88" s="2" t="str">
        <f t="shared" ca="1" si="27"/>
        <v>Electric</v>
      </c>
      <c r="B88" s="4">
        <f t="shared" ca="1" si="35"/>
        <v>41673</v>
      </c>
      <c r="C88" s="179" t="str">
        <f t="shared" ca="1" si="28"/>
        <v>Actual</v>
      </c>
      <c r="D88" s="17">
        <f t="shared" ca="1" si="36"/>
        <v>6303</v>
      </c>
      <c r="E88" s="17">
        <f t="shared" ca="1" si="29"/>
        <v>31</v>
      </c>
      <c r="F88" s="182">
        <f t="shared" ca="1" si="37"/>
        <v>39400</v>
      </c>
      <c r="G88" s="183">
        <f t="shared" ca="1" si="30"/>
        <v>126.02</v>
      </c>
      <c r="H88" s="184">
        <f ca="1">IF($A88="","",+Rates!N82)</f>
        <v>130.22999999999993</v>
      </c>
      <c r="I88" s="184">
        <f ca="1">IF($A88="","",+ROUND(Rates!O82,2))</f>
        <v>3392.34</v>
      </c>
      <c r="J88" s="184">
        <f ca="1">IF($A88="","",IF(F88=0,0,+ROUND(Rates!P82,2)))</f>
        <v>1387.48</v>
      </c>
      <c r="K88" s="184">
        <f ca="1">IF($A88="","",+ROUND(Rates!X82,2))</f>
        <v>143.26</v>
      </c>
      <c r="L88" s="184">
        <f ca="1">IF($A88="","",+ROUND(Rates!Q82,2))</f>
        <v>126.08</v>
      </c>
      <c r="M88" s="185">
        <f ca="1">IF($A88="","",+ROUND(Rates!R82,2))</f>
        <v>5179.3900000000003</v>
      </c>
      <c r="N88" s="186">
        <f t="shared" ca="1" si="38"/>
        <v>52956.989247311831</v>
      </c>
      <c r="O88" s="187">
        <f t="shared" ca="1" si="31"/>
        <v>0.4202268627782243</v>
      </c>
      <c r="P88" s="188">
        <f ca="1">IFERROR(SUM(INDIRECT("'FAF &amp; DDs'!"&amp;(ADDRESS(MATCH($B88-$E88,'FAF &amp; DDs'!$Q:$Q,0),COLUMN($R$1),2,1))&amp;":"&amp;(ADDRESS(MATCH($B88-1,'FAF &amp; DDs'!$Q:$Q,0),COLUMN($R$1),1))))/E88*30,-1)</f>
        <v>1293.8709677419358</v>
      </c>
      <c r="Q88" s="188">
        <f ca="1">IFERROR(SUM(INDIRECT("'FAF &amp; DDs'!"&amp;(ADDRESS(MATCH($B88-$E88,'FAF &amp; DDs'!$Q:$Q,0),COLUMN($S$1),2,1))&amp;":"&amp;(ADDRESS(MATCH($B88-1,'FAF &amp; DDs'!$Q:$Q,0),COLUMN($S$1),1))))/E88*30,-1)</f>
        <v>0</v>
      </c>
      <c r="R88" s="176">
        <f t="shared" ca="1" si="39"/>
        <v>6</v>
      </c>
      <c r="S88">
        <f ca="1">IF(ROW()&gt;MIN(($AB$8,$AB$7))+11,0,MATCH(V88,INDIRECT("'Reading History'!B"&amp;$Y$5&amp;":b"&amp;$Y$6),-1))</f>
        <v>77</v>
      </c>
      <c r="U88" s="152">
        <f t="shared" ca="1" si="32"/>
        <v>41673</v>
      </c>
      <c r="V88" s="4">
        <f t="shared" ca="1" si="40"/>
        <v>41675</v>
      </c>
      <c r="W88">
        <f t="shared" ca="1" si="33"/>
        <v>2</v>
      </c>
      <c r="X88">
        <f t="shared" ca="1" si="34"/>
        <v>29</v>
      </c>
      <c r="AB88" s="176">
        <f t="shared" ca="1" si="41"/>
        <v>0</v>
      </c>
    </row>
    <row r="89" spans="1:28" ht="15" customHeight="1" x14ac:dyDescent="0.2">
      <c r="A89" s="2" t="str">
        <f t="shared" ca="1" si="27"/>
        <v>Electric</v>
      </c>
      <c r="B89" s="4">
        <f t="shared" ca="1" si="35"/>
        <v>41642</v>
      </c>
      <c r="C89" s="179" t="str">
        <f t="shared" ca="1" si="28"/>
        <v>Actual</v>
      </c>
      <c r="D89" s="17">
        <f t="shared" ca="1" si="36"/>
        <v>6106</v>
      </c>
      <c r="E89" s="17">
        <f t="shared" ca="1" si="29"/>
        <v>31</v>
      </c>
      <c r="F89" s="182">
        <f t="shared" ca="1" si="37"/>
        <v>37000</v>
      </c>
      <c r="G89" s="183">
        <f t="shared" ca="1" si="30"/>
        <v>105.62</v>
      </c>
      <c r="H89" s="184">
        <f ca="1">IF($A89="","",+Rates!N83)</f>
        <v>130.23000000000002</v>
      </c>
      <c r="I89" s="184">
        <f ca="1">IF($A89="","",+ROUND(Rates!O83,2))</f>
        <v>3185.7</v>
      </c>
      <c r="J89" s="184">
        <f ca="1">IF($A89="","",IF(F89=0,0,+ROUND(Rates!P83,2)))</f>
        <v>1162.8800000000001</v>
      </c>
      <c r="K89" s="184">
        <f ca="1">IF($A89="","",+ROUND(Rates!X83,2))</f>
        <v>583.97</v>
      </c>
      <c r="L89" s="184">
        <f ca="1">IF($A89="","",+ROUND(Rates!Q83,2))</f>
        <v>118.4</v>
      </c>
      <c r="M89" s="185">
        <f ca="1">IF($A89="","",+ROUND(Rates!R83,2))</f>
        <v>5181.18</v>
      </c>
      <c r="N89" s="186">
        <f t="shared" ca="1" si="38"/>
        <v>49731.182795698922</v>
      </c>
      <c r="O89" s="187">
        <f t="shared" ca="1" si="31"/>
        <v>0.47085005487311993</v>
      </c>
      <c r="P89" s="188">
        <f ca="1">IFERROR(SUM(INDIRECT("'FAF &amp; DDs'!"&amp;(ADDRESS(MATCH($B89-$E89,'FAF &amp; DDs'!$Q:$Q,0),COLUMN($R$1),2,1))&amp;":"&amp;(ADDRESS(MATCH($B89-1,'FAF &amp; DDs'!$Q:$Q,0),COLUMN($R$1),1))))/E89*30,-1)</f>
        <v>1151.3225806451615</v>
      </c>
      <c r="Q89" s="188">
        <f ca="1">IFERROR(SUM(INDIRECT("'FAF &amp; DDs'!"&amp;(ADDRESS(MATCH($B89-$E89,'FAF &amp; DDs'!$Q:$Q,0),COLUMN($S$1),2,1))&amp;":"&amp;(ADDRESS(MATCH($B89-1,'FAF &amp; DDs'!$Q:$Q,0),COLUMN($S$1),1))))/E89*30,-1)</f>
        <v>0</v>
      </c>
      <c r="R89" s="176">
        <f t="shared" ca="1" si="39"/>
        <v>6</v>
      </c>
      <c r="S89">
        <f ca="1">IF(ROW()&gt;MIN(($AB$8,$AB$7))+11,0,MATCH(V89,INDIRECT("'Reading History'!B"&amp;$Y$5&amp;":b"&amp;$Y$6),-1))</f>
        <v>78</v>
      </c>
      <c r="U89" s="152">
        <f t="shared" ca="1" si="32"/>
        <v>41642</v>
      </c>
      <c r="V89" s="4">
        <f t="shared" ca="1" si="40"/>
        <v>41646</v>
      </c>
      <c r="W89">
        <f t="shared" ca="1" si="33"/>
        <v>4</v>
      </c>
      <c r="X89">
        <f t="shared" ca="1" si="34"/>
        <v>32</v>
      </c>
      <c r="AB89" s="176">
        <f t="shared" ca="1" si="41"/>
        <v>0</v>
      </c>
    </row>
    <row r="90" spans="1:28" ht="15" customHeight="1" x14ac:dyDescent="0.2">
      <c r="A90" s="2" t="str">
        <f t="shared" ca="1" si="27"/>
        <v>Electric</v>
      </c>
      <c r="B90" s="4">
        <f t="shared" ca="1" si="35"/>
        <v>41611</v>
      </c>
      <c r="C90" s="179" t="str">
        <f t="shared" ca="1" si="28"/>
        <v>Actual</v>
      </c>
      <c r="D90" s="17">
        <f t="shared" ca="1" si="36"/>
        <v>5921</v>
      </c>
      <c r="E90" s="17">
        <f t="shared" ca="1" si="29"/>
        <v>30</v>
      </c>
      <c r="F90" s="182">
        <f t="shared" ca="1" si="37"/>
        <v>33000</v>
      </c>
      <c r="G90" s="183">
        <f t="shared" ca="1" si="30"/>
        <v>98.38</v>
      </c>
      <c r="H90" s="184">
        <f ca="1">IF($A90="","",+Rates!N84)</f>
        <v>130.2299999999999</v>
      </c>
      <c r="I90" s="184">
        <f ca="1">IF($A90="","",+ROUND(Rates!O84,2))</f>
        <v>2841.3</v>
      </c>
      <c r="J90" s="184">
        <f ca="1">IF($A90="","",IF(F90=0,0,+ROUND(Rates!P84,2)))</f>
        <v>1083.1600000000001</v>
      </c>
      <c r="K90" s="184">
        <f ca="1">IF($A90="","",+ROUND(Rates!X84,2))</f>
        <v>372.24</v>
      </c>
      <c r="L90" s="184">
        <f ca="1">IF($A90="","",+ROUND(Rates!Q84,2))</f>
        <v>105.6</v>
      </c>
      <c r="M90" s="185">
        <f ca="1">IF($A90="","",+ROUND(Rates!R84,2))</f>
        <v>4532.53</v>
      </c>
      <c r="N90" s="186">
        <f t="shared" ca="1" si="38"/>
        <v>45833.333333333336</v>
      </c>
      <c r="O90" s="187">
        <f t="shared" ca="1" si="31"/>
        <v>0.46588059903774487</v>
      </c>
      <c r="P90" s="188">
        <f ca="1">IFERROR(SUM(INDIRECT("'FAF &amp; DDs'!"&amp;(ADDRESS(MATCH($B90-$E90,'FAF &amp; DDs'!$Q:$Q,0),COLUMN($R$1),2,1))&amp;":"&amp;(ADDRESS(MATCH($B90-1,'FAF &amp; DDs'!$Q:$Q,0),COLUMN($R$1),1))))/E90*30,-1)</f>
        <v>789.4</v>
      </c>
      <c r="Q90" s="188">
        <f ca="1">IFERROR(SUM(INDIRECT("'FAF &amp; DDs'!"&amp;(ADDRESS(MATCH($B90-$E90,'FAF &amp; DDs'!$Q:$Q,0),COLUMN($S$1),2,1))&amp;":"&amp;(ADDRESS(MATCH($B90-1,'FAF &amp; DDs'!$Q:$Q,0),COLUMN($S$1),1))))/E90*30,-1)</f>
        <v>3</v>
      </c>
      <c r="R90" s="176">
        <f t="shared" ca="1" si="39"/>
        <v>6</v>
      </c>
      <c r="S90">
        <f ca="1">IF(ROW()&gt;MIN(($AB$8,$AB$7))+11,0,MATCH(V90,INDIRECT("'Reading History'!B"&amp;$Y$5&amp;":b"&amp;$Y$6),-1))</f>
        <v>79</v>
      </c>
      <c r="U90" s="152">
        <f t="shared" ca="1" si="32"/>
        <v>41611</v>
      </c>
      <c r="V90" s="4">
        <f t="shared" ca="1" si="40"/>
        <v>41614</v>
      </c>
      <c r="W90">
        <f t="shared" ca="1" si="33"/>
        <v>3</v>
      </c>
      <c r="X90">
        <f t="shared" ca="1" si="34"/>
        <v>31</v>
      </c>
      <c r="AB90" s="176">
        <f t="shared" ca="1" si="41"/>
        <v>0</v>
      </c>
    </row>
    <row r="91" spans="1:28" ht="15" customHeight="1" x14ac:dyDescent="0.2">
      <c r="A91" s="2" t="str">
        <f t="shared" ca="1" si="27"/>
        <v>Electric</v>
      </c>
      <c r="B91" s="4">
        <f t="shared" ca="1" si="35"/>
        <v>41581</v>
      </c>
      <c r="C91" s="179" t="str">
        <f t="shared" ca="1" si="28"/>
        <v>Actual</v>
      </c>
      <c r="D91" s="17">
        <f t="shared" ca="1" si="36"/>
        <v>5756</v>
      </c>
      <c r="E91" s="17">
        <f t="shared" ca="1" si="29"/>
        <v>31</v>
      </c>
      <c r="F91" s="182">
        <f t="shared" ca="1" si="37"/>
        <v>35200</v>
      </c>
      <c r="G91" s="183">
        <f t="shared" ca="1" si="30"/>
        <v>140.32</v>
      </c>
      <c r="H91" s="184">
        <f ca="1">IF($A91="","",+Rates!N85)</f>
        <v>130.23000000000002</v>
      </c>
      <c r="I91" s="184">
        <f ca="1">IF($A91="","",+ROUND(Rates!O85,2))</f>
        <v>3030.72</v>
      </c>
      <c r="J91" s="184">
        <f ca="1">IF($A91="","",IF(F91=0,0,+ROUND(Rates!P85,2)))</f>
        <v>1544.92</v>
      </c>
      <c r="K91" s="184">
        <f ca="1">IF($A91="","",+ROUND(Rates!X85,2))</f>
        <v>5.46</v>
      </c>
      <c r="L91" s="184">
        <f ca="1">IF($A91="","",+ROUND(Rates!Q85,2))</f>
        <v>112.64</v>
      </c>
      <c r="M91" s="185">
        <f ca="1">IF($A91="","",+ROUND(Rates!R85,2))</f>
        <v>4823.97</v>
      </c>
      <c r="N91" s="186">
        <f t="shared" ca="1" si="38"/>
        <v>47311.827956989247</v>
      </c>
      <c r="O91" s="187">
        <f t="shared" ca="1" si="31"/>
        <v>0.33717095180294504</v>
      </c>
      <c r="P91" s="188">
        <f ca="1">IFERROR(SUM(INDIRECT("'FAF &amp; DDs'!"&amp;(ADDRESS(MATCH($B91-$E91,'FAF &amp; DDs'!$Q:$Q,0),COLUMN($R$1),2,1))&amp;":"&amp;(ADDRESS(MATCH($B91-1,'FAF &amp; DDs'!$Q:$Q,0),COLUMN($R$1),1))))/E91*30,-1)</f>
        <v>396.96774193548384</v>
      </c>
      <c r="Q91" s="188">
        <f ca="1">IFERROR(SUM(INDIRECT("'FAF &amp; DDs'!"&amp;(ADDRESS(MATCH($B91-$E91,'FAF &amp; DDs'!$Q:$Q,0),COLUMN($S$1),2,1))&amp;":"&amp;(ADDRESS(MATCH($B91-1,'FAF &amp; DDs'!$Q:$Q,0),COLUMN($S$1),1))))/E91*30,-1)</f>
        <v>44.612903225806434</v>
      </c>
      <c r="R91" s="176">
        <f t="shared" ca="1" si="39"/>
        <v>6</v>
      </c>
      <c r="S91">
        <f ca="1">IF(ROW()&gt;MIN(($AB$8,$AB$7))+11,0,MATCH(V91,INDIRECT("'Reading History'!B"&amp;$Y$5&amp;":b"&amp;$Y$6),-1))</f>
        <v>80</v>
      </c>
      <c r="U91" s="152">
        <f t="shared" ca="1" si="32"/>
        <v>41581</v>
      </c>
      <c r="V91" s="4">
        <f t="shared" ca="1" si="40"/>
        <v>41583</v>
      </c>
      <c r="W91">
        <f t="shared" ca="1" si="33"/>
        <v>2</v>
      </c>
      <c r="X91">
        <f t="shared" ca="1" si="34"/>
        <v>32</v>
      </c>
      <c r="AB91" s="176">
        <f t="shared" ca="1" si="41"/>
        <v>0</v>
      </c>
    </row>
    <row r="92" spans="1:28" ht="15" customHeight="1" x14ac:dyDescent="0.2">
      <c r="A92" s="2" t="str">
        <f t="shared" ca="1" si="27"/>
        <v>Electric</v>
      </c>
      <c r="B92" s="4">
        <f t="shared" ca="1" si="35"/>
        <v>41550</v>
      </c>
      <c r="C92" s="179" t="str">
        <f t="shared" ca="1" si="28"/>
        <v>Actual</v>
      </c>
      <c r="D92" s="17">
        <f t="shared" ca="1" si="36"/>
        <v>5580</v>
      </c>
      <c r="E92" s="17">
        <f t="shared" ca="1" si="29"/>
        <v>30</v>
      </c>
      <c r="F92" s="182">
        <f t="shared" ca="1" si="37"/>
        <v>42000</v>
      </c>
      <c r="G92" s="183">
        <f t="shared" ca="1" si="30"/>
        <v>150.47999999999999</v>
      </c>
      <c r="H92" s="184">
        <f ca="1">IF($A92="","",+Rates!N86)</f>
        <v>130.22999999999996</v>
      </c>
      <c r="I92" s="184">
        <f ca="1">IF($A92="","",+ROUND(Rates!O86,2))</f>
        <v>3729.6</v>
      </c>
      <c r="J92" s="184">
        <f ca="1">IF($A92="","",IF(F92=0,0,+ROUND(Rates!P86,2)))</f>
        <v>1751.59</v>
      </c>
      <c r="K92" s="184">
        <f ca="1">IF($A92="","",+ROUND(Rates!X86,2))</f>
        <v>-160.57</v>
      </c>
      <c r="L92" s="184">
        <f ca="1">IF($A92="","",+ROUND(Rates!Q86,2))</f>
        <v>134.4</v>
      </c>
      <c r="M92" s="185">
        <f ca="1">IF($A92="","",+ROUND(Rates!R86,2))</f>
        <v>5585.25</v>
      </c>
      <c r="N92" s="186">
        <f t="shared" ca="1" si="38"/>
        <v>58333.333333333336</v>
      </c>
      <c r="O92" s="187">
        <f t="shared" ca="1" si="31"/>
        <v>0.38764841396420346</v>
      </c>
      <c r="P92" s="188">
        <f ca="1">IFERROR(SUM(INDIRECT("'FAF &amp; DDs'!"&amp;(ADDRESS(MATCH($B92-$E92,'FAF &amp; DDs'!$Q:$Q,0),COLUMN($R$1),2,1))&amp;":"&amp;(ADDRESS(MATCH($B92-1,'FAF &amp; DDs'!$Q:$Q,0),COLUMN($R$1),1))))/E92*30,-1)</f>
        <v>89.200000000000017</v>
      </c>
      <c r="Q92" s="188">
        <f ca="1">IFERROR(SUM(INDIRECT("'FAF &amp; DDs'!"&amp;(ADDRESS(MATCH($B92-$E92,'FAF &amp; DDs'!$Q:$Q,0),COLUMN($S$1),2,1))&amp;":"&amp;(ADDRESS(MATCH($B92-1,'FAF &amp; DDs'!$Q:$Q,0),COLUMN($S$1),1))))/E92*30,-1)</f>
        <v>194.2</v>
      </c>
      <c r="R92" s="176">
        <f t="shared" ca="1" si="39"/>
        <v>6</v>
      </c>
      <c r="S92">
        <f ca="1">IF(ROW()&gt;MIN(($AB$8,$AB$7))+11,0,MATCH(V92,INDIRECT("'Reading History'!B"&amp;$Y$5&amp;":b"&amp;$Y$6),-1))</f>
        <v>81</v>
      </c>
      <c r="U92" s="152">
        <f t="shared" ca="1" si="32"/>
        <v>41550</v>
      </c>
      <c r="V92" s="4">
        <f t="shared" ca="1" si="40"/>
        <v>41551</v>
      </c>
      <c r="W92">
        <f t="shared" ca="1" si="33"/>
        <v>1</v>
      </c>
      <c r="X92">
        <f t="shared" ca="1" si="34"/>
        <v>28</v>
      </c>
      <c r="AB92" s="176">
        <f t="shared" ca="1" si="41"/>
        <v>0</v>
      </c>
    </row>
    <row r="93" spans="1:28" ht="15" customHeight="1" x14ac:dyDescent="0.2">
      <c r="A93" s="2" t="str">
        <f t="shared" ca="1" si="27"/>
        <v>Electric</v>
      </c>
      <c r="B93" s="4">
        <f t="shared" ca="1" si="35"/>
        <v>41520</v>
      </c>
      <c r="C93" s="179" t="str">
        <f t="shared" ca="1" si="28"/>
        <v>Actual</v>
      </c>
      <c r="D93" s="17">
        <f t="shared" ca="1" si="36"/>
        <v>5370</v>
      </c>
      <c r="E93" s="17">
        <f t="shared" ca="1" si="29"/>
        <v>31</v>
      </c>
      <c r="F93" s="182">
        <f t="shared" ca="1" si="37"/>
        <v>44400</v>
      </c>
      <c r="G93" s="183">
        <f t="shared" ca="1" si="30"/>
        <v>172.32</v>
      </c>
      <c r="H93" s="184">
        <f ca="1">IF($A93="","",+Rates!N87)</f>
        <v>130.22999999999993</v>
      </c>
      <c r="I93" s="184">
        <f ca="1">IF($A93="","",+ROUND(Rates!O87,2))</f>
        <v>4195.8</v>
      </c>
      <c r="J93" s="184">
        <f ca="1">IF($A93="","",IF(F93=0,0,+ROUND(Rates!P87,2)))</f>
        <v>2234.9899999999998</v>
      </c>
      <c r="K93" s="184">
        <f ca="1">IF($A93="","",+ROUND(Rates!X87,2))</f>
        <v>31.48</v>
      </c>
      <c r="L93" s="184">
        <f ca="1">IF($A93="","",+ROUND(Rates!Q87,2))</f>
        <v>142.08000000000001</v>
      </c>
      <c r="M93" s="185">
        <f ca="1">IF($A93="","",+ROUND(Rates!R87,2))</f>
        <v>6734.58</v>
      </c>
      <c r="N93" s="186">
        <f t="shared" ca="1" si="38"/>
        <v>59677.419354838712</v>
      </c>
      <c r="O93" s="187">
        <f t="shared" ca="1" si="31"/>
        <v>0.34631742893940753</v>
      </c>
      <c r="P93" s="188">
        <f ca="1">IFERROR(SUM(INDIRECT("'FAF &amp; DDs'!"&amp;(ADDRESS(MATCH($B93-$E93,'FAF &amp; DDs'!$Q:$Q,0),COLUMN($R$1),2,1))&amp;":"&amp;(ADDRESS(MATCH($B93-1,'FAF &amp; DDs'!$Q:$Q,0),COLUMN($R$1),1))))/E93*30,-1)</f>
        <v>27.580645161290324</v>
      </c>
      <c r="Q93" s="188">
        <f ca="1">IFERROR(SUM(INDIRECT("'FAF &amp; DDs'!"&amp;(ADDRESS(MATCH($B93-$E93,'FAF &amp; DDs'!$Q:$Q,0),COLUMN($S$1),2,1))&amp;":"&amp;(ADDRESS(MATCH($B93-1,'FAF &amp; DDs'!$Q:$Q,0),COLUMN($S$1),1))))/E93*30,-1)</f>
        <v>282.38709677419365</v>
      </c>
      <c r="R93" s="176">
        <f t="shared" ca="1" si="39"/>
        <v>6</v>
      </c>
      <c r="S93">
        <f ca="1">IF(ROW()&gt;MIN(($AB$8,$AB$7))+11,0,MATCH(V93,INDIRECT("'Reading History'!B"&amp;$Y$5&amp;":b"&amp;$Y$6),-1))</f>
        <v>82</v>
      </c>
      <c r="U93" s="152">
        <f t="shared" ca="1" si="32"/>
        <v>41520</v>
      </c>
      <c r="V93" s="4">
        <f t="shared" ca="1" si="40"/>
        <v>41523</v>
      </c>
      <c r="W93">
        <f t="shared" ca="1" si="33"/>
        <v>3</v>
      </c>
      <c r="X93">
        <f t="shared" ca="1" si="34"/>
        <v>29</v>
      </c>
      <c r="AB93" s="176">
        <f t="shared" ca="1" si="41"/>
        <v>0</v>
      </c>
    </row>
    <row r="94" spans="1:28" ht="15" customHeight="1" x14ac:dyDescent="0.2">
      <c r="A94" s="2" t="str">
        <f t="shared" ca="1" si="27"/>
        <v>Electric</v>
      </c>
      <c r="B94" s="4">
        <f t="shared" ca="1" si="35"/>
        <v>41489</v>
      </c>
      <c r="C94" s="179" t="str">
        <f t="shared" ca="1" si="28"/>
        <v>Actual</v>
      </c>
      <c r="D94" s="17">
        <f t="shared" ca="1" si="36"/>
        <v>5148</v>
      </c>
      <c r="E94" s="17">
        <f t="shared" ca="1" si="29"/>
        <v>31</v>
      </c>
      <c r="F94" s="182">
        <f t="shared" ca="1" si="37"/>
        <v>46800</v>
      </c>
      <c r="G94" s="183">
        <f t="shared" ca="1" si="30"/>
        <v>163.38</v>
      </c>
      <c r="H94" s="184">
        <f ca="1">IF($A94="","",+Rates!N88)</f>
        <v>130.23000000000005</v>
      </c>
      <c r="I94" s="184">
        <f ca="1">IF($A94="","",+ROUND(Rates!O88,2))</f>
        <v>4422.6000000000004</v>
      </c>
      <c r="J94" s="184">
        <f ca="1">IF($A94="","",IF(F94=0,0,+ROUND(Rates!P88,2)))</f>
        <v>2119.04</v>
      </c>
      <c r="K94" s="184">
        <f ca="1">IF($A94="","",+ROUND(Rates!X88,2))</f>
        <v>141.80000000000001</v>
      </c>
      <c r="L94" s="184">
        <f ca="1">IF($A94="","",+ROUND(Rates!Q88,2))</f>
        <v>149.76</v>
      </c>
      <c r="M94" s="185">
        <f ca="1">IF($A94="","",+ROUND(Rates!R88,2))</f>
        <v>6963.43</v>
      </c>
      <c r="N94" s="186">
        <f t="shared" ca="1" si="38"/>
        <v>62903.225806451614</v>
      </c>
      <c r="O94" s="187">
        <f t="shared" ca="1" si="31"/>
        <v>0.38501178728394914</v>
      </c>
      <c r="P94" s="188">
        <f ca="1">IFERROR(SUM(INDIRECT("'FAF &amp; DDs'!"&amp;(ADDRESS(MATCH($B94-$E94,'FAF &amp; DDs'!$Q:$Q,0),COLUMN($R$1),2,1))&amp;":"&amp;(ADDRESS(MATCH($B94-1,'FAF &amp; DDs'!$Q:$Q,0),COLUMN($R$1),1))))/E94*30,-1)</f>
        <v>21.290322580645164</v>
      </c>
      <c r="Q94" s="188">
        <f ca="1">IFERROR(SUM(INDIRECT("'FAF &amp; DDs'!"&amp;(ADDRESS(MATCH($B94-$E94,'FAF &amp; DDs'!$Q:$Q,0),COLUMN($S$1),2,1))&amp;":"&amp;(ADDRESS(MATCH($B94-1,'FAF &amp; DDs'!$Q:$Q,0),COLUMN($S$1),1))))/E94*30,-1)</f>
        <v>310.83870967741939</v>
      </c>
      <c r="R94" s="176">
        <f t="shared" ca="1" si="39"/>
        <v>6</v>
      </c>
      <c r="S94">
        <f ca="1">IF(ROW()&gt;MIN(($AB$8,$AB$7))+11,0,MATCH(V94,INDIRECT("'Reading History'!B"&amp;$Y$5&amp;":b"&amp;$Y$6),-1))</f>
        <v>83</v>
      </c>
      <c r="U94" s="152">
        <f t="shared" ca="1" si="32"/>
        <v>41489</v>
      </c>
      <c r="V94" s="4">
        <f t="shared" ca="1" si="40"/>
        <v>41494</v>
      </c>
      <c r="W94">
        <f t="shared" ca="1" si="33"/>
        <v>5</v>
      </c>
      <c r="X94">
        <f t="shared" ca="1" si="34"/>
        <v>31</v>
      </c>
      <c r="AB94" s="176">
        <f t="shared" ca="1" si="41"/>
        <v>0</v>
      </c>
    </row>
    <row r="95" spans="1:28" ht="15" customHeight="1" x14ac:dyDescent="0.2">
      <c r="A95" s="2" t="str">
        <f t="shared" ca="1" si="27"/>
        <v>Electric</v>
      </c>
      <c r="B95" s="4">
        <f t="shared" ca="1" si="35"/>
        <v>41458</v>
      </c>
      <c r="C95" s="179" t="str">
        <f t="shared" ca="1" si="28"/>
        <v>Actual</v>
      </c>
      <c r="D95" s="17">
        <f t="shared" ca="1" si="36"/>
        <v>4914</v>
      </c>
      <c r="E95" s="17">
        <f t="shared" ca="1" si="29"/>
        <v>30</v>
      </c>
      <c r="F95" s="182">
        <f t="shared" ca="1" si="37"/>
        <v>42600</v>
      </c>
      <c r="G95" s="183">
        <f t="shared" ca="1" si="30"/>
        <v>160.72</v>
      </c>
      <c r="H95" s="184">
        <f ca="1">IF($A95="","",+Rates!N89)</f>
        <v>130.23000000000002</v>
      </c>
      <c r="I95" s="184">
        <f ca="1">IF($A95="","",+ROUND(Rates!O89,2))</f>
        <v>4025.7</v>
      </c>
      <c r="J95" s="184">
        <f ca="1">IF($A95="","",IF(F95=0,0,+ROUND(Rates!P89,2)))</f>
        <v>2084.54</v>
      </c>
      <c r="K95" s="184">
        <f ca="1">IF($A95="","",+ROUND(Rates!X89,2))</f>
        <v>304.08</v>
      </c>
      <c r="L95" s="184">
        <f ca="1">IF($A95="","",+ROUND(Rates!Q89,2))</f>
        <v>136.32</v>
      </c>
      <c r="M95" s="185">
        <f ca="1">IF($A95="","",+ROUND(Rates!R89,2))</f>
        <v>6680.87</v>
      </c>
      <c r="N95" s="186">
        <f t="shared" ca="1" si="38"/>
        <v>59166.666666666664</v>
      </c>
      <c r="O95" s="187">
        <f t="shared" ca="1" si="31"/>
        <v>0.36813505890160941</v>
      </c>
      <c r="P95" s="188">
        <f ca="1">IFERROR(SUM(INDIRECT("'FAF &amp; DDs'!"&amp;(ADDRESS(MATCH($B95-$E95,'FAF &amp; DDs'!$Q:$Q,0),COLUMN($R$1),2,1))&amp;":"&amp;(ADDRESS(MATCH($B95-1,'FAF &amp; DDs'!$Q:$Q,0),COLUMN($R$1),1))))/E95*30,-1)</f>
        <v>25.900000000000002</v>
      </c>
      <c r="Q95" s="188">
        <f ca="1">IFERROR(SUM(INDIRECT("'FAF &amp; DDs'!"&amp;(ADDRESS(MATCH($B95-$E95,'FAF &amp; DDs'!$Q:$Q,0),COLUMN($S$1),2,1))&amp;":"&amp;(ADDRESS(MATCH($B95-1,'FAF &amp; DDs'!$Q:$Q,0),COLUMN($S$1),1))))/E95*30,-1)</f>
        <v>254.79999999999995</v>
      </c>
      <c r="R95" s="176">
        <f t="shared" ca="1" si="39"/>
        <v>6</v>
      </c>
      <c r="S95">
        <f ca="1">IF(ROW()&gt;MIN(($AB$8,$AB$7))+11,0,MATCH(V95,INDIRECT("'Reading History'!B"&amp;$Y$5&amp;":b"&amp;$Y$6),-1))</f>
        <v>84</v>
      </c>
      <c r="U95" s="152">
        <f t="shared" ca="1" si="32"/>
        <v>41458</v>
      </c>
      <c r="V95" s="4">
        <f t="shared" ca="1" si="40"/>
        <v>41463</v>
      </c>
      <c r="W95">
        <f t="shared" ca="1" si="33"/>
        <v>5</v>
      </c>
      <c r="X95">
        <f t="shared" ca="1" si="34"/>
        <v>33</v>
      </c>
      <c r="AB95" s="176">
        <f t="shared" ca="1" si="41"/>
        <v>0</v>
      </c>
    </row>
    <row r="96" spans="1:28" ht="15" customHeight="1" x14ac:dyDescent="0.2">
      <c r="A96" s="2" t="str">
        <f t="shared" ca="1" si="27"/>
        <v>Electric</v>
      </c>
      <c r="B96" s="4">
        <f t="shared" ca="1" si="35"/>
        <v>41428</v>
      </c>
      <c r="C96" s="179" t="str">
        <f t="shared" ca="1" si="28"/>
        <v>Actual</v>
      </c>
      <c r="D96" s="17">
        <f t="shared" ca="1" si="36"/>
        <v>4701</v>
      </c>
      <c r="E96" s="17">
        <f t="shared" ca="1" si="29"/>
        <v>31</v>
      </c>
      <c r="F96" s="182">
        <f t="shared" ca="1" si="37"/>
        <v>36600</v>
      </c>
      <c r="G96" s="183">
        <f t="shared" ca="1" si="30"/>
        <v>146.18</v>
      </c>
      <c r="H96" s="184">
        <f ca="1">IF($A96="","",+Rates!N90)</f>
        <v>130.22999999999999</v>
      </c>
      <c r="I96" s="184">
        <f ca="1">IF($A96="","",+ROUND(Rates!O90,2))</f>
        <v>3366.47</v>
      </c>
      <c r="J96" s="184">
        <f ca="1">IF($A96="","",IF(F96=0,0,+ROUND(Rates!P90,2)))</f>
        <v>1810</v>
      </c>
      <c r="K96" s="184">
        <f ca="1">IF($A96="","",+ROUND(Rates!X90,2))</f>
        <v>331.05</v>
      </c>
      <c r="L96" s="184">
        <f ca="1">IF($A96="","",+ROUND(Rates!Q90,2))</f>
        <v>117.12</v>
      </c>
      <c r="M96" s="185">
        <f ca="1">IF($A96="","",+ROUND(Rates!R90,2))</f>
        <v>5754.87</v>
      </c>
      <c r="N96" s="186">
        <f t="shared" ca="1" si="38"/>
        <v>49193.548387096773</v>
      </c>
      <c r="O96" s="187">
        <f t="shared" ca="1" si="31"/>
        <v>0.33652721567312066</v>
      </c>
      <c r="P96" s="188">
        <f ca="1">IFERROR(SUM(INDIRECT("'FAF &amp; DDs'!"&amp;(ADDRESS(MATCH($B96-$E96,'FAF &amp; DDs'!$Q:$Q,0),COLUMN($R$1),2,1))&amp;":"&amp;(ADDRESS(MATCH($B96-1,'FAF &amp; DDs'!$Q:$Q,0),COLUMN($R$1),1))))/E96*30,-1)</f>
        <v>134.80645161290323</v>
      </c>
      <c r="Q96" s="188">
        <f ca="1">IFERROR(SUM(INDIRECT("'FAF &amp; DDs'!"&amp;(ADDRESS(MATCH($B96-$E96,'FAF &amp; DDs'!$Q:$Q,0),COLUMN($S$1),2,1))&amp;":"&amp;(ADDRESS(MATCH($B96-1,'FAF &amp; DDs'!$Q:$Q,0),COLUMN($S$1),1))))/E96*30,-1)</f>
        <v>120.77419354838709</v>
      </c>
      <c r="R96" s="176">
        <f t="shared" ca="1" si="39"/>
        <v>6</v>
      </c>
      <c r="S96">
        <f ca="1">IF(ROW()&gt;MIN(($AB$8,$AB$7))+11,0,MATCH(V96,INDIRECT("'Reading History'!B"&amp;$Y$5&amp;":b"&amp;$Y$6),-1))</f>
        <v>85</v>
      </c>
      <c r="U96" s="152">
        <f t="shared" ca="1" si="32"/>
        <v>41428</v>
      </c>
      <c r="V96" s="4">
        <f t="shared" ca="1" si="40"/>
        <v>41430</v>
      </c>
      <c r="W96">
        <f t="shared" ca="1" si="33"/>
        <v>2</v>
      </c>
      <c r="X96">
        <f t="shared" ca="1" si="34"/>
        <v>30</v>
      </c>
      <c r="AB96" s="176">
        <f t="shared" ca="1" si="41"/>
        <v>0</v>
      </c>
    </row>
    <row r="97" spans="1:28" ht="15" customHeight="1" x14ac:dyDescent="0.2">
      <c r="A97" s="2" t="str">
        <f t="shared" ca="1" si="27"/>
        <v>Electric</v>
      </c>
      <c r="B97" s="4">
        <f t="shared" ca="1" si="35"/>
        <v>41397</v>
      </c>
      <c r="C97" s="179" t="str">
        <f t="shared" ca="1" si="28"/>
        <v>Actual</v>
      </c>
      <c r="D97" s="17">
        <f t="shared" ca="1" si="36"/>
        <v>4518</v>
      </c>
      <c r="E97" s="17">
        <f t="shared" ca="1" si="29"/>
        <v>30</v>
      </c>
      <c r="F97" s="182">
        <f t="shared" ca="1" si="37"/>
        <v>37000</v>
      </c>
      <c r="G97" s="183">
        <f t="shared" ca="1" si="30"/>
        <v>142.54</v>
      </c>
      <c r="H97" s="184">
        <f ca="1">IF($A97="","",+Rates!N91)</f>
        <v>130.22999999999996</v>
      </c>
      <c r="I97" s="184">
        <f ca="1">IF($A97="","",+ROUND(Rates!O91,2))</f>
        <v>3185.7</v>
      </c>
      <c r="J97" s="184">
        <f ca="1">IF($A97="","",IF(F97=0,0,+ROUND(Rates!P91,2)))</f>
        <v>1569.37</v>
      </c>
      <c r="K97" s="184">
        <f ca="1">IF($A97="","",+ROUND(Rates!X91,2))</f>
        <v>255.97</v>
      </c>
      <c r="L97" s="184">
        <f ca="1">IF($A97="","",+ROUND(Rates!Q91,2))</f>
        <v>118.4</v>
      </c>
      <c r="M97" s="185">
        <f ca="1">IF($A97="","",+ROUND(Rates!R91,2))</f>
        <v>5259.67</v>
      </c>
      <c r="N97" s="186">
        <f t="shared" ca="1" si="38"/>
        <v>51388.888888888883</v>
      </c>
      <c r="O97" s="187">
        <f t="shared" ca="1" si="31"/>
        <v>0.36052258235505047</v>
      </c>
      <c r="P97" s="188">
        <f ca="1">IFERROR(SUM(INDIRECT("'FAF &amp; DDs'!"&amp;(ADDRESS(MATCH($B97-$E97,'FAF &amp; DDs'!$Q:$Q,0),COLUMN($R$1),2,1))&amp;":"&amp;(ADDRESS(MATCH($B97-1,'FAF &amp; DDs'!$Q:$Q,0),COLUMN($R$1),1))))/E97*30,-1)</f>
        <v>382.9</v>
      </c>
      <c r="Q97" s="188">
        <f ca="1">IFERROR(SUM(INDIRECT("'FAF &amp; DDs'!"&amp;(ADDRESS(MATCH($B97-$E97,'FAF &amp; DDs'!$Q:$Q,0),COLUMN($S$1),2,1))&amp;":"&amp;(ADDRESS(MATCH($B97-1,'FAF &amp; DDs'!$Q:$Q,0),COLUMN($S$1),1))))/E97*30,-1)</f>
        <v>35.4</v>
      </c>
      <c r="R97" s="176">
        <f t="shared" ca="1" si="39"/>
        <v>6</v>
      </c>
      <c r="S97">
        <f ca="1">IF(ROW()&gt;MIN(($AB$8,$AB$7))+11,0,MATCH(V97,INDIRECT("'Reading History'!B"&amp;$Y$5&amp;":b"&amp;$Y$6),-1))</f>
        <v>86</v>
      </c>
      <c r="U97" s="152">
        <f t="shared" ca="1" si="32"/>
        <v>41397</v>
      </c>
      <c r="V97" s="4">
        <f t="shared" ca="1" si="40"/>
        <v>41400</v>
      </c>
      <c r="W97">
        <f t="shared" ca="1" si="33"/>
        <v>3</v>
      </c>
      <c r="X97">
        <f t="shared" ca="1" si="34"/>
        <v>32</v>
      </c>
      <c r="AB97" s="176">
        <f t="shared" ca="1" si="41"/>
        <v>0</v>
      </c>
    </row>
    <row r="98" spans="1:28" ht="15" customHeight="1" x14ac:dyDescent="0.2">
      <c r="A98" s="2" t="str">
        <f t="shared" ca="1" si="27"/>
        <v>Electric</v>
      </c>
      <c r="B98" s="4">
        <f t="shared" ca="1" si="35"/>
        <v>41367</v>
      </c>
      <c r="C98" s="179" t="str">
        <f t="shared" ca="1" si="28"/>
        <v>Actual</v>
      </c>
      <c r="D98" s="17">
        <f t="shared" ca="1" si="36"/>
        <v>4333</v>
      </c>
      <c r="E98" s="17">
        <f t="shared" ca="1" si="29"/>
        <v>31</v>
      </c>
      <c r="F98" s="182">
        <f t="shared" ca="1" si="37"/>
        <v>36600</v>
      </c>
      <c r="G98" s="183">
        <f t="shared" ca="1" si="30"/>
        <v>102</v>
      </c>
      <c r="H98" s="184">
        <f ca="1">IF($A98="","",+Rates!N92)</f>
        <v>130.22999999999999</v>
      </c>
      <c r="I98" s="184">
        <f ca="1">IF($A98="","",+ROUND(Rates!O92,2))</f>
        <v>3151.26</v>
      </c>
      <c r="J98" s="184">
        <f ca="1">IF($A98="","",IF(F98=0,0,+ROUND(Rates!P92,2)))</f>
        <v>1123.02</v>
      </c>
      <c r="K98" s="184">
        <f ca="1">IF($A98="","",+ROUND(Rates!X92,2))</f>
        <v>185.27</v>
      </c>
      <c r="L98" s="184">
        <f ca="1">IF($A98="","",+ROUND(Rates!Q92,2))</f>
        <v>117.12</v>
      </c>
      <c r="M98" s="185">
        <f ca="1">IF($A98="","",+ROUND(Rates!R92,2))</f>
        <v>4706.8999999999996</v>
      </c>
      <c r="N98" s="186">
        <f t="shared" ca="1" si="38"/>
        <v>49193.548387096773</v>
      </c>
      <c r="O98" s="187">
        <f t="shared" ca="1" si="31"/>
        <v>0.48228969006957623</v>
      </c>
      <c r="P98" s="188">
        <f ca="1">IFERROR(SUM(INDIRECT("'FAF &amp; DDs'!"&amp;(ADDRESS(MATCH($B98-$E98,'FAF &amp; DDs'!$Q:$Q,0),COLUMN($R$1),2,1))&amp;":"&amp;(ADDRESS(MATCH($B98-1,'FAF &amp; DDs'!$Q:$Q,0),COLUMN($R$1),1))))/E98*30,-1)</f>
        <v>871.25806451612902</v>
      </c>
      <c r="Q98" s="188">
        <f ca="1">IFERROR(SUM(INDIRECT("'FAF &amp; DDs'!"&amp;(ADDRESS(MATCH($B98-$E98,'FAF &amp; DDs'!$Q:$Q,0),COLUMN($S$1),2,1))&amp;":"&amp;(ADDRESS(MATCH($B98-1,'FAF &amp; DDs'!$Q:$Q,0),COLUMN($S$1),1))))/E98*30,-1)</f>
        <v>0</v>
      </c>
      <c r="R98" s="176">
        <f t="shared" ca="1" si="39"/>
        <v>6</v>
      </c>
      <c r="S98">
        <f ca="1">IF(ROW()&gt;MIN(($AB$8,$AB$7))+11,0,MATCH(V98,INDIRECT("'Reading History'!B"&amp;$Y$5&amp;":b"&amp;$Y$6),-1))</f>
        <v>87</v>
      </c>
      <c r="U98" s="152">
        <f t="shared" ca="1" si="32"/>
        <v>41367</v>
      </c>
      <c r="V98" s="4">
        <f t="shared" ca="1" si="40"/>
        <v>41368</v>
      </c>
      <c r="W98">
        <f t="shared" ca="1" si="33"/>
        <v>1</v>
      </c>
      <c r="X98">
        <f t="shared" ca="1" si="34"/>
        <v>31</v>
      </c>
      <c r="AB98" s="176">
        <f t="shared" ca="1" si="41"/>
        <v>0</v>
      </c>
    </row>
    <row r="99" spans="1:28" ht="15" customHeight="1" x14ac:dyDescent="0.2">
      <c r="A99" s="2" t="str">
        <f t="shared" ca="1" si="27"/>
        <v>Electric</v>
      </c>
      <c r="B99" s="4">
        <f t="shared" ca="1" si="35"/>
        <v>41336</v>
      </c>
      <c r="C99" s="179" t="str">
        <f t="shared" ca="1" si="28"/>
        <v>Actual</v>
      </c>
      <c r="D99" s="17">
        <f t="shared" ca="1" si="36"/>
        <v>4150</v>
      </c>
      <c r="E99" s="17">
        <f t="shared" ca="1" si="29"/>
        <v>28</v>
      </c>
      <c r="F99" s="182">
        <f t="shared" ca="1" si="37"/>
        <v>33600</v>
      </c>
      <c r="G99" s="183">
        <f t="shared" ca="1" si="30"/>
        <v>102.54</v>
      </c>
      <c r="H99" s="184">
        <f ca="1">IF($A99="","",+Rates!N93)</f>
        <v>127.12360000000001</v>
      </c>
      <c r="I99" s="184">
        <f ca="1">IF($A99="","",+ROUND(Rates!O93,2))</f>
        <v>2842.69</v>
      </c>
      <c r="J99" s="184">
        <f ca="1">IF($A99="","",IF(F99=0,0,+ROUND(Rates!P93,2)))</f>
        <v>1109.1099999999999</v>
      </c>
      <c r="K99" s="184">
        <f ca="1">IF($A99="","",+ROUND(Rates!X93,2))</f>
        <v>341.54</v>
      </c>
      <c r="L99" s="184">
        <f ca="1">IF($A99="","",+ROUND(Rates!Q93,2))</f>
        <v>107.52</v>
      </c>
      <c r="M99" s="185">
        <f ca="1">IF($A99="","",+ROUND(Rates!R93,2))</f>
        <v>4527.9799999999996</v>
      </c>
      <c r="N99" s="186">
        <f t="shared" ca="1" si="38"/>
        <v>50000</v>
      </c>
      <c r="O99" s="187">
        <f t="shared" ca="1" si="31"/>
        <v>0.48761458942851565</v>
      </c>
      <c r="P99" s="188">
        <f ca="1">IFERROR(SUM(INDIRECT("'FAF &amp; DDs'!"&amp;(ADDRESS(MATCH($B99-$E99,'FAF &amp; DDs'!$Q:$Q,0),COLUMN($R$1),2,1))&amp;":"&amp;(ADDRESS(MATCH($B99-1,'FAF &amp; DDs'!$Q:$Q,0),COLUMN($R$1),1))))/E99*30,-1)</f>
        <v>1007.6785714285714</v>
      </c>
      <c r="Q99" s="188">
        <f ca="1">IFERROR(SUM(INDIRECT("'FAF &amp; DDs'!"&amp;(ADDRESS(MATCH($B99-$E99,'FAF &amp; DDs'!$Q:$Q,0),COLUMN($S$1),2,1))&amp;":"&amp;(ADDRESS(MATCH($B99-1,'FAF &amp; DDs'!$Q:$Q,0),COLUMN($S$1),1))))/E99*30,-1)</f>
        <v>0</v>
      </c>
      <c r="R99" s="176">
        <f t="shared" ca="1" si="39"/>
        <v>6</v>
      </c>
      <c r="S99">
        <f ca="1">IF(ROW()&gt;MIN(($AB$8,$AB$7))+11,0,MATCH(V99,INDIRECT("'Reading History'!B"&amp;$Y$5&amp;":b"&amp;$Y$6),-1))</f>
        <v>88</v>
      </c>
      <c r="U99" s="152">
        <f t="shared" ca="1" si="32"/>
        <v>41336</v>
      </c>
      <c r="V99" s="4">
        <f t="shared" ca="1" si="40"/>
        <v>41337</v>
      </c>
      <c r="W99">
        <f t="shared" ca="1" si="33"/>
        <v>1</v>
      </c>
      <c r="X99">
        <f t="shared" ca="1" si="34"/>
        <v>25</v>
      </c>
      <c r="AB99" s="176">
        <f t="shared" ca="1" si="41"/>
        <v>0</v>
      </c>
    </row>
    <row r="100" spans="1:28" ht="15" customHeight="1" x14ac:dyDescent="0.2">
      <c r="A100" s="2" t="str">
        <f t="shared" ca="1" si="27"/>
        <v>Electric</v>
      </c>
      <c r="B100" s="4">
        <f t="shared" ca="1" si="35"/>
        <v>41308</v>
      </c>
      <c r="C100" s="179" t="str">
        <f t="shared" ca="1" si="28"/>
        <v>Actual</v>
      </c>
      <c r="D100" s="17">
        <f t="shared" ca="1" si="36"/>
        <v>3982</v>
      </c>
      <c r="E100" s="17">
        <f t="shared" ca="1" si="29"/>
        <v>31</v>
      </c>
      <c r="F100" s="182">
        <f t="shared" ca="1" si="37"/>
        <v>37200</v>
      </c>
      <c r="G100" s="183">
        <f t="shared" ca="1" si="30"/>
        <v>110.32</v>
      </c>
      <c r="H100" s="184">
        <f ca="1">IF($A100="","",+Rates!N94)</f>
        <v>126.6999999999999</v>
      </c>
      <c r="I100" s="184">
        <f ca="1">IF($A100="","",+ROUND(Rates!O94,2))</f>
        <v>3139.68</v>
      </c>
      <c r="J100" s="184">
        <f ca="1">IF($A100="","",IF(F100=0,0,+ROUND(Rates!P94,2)))</f>
        <v>1190.3499999999999</v>
      </c>
      <c r="K100" s="184">
        <f ca="1">IF($A100="","",+ROUND(Rates!X94,2))</f>
        <v>82.14</v>
      </c>
      <c r="L100" s="184">
        <f ca="1">IF($A100="","",+ROUND(Rates!Q94,2))</f>
        <v>119.04</v>
      </c>
      <c r="M100" s="185">
        <f ca="1">IF($A100="","",+ROUND(Rates!R94,2))</f>
        <v>4657.91</v>
      </c>
      <c r="N100" s="186">
        <f t="shared" ca="1" si="38"/>
        <v>50000</v>
      </c>
      <c r="O100" s="187">
        <f t="shared" ca="1" si="31"/>
        <v>0.45322697606961576</v>
      </c>
      <c r="P100" s="188">
        <f ca="1">IFERROR(SUM(INDIRECT("'FAF &amp; DDs'!"&amp;(ADDRESS(MATCH($B100-$E100,'FAF &amp; DDs'!$Q:$Q,0),COLUMN($R$1),2,1))&amp;":"&amp;(ADDRESS(MATCH($B100-1,'FAF &amp; DDs'!$Q:$Q,0),COLUMN($R$1),1))))/E100*30,-1)</f>
        <v>1045.0645161290322</v>
      </c>
      <c r="Q100" s="188">
        <f ca="1">IFERROR(SUM(INDIRECT("'FAF &amp; DDs'!"&amp;(ADDRESS(MATCH($B100-$E100,'FAF &amp; DDs'!$Q:$Q,0),COLUMN($S$1),2,1))&amp;":"&amp;(ADDRESS(MATCH($B100-1,'FAF &amp; DDs'!$Q:$Q,0),COLUMN($S$1),1))))/E100*30,-1)</f>
        <v>0</v>
      </c>
      <c r="R100" s="176">
        <f t="shared" ca="1" si="39"/>
        <v>6</v>
      </c>
      <c r="S100">
        <f ca="1">IF(ROW()&gt;MIN(($AB$8,$AB$7))+11,0,MATCH(V100,INDIRECT("'Reading History'!B"&amp;$Y$5&amp;":b"&amp;$Y$6),-1))</f>
        <v>89</v>
      </c>
      <c r="U100" s="152">
        <f t="shared" ca="1" si="32"/>
        <v>41308</v>
      </c>
      <c r="V100" s="4">
        <f t="shared" ca="1" si="40"/>
        <v>41312</v>
      </c>
      <c r="W100">
        <f t="shared" ca="1" si="33"/>
        <v>4</v>
      </c>
      <c r="X100">
        <f t="shared" ca="1" si="34"/>
        <v>31</v>
      </c>
      <c r="AB100" s="176">
        <f t="shared" ca="1" si="41"/>
        <v>0</v>
      </c>
    </row>
    <row r="101" spans="1:28" ht="15" customHeight="1" x14ac:dyDescent="0.2">
      <c r="A101" s="2" t="str">
        <f t="shared" ca="1" si="27"/>
        <v>Electric</v>
      </c>
      <c r="B101" s="4">
        <f t="shared" ca="1" si="35"/>
        <v>41277</v>
      </c>
      <c r="C101" s="179" t="str">
        <f t="shared" ca="1" si="28"/>
        <v>Actual</v>
      </c>
      <c r="D101" s="17">
        <f t="shared" ca="1" si="36"/>
        <v>3796</v>
      </c>
      <c r="E101" s="17">
        <f t="shared" ca="1" si="29"/>
        <v>31</v>
      </c>
      <c r="F101" s="182">
        <f t="shared" ca="1" si="37"/>
        <v>35200</v>
      </c>
      <c r="G101" s="183">
        <f t="shared" ca="1" si="30"/>
        <v>115.36</v>
      </c>
      <c r="H101" s="184">
        <f ca="1">IF($A101="","",+Rates!N95)</f>
        <v>126.70000000000009</v>
      </c>
      <c r="I101" s="184">
        <f ca="1">IF($A101="","",+ROUND(Rates!O95,2))</f>
        <v>2970.88</v>
      </c>
      <c r="J101" s="184">
        <f ca="1">IF($A101="","",IF(F101=0,0,+ROUND(Rates!P95,2)))</f>
        <v>1244.73</v>
      </c>
      <c r="K101" s="184">
        <f ca="1">IF($A101="","",+ROUND(Rates!X95,2))</f>
        <v>320.36</v>
      </c>
      <c r="L101" s="184">
        <f ca="1">IF($A101="","",+ROUND(Rates!Q95,2))</f>
        <v>112.64</v>
      </c>
      <c r="M101" s="185">
        <f ca="1">IF($A101="","",+ROUND(Rates!R95,2))</f>
        <v>4775.3100000000004</v>
      </c>
      <c r="N101" s="186">
        <f t="shared" ca="1" si="38"/>
        <v>47311.827956989247</v>
      </c>
      <c r="O101" s="187">
        <f t="shared" ca="1" si="31"/>
        <v>0.41012333527209821</v>
      </c>
      <c r="P101" s="188">
        <f ca="1">IFERROR(SUM(INDIRECT("'FAF &amp; DDs'!"&amp;(ADDRESS(MATCH($B101-$E101,'FAF &amp; DDs'!$Q:$Q,0),COLUMN($R$1),2,1))&amp;":"&amp;(ADDRESS(MATCH($B101-1,'FAF &amp; DDs'!$Q:$Q,0),COLUMN($R$1),1))))/E101*30,-1)</f>
        <v>875.22580645161281</v>
      </c>
      <c r="Q101" s="188">
        <f ca="1">IFERROR(SUM(INDIRECT("'FAF &amp; DDs'!"&amp;(ADDRESS(MATCH($B101-$E101,'FAF &amp; DDs'!$Q:$Q,0),COLUMN($S$1),2,1))&amp;":"&amp;(ADDRESS(MATCH($B101-1,'FAF &amp; DDs'!$Q:$Q,0),COLUMN($S$1),1))))/E101*30,-1)</f>
        <v>1.7419354838709677</v>
      </c>
      <c r="R101" s="176">
        <f t="shared" ca="1" si="39"/>
        <v>6</v>
      </c>
      <c r="S101">
        <f ca="1">IF(ROW()&gt;MIN(($AB$8,$AB$7))+11,0,MATCH(V101,INDIRECT("'Reading History'!B"&amp;$Y$5&amp;":b"&amp;$Y$6),-1))</f>
        <v>90</v>
      </c>
      <c r="U101" s="152">
        <f t="shared" ca="1" si="32"/>
        <v>41277</v>
      </c>
      <c r="V101" s="4">
        <f t="shared" ca="1" si="40"/>
        <v>41281</v>
      </c>
      <c r="W101">
        <f t="shared" ca="1" si="33"/>
        <v>4</v>
      </c>
      <c r="X101">
        <f t="shared" ca="1" si="34"/>
        <v>34</v>
      </c>
      <c r="AB101" s="176">
        <f t="shared" ca="1" si="41"/>
        <v>0</v>
      </c>
    </row>
    <row r="102" spans="1:28" ht="15" customHeight="1" x14ac:dyDescent="0.2">
      <c r="A102" s="2" t="str">
        <f t="shared" ca="1" si="27"/>
        <v>Electric</v>
      </c>
      <c r="B102" s="4">
        <f t="shared" ca="1" si="35"/>
        <v>41246</v>
      </c>
      <c r="C102" s="179" t="str">
        <f t="shared" ca="1" si="28"/>
        <v>Actual</v>
      </c>
      <c r="D102" s="17">
        <f t="shared" ca="1" si="36"/>
        <v>3620</v>
      </c>
      <c r="E102" s="17">
        <f t="shared" ca="1" si="29"/>
        <v>30</v>
      </c>
      <c r="F102" s="182">
        <f t="shared" ca="1" si="37"/>
        <v>33200</v>
      </c>
      <c r="G102" s="183">
        <f t="shared" ca="1" si="30"/>
        <v>97.26</v>
      </c>
      <c r="H102" s="184">
        <f ca="1">IF($A102="","",+Rates!N96)</f>
        <v>126.69999999999997</v>
      </c>
      <c r="I102" s="184">
        <f ca="1">IF($A102="","",+ROUND(Rates!O96,2))</f>
        <v>2802.08</v>
      </c>
      <c r="J102" s="184">
        <f ca="1">IF($A102="","",IF(F102=0,0,+ROUND(Rates!P96,2)))</f>
        <v>1049.44</v>
      </c>
      <c r="K102" s="184">
        <f ca="1">IF($A102="","",+ROUND(Rates!X96,2))</f>
        <v>171.18</v>
      </c>
      <c r="L102" s="184">
        <f ca="1">IF($A102="","",+ROUND(Rates!Q96,2))</f>
        <v>106.24</v>
      </c>
      <c r="M102" s="185">
        <f ca="1">IF($A102="","",+ROUND(Rates!R96,2))</f>
        <v>4255.6400000000003</v>
      </c>
      <c r="N102" s="186">
        <f t="shared" ca="1" si="38"/>
        <v>46111.111111111117</v>
      </c>
      <c r="O102" s="187">
        <f t="shared" ca="1" si="31"/>
        <v>0.47410149199168317</v>
      </c>
      <c r="P102" s="188">
        <f ca="1">IFERROR(SUM(INDIRECT("'FAF &amp; DDs'!"&amp;(ADDRESS(MATCH($B102-$E102,'FAF &amp; DDs'!$Q:$Q,0),COLUMN($R$1),2,1))&amp;":"&amp;(ADDRESS(MATCH($B102-1,'FAF &amp; DDs'!$Q:$Q,0),COLUMN($R$1),1))))/E102*30,-1)</f>
        <v>600.29999999999995</v>
      </c>
      <c r="Q102" s="188">
        <f ca="1">IFERROR(SUM(INDIRECT("'FAF &amp; DDs'!"&amp;(ADDRESS(MATCH($B102-$E102,'FAF &amp; DDs'!$Q:$Q,0),COLUMN($S$1),2,1))&amp;":"&amp;(ADDRESS(MATCH($B102-1,'FAF &amp; DDs'!$Q:$Q,0),COLUMN($S$1),1))))/E102*30,-1)</f>
        <v>4.4000000000000004</v>
      </c>
      <c r="R102" s="176">
        <f t="shared" ca="1" si="39"/>
        <v>6</v>
      </c>
      <c r="S102">
        <f ca="1">IF(ROW()&gt;MIN(($AB$8,$AB$7))+11,0,MATCH(V102,INDIRECT("'Reading History'!B"&amp;$Y$5&amp;":b"&amp;$Y$6),-1))</f>
        <v>91</v>
      </c>
      <c r="U102" s="152">
        <f t="shared" ca="1" si="32"/>
        <v>41246</v>
      </c>
      <c r="V102" s="4">
        <f t="shared" ca="1" si="40"/>
        <v>41247</v>
      </c>
      <c r="W102">
        <f t="shared" ca="1" si="33"/>
        <v>1</v>
      </c>
      <c r="X102">
        <f t="shared" ca="1" si="34"/>
        <v>29</v>
      </c>
      <c r="AB102" s="176">
        <f t="shared" ca="1" si="41"/>
        <v>0</v>
      </c>
    </row>
    <row r="103" spans="1:28" ht="15" customHeight="1" x14ac:dyDescent="0.2">
      <c r="A103" s="2" t="str">
        <f t="shared" ca="1" si="27"/>
        <v>Electric</v>
      </c>
      <c r="B103" s="4">
        <f t="shared" ca="1" si="35"/>
        <v>41216</v>
      </c>
      <c r="C103" s="179" t="str">
        <f t="shared" ca="1" si="28"/>
        <v>Actual</v>
      </c>
      <c r="D103" s="17">
        <f t="shared" ca="1" si="36"/>
        <v>3454</v>
      </c>
      <c r="E103" s="17">
        <f t="shared" ca="1" si="29"/>
        <v>31</v>
      </c>
      <c r="F103" s="182">
        <f t="shared" ca="1" si="37"/>
        <v>37000</v>
      </c>
      <c r="G103" s="183">
        <f t="shared" ca="1" si="30"/>
        <v>139.46</v>
      </c>
      <c r="H103" s="184">
        <f ca="1">IF($A103="","",+Rates!N97)</f>
        <v>126.69999999999993</v>
      </c>
      <c r="I103" s="184">
        <f ca="1">IF($A103="","",+ROUND(Rates!O97,2))</f>
        <v>3122.8</v>
      </c>
      <c r="J103" s="184">
        <f ca="1">IF($A103="","",IF(F103=0,0,+ROUND(Rates!P97,2)))</f>
        <v>1504.77</v>
      </c>
      <c r="K103" s="184">
        <f ca="1">IF($A103="","",+ROUND(Rates!X97,2))</f>
        <v>64.709999999999994</v>
      </c>
      <c r="L103" s="184">
        <f ca="1">IF($A103="","",+ROUND(Rates!Q97,2))</f>
        <v>118.4</v>
      </c>
      <c r="M103" s="185">
        <f ca="1">IF($A103="","",+ROUND(Rates!R97,2))</f>
        <v>4937.38</v>
      </c>
      <c r="N103" s="186">
        <f t="shared" ca="1" si="38"/>
        <v>49731.182795698922</v>
      </c>
      <c r="O103" s="187">
        <f t="shared" ca="1" si="31"/>
        <v>0.35659818439480084</v>
      </c>
      <c r="P103" s="188">
        <f ca="1">IFERROR(SUM(INDIRECT("'FAF &amp; DDs'!"&amp;(ADDRESS(MATCH($B103-$E103,'FAF &amp; DDs'!$Q:$Q,0),COLUMN($R$1),2,1))&amp;":"&amp;(ADDRESS(MATCH($B103-1,'FAF &amp; DDs'!$Q:$Q,0),COLUMN($R$1),1))))/E103*30,-1)</f>
        <v>411.48387096774189</v>
      </c>
      <c r="Q103" s="188">
        <f ca="1">IFERROR(SUM(INDIRECT("'FAF &amp; DDs'!"&amp;(ADDRESS(MATCH($B103-$E103,'FAF &amp; DDs'!$Q:$Q,0),COLUMN($S$1),2,1))&amp;":"&amp;(ADDRESS(MATCH($B103-1,'FAF &amp; DDs'!$Q:$Q,0),COLUMN($S$1),1))))/E103*30,-1)</f>
        <v>26.032258064516128</v>
      </c>
      <c r="R103" s="176">
        <f t="shared" ca="1" si="39"/>
        <v>6</v>
      </c>
      <c r="S103">
        <f ca="1">IF(ROW()&gt;MIN(($AB$8,$AB$7))+11,0,MATCH(V103,INDIRECT("'Reading History'!B"&amp;$Y$5&amp;":b"&amp;$Y$6),-1))</f>
        <v>92</v>
      </c>
      <c r="U103" s="152">
        <f t="shared" ca="1" si="32"/>
        <v>41216</v>
      </c>
      <c r="V103" s="4">
        <f t="shared" ca="1" si="40"/>
        <v>41218</v>
      </c>
      <c r="W103">
        <f t="shared" ca="1" si="33"/>
        <v>2</v>
      </c>
      <c r="X103">
        <f t="shared" ca="1" si="34"/>
        <v>32</v>
      </c>
      <c r="AB103" s="176">
        <f t="shared" ca="1" si="41"/>
        <v>0</v>
      </c>
    </row>
    <row r="104" spans="1:28" ht="15" customHeight="1" x14ac:dyDescent="0.2">
      <c r="A104" s="2" t="str">
        <f t="shared" ca="1" si="27"/>
        <v>Electric</v>
      </c>
      <c r="B104" s="4">
        <f t="shared" ca="1" si="35"/>
        <v>41185</v>
      </c>
      <c r="C104" s="179" t="str">
        <f t="shared" ca="1" si="28"/>
        <v>Actual</v>
      </c>
      <c r="D104" s="17">
        <f t="shared" ca="1" si="36"/>
        <v>3269</v>
      </c>
      <c r="E104" s="17">
        <f t="shared" ca="1" si="29"/>
        <v>30</v>
      </c>
      <c r="F104" s="182">
        <f t="shared" ca="1" si="37"/>
        <v>38800</v>
      </c>
      <c r="G104" s="183">
        <f t="shared" ca="1" si="30"/>
        <v>148.19999999999999</v>
      </c>
      <c r="H104" s="184">
        <f ca="1">IF($A104="","",+Rates!N98)</f>
        <v>126.69999999999997</v>
      </c>
      <c r="I104" s="184">
        <f ca="1">IF($A104="","",+ROUND(Rates!O98,2))</f>
        <v>3384.43</v>
      </c>
      <c r="J104" s="184">
        <f ca="1">IF($A104="","",IF(F104=0,0,+ROUND(Rates!P98,2)))</f>
        <v>1697.71</v>
      </c>
      <c r="K104" s="184">
        <f ca="1">IF($A104="","",+ROUND(Rates!X98,2))</f>
        <v>-205.52</v>
      </c>
      <c r="L104" s="184">
        <f ca="1">IF($A104="","",+ROUND(Rates!Q98,2))</f>
        <v>124.16</v>
      </c>
      <c r="M104" s="185">
        <f ca="1">IF($A104="","",+ROUND(Rates!R98,2))</f>
        <v>5127.4799999999996</v>
      </c>
      <c r="N104" s="186">
        <f t="shared" ca="1" si="38"/>
        <v>53888.888888888883</v>
      </c>
      <c r="O104" s="187">
        <f t="shared" ca="1" si="31"/>
        <v>0.3636227320437847</v>
      </c>
      <c r="P104" s="188">
        <f ca="1">IFERROR(SUM(INDIRECT("'FAF &amp; DDs'!"&amp;(ADDRESS(MATCH($B104-$E104,'FAF &amp; DDs'!$Q:$Q,0),COLUMN($R$1),2,1))&amp;":"&amp;(ADDRESS(MATCH($B104-1,'FAF &amp; DDs'!$Q:$Q,0),COLUMN($R$1),1))))/E104*30,-1)</f>
        <v>149.69999999999996</v>
      </c>
      <c r="Q104" s="188">
        <f ca="1">IFERROR(SUM(INDIRECT("'FAF &amp; DDs'!"&amp;(ADDRESS(MATCH($B104-$E104,'FAF &amp; DDs'!$Q:$Q,0),COLUMN($S$1),2,1))&amp;":"&amp;(ADDRESS(MATCH($B104-1,'FAF &amp; DDs'!$Q:$Q,0),COLUMN($S$1),1))))/E104*30,-1)</f>
        <v>125.6</v>
      </c>
      <c r="R104" s="176">
        <f t="shared" ca="1" si="39"/>
        <v>6</v>
      </c>
      <c r="S104">
        <f ca="1">IF(ROW()&gt;MIN(($AB$8,$AB$7))+11,0,MATCH(V104,INDIRECT("'Reading History'!B"&amp;$Y$5&amp;":b"&amp;$Y$6),-1))</f>
        <v>93</v>
      </c>
      <c r="U104" s="152">
        <f t="shared" ca="1" si="32"/>
        <v>41185</v>
      </c>
      <c r="V104" s="4">
        <f t="shared" ca="1" si="40"/>
        <v>41186</v>
      </c>
      <c r="W104">
        <f t="shared" ca="1" si="33"/>
        <v>1</v>
      </c>
      <c r="X104">
        <f t="shared" ca="1" si="34"/>
        <v>29</v>
      </c>
      <c r="AB104" s="176">
        <f t="shared" ca="1" si="41"/>
        <v>0</v>
      </c>
    </row>
    <row r="105" spans="1:28" ht="15" customHeight="1" x14ac:dyDescent="0.2">
      <c r="A105" s="2" t="str">
        <f t="shared" ca="1" si="27"/>
        <v>Electric</v>
      </c>
      <c r="B105" s="4">
        <f t="shared" ca="1" si="35"/>
        <v>41155</v>
      </c>
      <c r="C105" s="179" t="str">
        <f t="shared" ca="1" si="28"/>
        <v>Actual</v>
      </c>
      <c r="D105" s="17">
        <f t="shared" ca="1" si="36"/>
        <v>3075</v>
      </c>
      <c r="E105" s="17">
        <f t="shared" ca="1" si="29"/>
        <v>31</v>
      </c>
      <c r="F105" s="182">
        <f t="shared" ca="1" si="37"/>
        <v>45200</v>
      </c>
      <c r="G105" s="183">
        <f t="shared" ca="1" si="30"/>
        <v>157.06</v>
      </c>
      <c r="H105" s="184">
        <f ca="1">IF($A105="","",+Rates!N99)</f>
        <v>126.7</v>
      </c>
      <c r="I105" s="184">
        <f ca="1">IF($A105="","",+ROUND(Rates!O99,2))</f>
        <v>4185.5200000000004</v>
      </c>
      <c r="J105" s="184">
        <f ca="1">IF($A105="","",IF(F105=0,0,+ROUND(Rates!P99,2)))</f>
        <v>1997.8</v>
      </c>
      <c r="K105" s="184">
        <f ca="1">IF($A105="","",+ROUND(Rates!X99,2))</f>
        <v>-267.36</v>
      </c>
      <c r="L105" s="184">
        <f ca="1">IF($A105="","",+ROUND(Rates!Q99,2))</f>
        <v>144.63999999999999</v>
      </c>
      <c r="M105" s="185">
        <f ca="1">IF($A105="","",+ROUND(Rates!R99,2))</f>
        <v>6187.3</v>
      </c>
      <c r="N105" s="186">
        <f t="shared" ca="1" si="38"/>
        <v>60752.68817204301</v>
      </c>
      <c r="O105" s="187">
        <f t="shared" ca="1" si="31"/>
        <v>0.38681197104318743</v>
      </c>
      <c r="P105" s="188">
        <f ca="1">IFERROR(SUM(INDIRECT("'FAF &amp; DDs'!"&amp;(ADDRESS(MATCH($B105-$E105,'FAF &amp; DDs'!$Q:$Q,0),COLUMN($R$1),2,1))&amp;":"&amp;(ADDRESS(MATCH($B105-1,'FAF &amp; DDs'!$Q:$Q,0),COLUMN($R$1),1))))/E105*30,-1)</f>
        <v>32.032258064516135</v>
      </c>
      <c r="Q105" s="188">
        <f ca="1">IFERROR(SUM(INDIRECT("'FAF &amp; DDs'!"&amp;(ADDRESS(MATCH($B105-$E105,'FAF &amp; DDs'!$Q:$Q,0),COLUMN($S$1),2,1))&amp;":"&amp;(ADDRESS(MATCH($B105-1,'FAF &amp; DDs'!$Q:$Q,0),COLUMN($S$1),1))))/E105*30,-1)</f>
        <v>330.48387096774189</v>
      </c>
      <c r="R105" s="176">
        <f t="shared" ca="1" si="39"/>
        <v>6</v>
      </c>
      <c r="S105">
        <f ca="1">IF(ROW()&gt;MIN(($AB$8,$AB$7))+11,0,MATCH(V105,INDIRECT("'Reading History'!B"&amp;$Y$5&amp;":b"&amp;$Y$6),-1))</f>
        <v>94</v>
      </c>
      <c r="U105" s="152">
        <f t="shared" ca="1" si="32"/>
        <v>41155</v>
      </c>
      <c r="V105" s="4">
        <f t="shared" ca="1" si="40"/>
        <v>41157</v>
      </c>
      <c r="W105">
        <f t="shared" ca="1" si="33"/>
        <v>2</v>
      </c>
      <c r="X105">
        <f t="shared" ca="1" si="34"/>
        <v>30</v>
      </c>
      <c r="AB105" s="176">
        <f t="shared" ca="1" si="41"/>
        <v>0</v>
      </c>
    </row>
    <row r="106" spans="1:28" ht="15" customHeight="1" x14ac:dyDescent="0.2">
      <c r="A106" s="2" t="str">
        <f t="shared" ca="1" si="27"/>
        <v>Electric</v>
      </c>
      <c r="B106" s="4">
        <f t="shared" ca="1" si="35"/>
        <v>41124</v>
      </c>
      <c r="C106" s="179" t="str">
        <f t="shared" ca="1" si="28"/>
        <v>Actual</v>
      </c>
      <c r="D106" s="17">
        <f t="shared" ca="1" si="36"/>
        <v>2849</v>
      </c>
      <c r="E106" s="17">
        <f t="shared" ca="1" si="29"/>
        <v>31</v>
      </c>
      <c r="F106" s="182">
        <f t="shared" ca="1" si="37"/>
        <v>54800</v>
      </c>
      <c r="G106" s="183">
        <f t="shared" ca="1" si="30"/>
        <v>177.28</v>
      </c>
      <c r="H106" s="184">
        <f ca="1">IF($A106="","",+Rates!N100)</f>
        <v>126.70000000000005</v>
      </c>
      <c r="I106" s="184">
        <f ca="1">IF($A106="","",+ROUND(Rates!O100,2))</f>
        <v>5074.4799999999996</v>
      </c>
      <c r="J106" s="184">
        <f ca="1">IF($A106="","",IF(F106=0,0,+ROUND(Rates!P100,2)))</f>
        <v>2255</v>
      </c>
      <c r="K106" s="184">
        <f ca="1">IF($A106="","",+ROUND(Rates!X100,2))</f>
        <v>-68.010000000000005</v>
      </c>
      <c r="L106" s="184">
        <f ca="1">IF($A106="","",+ROUND(Rates!Q100,2))</f>
        <v>175.36</v>
      </c>
      <c r="M106" s="185">
        <f ca="1">IF($A106="","",+ROUND(Rates!R100,2))</f>
        <v>7563.53</v>
      </c>
      <c r="N106" s="186">
        <f t="shared" ca="1" si="38"/>
        <v>73655.913978494631</v>
      </c>
      <c r="O106" s="187">
        <f t="shared" ca="1" si="31"/>
        <v>0.41547785412056981</v>
      </c>
      <c r="P106" s="188">
        <f ca="1">IFERROR(SUM(INDIRECT("'FAF &amp; DDs'!"&amp;(ADDRESS(MATCH($B106-$E106,'FAF &amp; DDs'!$Q:$Q,0),COLUMN($R$1),2,1))&amp;":"&amp;(ADDRESS(MATCH($B106-1,'FAF &amp; DDs'!$Q:$Q,0),COLUMN($R$1),1))))/E106*30,-1)</f>
        <v>1.1612903225806455</v>
      </c>
      <c r="Q106" s="188">
        <f ca="1">IFERROR(SUM(INDIRECT("'FAF &amp; DDs'!"&amp;(ADDRESS(MATCH($B106-$E106,'FAF &amp; DDs'!$Q:$Q,0),COLUMN($S$1),2,1))&amp;":"&amp;(ADDRESS(MATCH($B106-1,'FAF &amp; DDs'!$Q:$Q,0),COLUMN($S$1),1))))/E106*30,-1)</f>
        <v>536.80645161290317</v>
      </c>
      <c r="R106" s="176">
        <f t="shared" ca="1" si="39"/>
        <v>6</v>
      </c>
      <c r="S106">
        <f ca="1">IF(ROW()&gt;MIN(($AB$8,$AB$7))+11,0,MATCH(V106,INDIRECT("'Reading History'!B"&amp;$Y$5&amp;":b"&amp;$Y$6),-1))</f>
        <v>95</v>
      </c>
      <c r="U106" s="152">
        <f t="shared" ca="1" si="32"/>
        <v>41124</v>
      </c>
      <c r="V106" s="4">
        <f t="shared" ca="1" si="40"/>
        <v>41127</v>
      </c>
      <c r="W106">
        <f t="shared" ca="1" si="33"/>
        <v>3</v>
      </c>
      <c r="X106">
        <f t="shared" ca="1" si="34"/>
        <v>32</v>
      </c>
      <c r="AB106" s="176">
        <f t="shared" ca="1" si="41"/>
        <v>0</v>
      </c>
    </row>
    <row r="107" spans="1:28" ht="15" customHeight="1" x14ac:dyDescent="0.2">
      <c r="A107" s="2" t="str">
        <f t="shared" ca="1" si="27"/>
        <v>Electric</v>
      </c>
      <c r="B107" s="4">
        <f t="shared" ca="1" si="35"/>
        <v>41093</v>
      </c>
      <c r="C107" s="179" t="str">
        <f t="shared" ca="1" si="28"/>
        <v>Actual</v>
      </c>
      <c r="D107" s="17">
        <f t="shared" ca="1" si="36"/>
        <v>2575</v>
      </c>
      <c r="E107" s="17">
        <f t="shared" ca="1" si="29"/>
        <v>30</v>
      </c>
      <c r="F107" s="182">
        <f t="shared" ca="1" si="37"/>
        <v>45600</v>
      </c>
      <c r="G107" s="183">
        <f t="shared" ca="1" si="30"/>
        <v>156.96</v>
      </c>
      <c r="H107" s="184">
        <f ca="1">IF($A107="","",+Rates!N101)</f>
        <v>126.70000000000002</v>
      </c>
      <c r="I107" s="184">
        <f ca="1">IF($A107="","",+ROUND(Rates!O101,2))</f>
        <v>4222.5600000000004</v>
      </c>
      <c r="J107" s="184">
        <f ca="1">IF($A107="","",IF(F107=0,0,+ROUND(Rates!P101,2)))</f>
        <v>1996.53</v>
      </c>
      <c r="K107" s="184">
        <f ca="1">IF($A107="","",+ROUND(Rates!X101,2))</f>
        <v>202.46</v>
      </c>
      <c r="L107" s="184">
        <f ca="1">IF($A107="","",+ROUND(Rates!Q101,2))</f>
        <v>145.91999999999999</v>
      </c>
      <c r="M107" s="185">
        <f ca="1">IF($A107="","",+ROUND(Rates!R101,2))</f>
        <v>6694.17</v>
      </c>
      <c r="N107" s="186">
        <f t="shared" ca="1" si="38"/>
        <v>63333.333333333336</v>
      </c>
      <c r="O107" s="187">
        <f t="shared" ca="1" si="31"/>
        <v>0.40349983010533463</v>
      </c>
      <c r="P107" s="188">
        <f ca="1">IFERROR(SUM(INDIRECT("'FAF &amp; DDs'!"&amp;(ADDRESS(MATCH($B107-$E107,'FAF &amp; DDs'!$Q:$Q,0),COLUMN($R$1),2,1))&amp;":"&amp;(ADDRESS(MATCH($B107-1,'FAF &amp; DDs'!$Q:$Q,0),COLUMN($R$1),1))))/E107*30,-1)</f>
        <v>32.199999999999996</v>
      </c>
      <c r="Q107" s="188">
        <f ca="1">IFERROR(SUM(INDIRECT("'FAF &amp; DDs'!"&amp;(ADDRESS(MATCH($B107-$E107,'FAF &amp; DDs'!$Q:$Q,0),COLUMN($S$1),2,1))&amp;":"&amp;(ADDRESS(MATCH($B107-1,'FAF &amp; DDs'!$Q:$Q,0),COLUMN($S$1),1))))/E107*30,-1)</f>
        <v>348.3</v>
      </c>
      <c r="R107" s="176">
        <f t="shared" ca="1" si="39"/>
        <v>6</v>
      </c>
      <c r="S107">
        <f ca="1">IF(ROW()&gt;MIN(($AB$8,$AB$7))+11,0,MATCH(V107,INDIRECT("'Reading History'!B"&amp;$Y$5&amp;":b"&amp;$Y$6),-1))</f>
        <v>96</v>
      </c>
      <c r="U107" s="152">
        <f t="shared" ca="1" si="32"/>
        <v>41093</v>
      </c>
      <c r="V107" s="4">
        <f t="shared" ca="1" si="40"/>
        <v>41095</v>
      </c>
      <c r="W107">
        <f t="shared" ca="1" si="33"/>
        <v>2</v>
      </c>
      <c r="X107">
        <f t="shared" ca="1" si="34"/>
        <v>31</v>
      </c>
      <c r="AB107" s="176">
        <f t="shared" ca="1" si="41"/>
        <v>0</v>
      </c>
    </row>
    <row r="108" spans="1:28" ht="15" customHeight="1" x14ac:dyDescent="0.2">
      <c r="A108" s="2" t="str">
        <f t="shared" ref="A108:A139" ca="1" si="42">IF(S108=0,"",INDIRECT("'Reading History'!A"&amp;$S108+$Y$5-1))</f>
        <v>Electric</v>
      </c>
      <c r="B108" s="4">
        <f t="shared" ca="1" si="35"/>
        <v>41063</v>
      </c>
      <c r="C108" s="179" t="str">
        <f t="shared" ref="C108:C139" ca="1" si="43">IF($A108="","",IF(RIGHT(INDIRECT("'Reading History'!E"&amp;$S108+$Y$5-1),4)="Read",LEFT(INDIRECT("'Reading History'!E"&amp;$S108+$Y$5-1),LEN(INDIRECT("'Reading History'!E"&amp;$S108+$Y$5-1))-5),INDIRECT("'Reading History'!E"&amp;$S108+$Y$5-1)))</f>
        <v>Actual</v>
      </c>
      <c r="D108" s="17">
        <f t="shared" ca="1" si="36"/>
        <v>2347</v>
      </c>
      <c r="E108" s="17">
        <f t="shared" ref="E108:E139" ca="1" si="44">IF($A108="","",IF(ISNUMBER(D109),B108-B109,INDIRECT("'Reading History'!H"&amp;$S108+$Y$5-1)))</f>
        <v>31</v>
      </c>
      <c r="F108" s="182">
        <f t="shared" ca="1" si="37"/>
        <v>40800</v>
      </c>
      <c r="G108" s="183">
        <f t="shared" ref="G108:G139" ca="1" si="45">IF($A108="","",INDIRECT("'Reading History'!I"&amp;$S108+$Y$4-1))</f>
        <v>135</v>
      </c>
      <c r="H108" s="184">
        <f ca="1">IF($A108="","",+Rates!N102)</f>
        <v>126.69999999999999</v>
      </c>
      <c r="I108" s="184">
        <f ca="1">IF($A108="","",+ROUND(Rates!O102,2))</f>
        <v>3659.37</v>
      </c>
      <c r="J108" s="184">
        <f ca="1">IF($A108="","",IF(F108=0,0,+ROUND(Rates!P102,2)))</f>
        <v>1624.75</v>
      </c>
      <c r="K108" s="184">
        <f ca="1">IF($A108="","",+ROUND(Rates!X102,2))</f>
        <v>427.83</v>
      </c>
      <c r="L108" s="184">
        <f ca="1">IF($A108="","",+ROUND(Rates!Q102,2))</f>
        <v>130.56</v>
      </c>
      <c r="M108" s="185">
        <f ca="1">IF($A108="","",+ROUND(Rates!R102,2))</f>
        <v>5969.21</v>
      </c>
      <c r="N108" s="186">
        <f t="shared" ca="1" si="38"/>
        <v>54838.709677419356</v>
      </c>
      <c r="O108" s="187">
        <f t="shared" ca="1" si="31"/>
        <v>0.40621266427718039</v>
      </c>
      <c r="P108" s="188">
        <f ca="1">IFERROR(SUM(INDIRECT("'FAF &amp; DDs'!"&amp;(ADDRESS(MATCH($B108-$E108,'FAF &amp; DDs'!$Q:$Q,0),COLUMN($R$1),2,1))&amp;":"&amp;(ADDRESS(MATCH($B108-1,'FAF &amp; DDs'!$Q:$Q,0),COLUMN($R$1),1))))/E108*30,-1)</f>
        <v>83.709677419354833</v>
      </c>
      <c r="Q108" s="188">
        <f ca="1">IFERROR(SUM(INDIRECT("'FAF &amp; DDs'!"&amp;(ADDRESS(MATCH($B108-$E108,'FAF &amp; DDs'!$Q:$Q,0),COLUMN($S$1),2,1))&amp;":"&amp;(ADDRESS(MATCH($B108-1,'FAF &amp; DDs'!$Q:$Q,0),COLUMN($S$1),1))))/E108*30,-1)</f>
        <v>219.77419354838705</v>
      </c>
      <c r="R108" s="176">
        <f t="shared" ca="1" si="39"/>
        <v>6</v>
      </c>
      <c r="S108">
        <f ca="1">IF(ROW()&gt;MIN(($AB$8,$AB$7))+11,0,MATCH(V108,INDIRECT("'Reading History'!B"&amp;$Y$5&amp;":b"&amp;$Y$6),-1))</f>
        <v>97</v>
      </c>
      <c r="U108" s="152">
        <f t="shared" ref="U108:U139" ca="1" si="46">IF(VALUE(INDIRECT("'Reading History'!c"&amp;$Y$5+S107))&gt;$R$8,DATE(YEAR(V108-ABS(AB108)),MONTH(V108-ABS(AB108)),VLOOKUP(VALUE(R108),AMRReadDates,2)),V108)</f>
        <v>41063</v>
      </c>
      <c r="V108" s="4">
        <f t="shared" ca="1" si="40"/>
        <v>41064</v>
      </c>
      <c r="W108">
        <f t="shared" ca="1" si="33"/>
        <v>1</v>
      </c>
      <c r="X108">
        <f t="shared" ref="X108:X139" ca="1" si="47">+INDIRECT("'Reading History'!H"&amp;$S108+$Y$5-1)</f>
        <v>31</v>
      </c>
      <c r="AB108" s="176">
        <f t="shared" ca="1" si="41"/>
        <v>0</v>
      </c>
    </row>
    <row r="109" spans="1:28" ht="15" customHeight="1" x14ac:dyDescent="0.2">
      <c r="A109" s="2" t="str">
        <f t="shared" ca="1" si="42"/>
        <v>Electric</v>
      </c>
      <c r="B109" s="4">
        <f t="shared" ca="1" si="35"/>
        <v>41032</v>
      </c>
      <c r="C109" s="179" t="str">
        <f t="shared" ca="1" si="43"/>
        <v>Actual</v>
      </c>
      <c r="D109" s="17">
        <f t="shared" ref="D109:D140" ca="1" si="48">IF($A109="","",INDIRECT("'Reading History'!G"&amp;$S109+$Y$5-1))</f>
        <v>2143</v>
      </c>
      <c r="E109" s="17">
        <f t="shared" ca="1" si="44"/>
        <v>30</v>
      </c>
      <c r="F109" s="182">
        <f t="shared" ref="F109:F140" ca="1" si="49">IF($A109="","",INDIRECT("'Reading History'!I"&amp;$S109+$Y$5-1))</f>
        <v>36000</v>
      </c>
      <c r="G109" s="183">
        <f t="shared" ca="1" si="45"/>
        <v>134.35990000000001</v>
      </c>
      <c r="H109" s="184">
        <f ca="1">IF($A109="","",+Rates!N103)</f>
        <v>126.7</v>
      </c>
      <c r="I109" s="184">
        <f ca="1">IF($A109="","",+ROUND(Rates!O103,2))</f>
        <v>3038.4</v>
      </c>
      <c r="J109" s="184">
        <f ca="1">IF($A109="","",IF(F109=0,0,+ROUND(Rates!P103,2)))</f>
        <v>1449.74</v>
      </c>
      <c r="K109" s="184">
        <f ca="1">IF($A109="","",+ROUND(Rates!X103,2))</f>
        <v>264.74</v>
      </c>
      <c r="L109" s="184">
        <f ca="1">IF($A109="","",+ROUND(Rates!Q103,2))</f>
        <v>115.2</v>
      </c>
      <c r="M109" s="185">
        <f ca="1">IF($A109="","",+ROUND(Rates!R103,2))</f>
        <v>4994.78</v>
      </c>
      <c r="N109" s="186">
        <f t="shared" ref="N109:N140" ca="1" si="50">IFERROR(IF(C110="Estimate",+(F109+F110)/(E109+E110),IF(C109="Estimate",+(F109+F108)/(E109+E108),+F109/E109))/24*1000,-1)</f>
        <v>50000</v>
      </c>
      <c r="O109" s="187">
        <f t="shared" ca="1" si="31"/>
        <v>0.37213484082676451</v>
      </c>
      <c r="P109" s="188">
        <f ca="1">IFERROR(SUM(INDIRECT("'FAF &amp; DDs'!"&amp;(ADDRESS(MATCH($B109-$E109,'FAF &amp; DDs'!$Q:$Q,0),COLUMN($R$1),2,1))&amp;":"&amp;(ADDRESS(MATCH($B109-1,'FAF &amp; DDs'!$Q:$Q,0),COLUMN($R$1),1))))/E109*30,-1)</f>
        <v>277.60000000000002</v>
      </c>
      <c r="Q109" s="188">
        <f ca="1">IFERROR(SUM(INDIRECT("'FAF &amp; DDs'!"&amp;(ADDRESS(MATCH($B109-$E109,'FAF &amp; DDs'!$Q:$Q,0),COLUMN($S$1),2,1))&amp;":"&amp;(ADDRESS(MATCH($B109-1,'FAF &amp; DDs'!$Q:$Q,0),COLUMN($S$1),1))))/E109*30,-1)</f>
        <v>47.5</v>
      </c>
      <c r="R109" s="176">
        <f t="shared" ca="1" si="39"/>
        <v>6</v>
      </c>
      <c r="S109">
        <f ca="1">IF(ROW()&gt;MIN(($AB$8,$AB$7))+11,0,MATCH(V109,INDIRECT("'Reading History'!B"&amp;$Y$5&amp;":b"&amp;$Y$6),-1))</f>
        <v>98</v>
      </c>
      <c r="U109" s="152">
        <f t="shared" ca="1" si="46"/>
        <v>41032</v>
      </c>
      <c r="V109" s="4">
        <f t="shared" ref="V109:V140" ca="1" si="51">INT(INDIRECT("'Reading History'!B"&amp;$Y$5+S108))</f>
        <v>41033</v>
      </c>
      <c r="W109">
        <f t="shared" ca="1" si="33"/>
        <v>1</v>
      </c>
      <c r="X109">
        <f t="shared" ca="1" si="47"/>
        <v>30</v>
      </c>
      <c r="AB109" s="176">
        <f t="shared" ca="1" si="41"/>
        <v>0</v>
      </c>
    </row>
    <row r="110" spans="1:28" ht="15" customHeight="1" x14ac:dyDescent="0.2">
      <c r="A110" s="2" t="str">
        <f t="shared" ca="1" si="42"/>
        <v>Electric</v>
      </c>
      <c r="B110" s="4">
        <f t="shared" ca="1" si="35"/>
        <v>41002</v>
      </c>
      <c r="C110" s="179" t="str">
        <f t="shared" ca="1" si="43"/>
        <v>Actual</v>
      </c>
      <c r="D110" s="17">
        <f t="shared" ca="1" si="48"/>
        <v>1963</v>
      </c>
      <c r="E110" s="17">
        <f t="shared" ca="1" si="44"/>
        <v>31</v>
      </c>
      <c r="F110" s="182">
        <f t="shared" ca="1" si="49"/>
        <v>38600</v>
      </c>
      <c r="G110" s="183">
        <f t="shared" ca="1" si="45"/>
        <v>144.18</v>
      </c>
      <c r="H110" s="184">
        <f ca="1">IF($A110="","",+Rates!N104)</f>
        <v>126.7</v>
      </c>
      <c r="I110" s="184">
        <f ca="1">IF($A110="","",+ROUND(Rates!O104,2))</f>
        <v>3257.84</v>
      </c>
      <c r="J110" s="184">
        <f ca="1">IF($A110="","",IF(F110=0,0,+ROUND(Rates!P104,2)))</f>
        <v>1555.7</v>
      </c>
      <c r="K110" s="184">
        <f ca="1">IF($A110="","",+ROUND(Rates!X104,2))</f>
        <v>308.72000000000003</v>
      </c>
      <c r="L110" s="184">
        <f ca="1">IF($A110="","",+ROUND(Rates!Q104,2))</f>
        <v>123.52</v>
      </c>
      <c r="M110" s="185">
        <f ca="1">IF($A110="","",+ROUND(Rates!R104,2))</f>
        <v>5372.48</v>
      </c>
      <c r="N110" s="186">
        <f t="shared" ca="1" si="50"/>
        <v>51881.720430107525</v>
      </c>
      <c r="O110" s="187">
        <f t="shared" ca="1" si="31"/>
        <v>0.35983992530245201</v>
      </c>
      <c r="P110" s="188">
        <f ca="1">IFERROR(SUM(INDIRECT("'FAF &amp; DDs'!"&amp;(ADDRESS(MATCH($B110-$E110,'FAF &amp; DDs'!$Q:$Q,0),COLUMN($R$1),2,1))&amp;":"&amp;(ADDRESS(MATCH($B110-1,'FAF &amp; DDs'!$Q:$Q,0),COLUMN($R$1),1))))/E110*30,-1)</f>
        <v>275.51612903225811</v>
      </c>
      <c r="Q110" s="188">
        <f ca="1">IFERROR(SUM(INDIRECT("'FAF &amp; DDs'!"&amp;(ADDRESS(MATCH($B110-$E110,'FAF &amp; DDs'!$Q:$Q,0),COLUMN($S$1),2,1))&amp;":"&amp;(ADDRESS(MATCH($B110-1,'FAF &amp; DDs'!$Q:$Q,0),COLUMN($S$1),1))))/E110*30,-1)</f>
        <v>89.612903225806448</v>
      </c>
      <c r="R110" s="176">
        <f t="shared" ca="1" si="39"/>
        <v>6</v>
      </c>
      <c r="S110">
        <f ca="1">IF(ROW()&gt;MIN(($AB$8,$AB$7))+11,0,MATCH(V110,INDIRECT("'Reading History'!B"&amp;$Y$5&amp;":b"&amp;$Y$6),-1))</f>
        <v>99</v>
      </c>
      <c r="U110" s="152">
        <f t="shared" ca="1" si="46"/>
        <v>41002</v>
      </c>
      <c r="V110" s="4">
        <f t="shared" ca="1" si="51"/>
        <v>41003</v>
      </c>
      <c r="W110">
        <f t="shared" ca="1" si="33"/>
        <v>1</v>
      </c>
      <c r="X110">
        <f t="shared" ca="1" si="47"/>
        <v>30</v>
      </c>
      <c r="AB110" s="176">
        <f t="shared" ca="1" si="41"/>
        <v>0</v>
      </c>
    </row>
    <row r="111" spans="1:28" ht="15" customHeight="1" x14ac:dyDescent="0.2">
      <c r="A111" s="2" t="str">
        <f t="shared" ca="1" si="42"/>
        <v>Electric</v>
      </c>
      <c r="B111" s="4">
        <f t="shared" ca="1" si="35"/>
        <v>40971</v>
      </c>
      <c r="C111" s="179" t="str">
        <f t="shared" ca="1" si="43"/>
        <v>Actual</v>
      </c>
      <c r="D111" s="17">
        <f t="shared" ca="1" si="48"/>
        <v>1770</v>
      </c>
      <c r="E111" s="17">
        <f t="shared" ca="1" si="44"/>
        <v>29</v>
      </c>
      <c r="F111" s="182">
        <f t="shared" ca="1" si="49"/>
        <v>36600</v>
      </c>
      <c r="G111" s="183">
        <f t="shared" ca="1" si="45"/>
        <v>104.22</v>
      </c>
      <c r="H111" s="184">
        <f ca="1">IF($A111="","",+Rates!N105)</f>
        <v>120.86451612903227</v>
      </c>
      <c r="I111" s="184">
        <f ca="1">IF($A111="","",+ROUND(Rates!O105,2))</f>
        <v>2212.41</v>
      </c>
      <c r="J111" s="184">
        <f ca="1">IF($A111="","",IF(F111=0,0,+ROUND(Rates!P105,2)))</f>
        <v>1080.06</v>
      </c>
      <c r="K111" s="184">
        <f ca="1">IF($A111="","",+ROUND(Rates!X105,2))</f>
        <v>0</v>
      </c>
      <c r="L111" s="184">
        <f ca="1">IF($A111="","",+ROUND(Rates!Q105,2))</f>
        <v>117.12</v>
      </c>
      <c r="M111" s="185">
        <f ca="1">IF($A111="","",+ROUND(Rates!R105,2))</f>
        <v>3530.45</v>
      </c>
      <c r="N111" s="186">
        <f t="shared" ca="1" si="50"/>
        <v>52586.206896551725</v>
      </c>
      <c r="O111" s="187">
        <f t="shared" ca="1" si="31"/>
        <v>0.50456924675255932</v>
      </c>
      <c r="P111" s="188">
        <f ca="1">IFERROR(SUM(INDIRECT("'FAF &amp; DDs'!"&amp;(ADDRESS(MATCH($B111-$E111,'FAF &amp; DDs'!$Q:$Q,0),COLUMN($R$1),2,1))&amp;":"&amp;(ADDRESS(MATCH($B111-1,'FAF &amp; DDs'!$Q:$Q,0),COLUMN($R$1),1))))/E111*30,-1)</f>
        <v>840.93103448275872</v>
      </c>
      <c r="Q111" s="188">
        <f ca="1">IFERROR(SUM(INDIRECT("'FAF &amp; DDs'!"&amp;(ADDRESS(MATCH($B111-$E111,'FAF &amp; DDs'!$Q:$Q,0),COLUMN($S$1),2,1))&amp;":"&amp;(ADDRESS(MATCH($B111-1,'FAF &amp; DDs'!$Q:$Q,0),COLUMN($S$1),1))))/E111*30,-1)</f>
        <v>0</v>
      </c>
      <c r="R111" s="176">
        <f t="shared" ca="1" si="39"/>
        <v>6</v>
      </c>
      <c r="S111">
        <f ca="1">IF(ROW()&gt;MIN(($AB$8,$AB$7))+11,0,MATCH(V111,INDIRECT("'Reading History'!B"&amp;$Y$5&amp;":b"&amp;$Y$6),-1))</f>
        <v>100</v>
      </c>
      <c r="U111" s="152">
        <f t="shared" ca="1" si="46"/>
        <v>40971</v>
      </c>
      <c r="V111" s="4">
        <f t="shared" ca="1" si="51"/>
        <v>40973</v>
      </c>
      <c r="W111">
        <f t="shared" ca="1" si="33"/>
        <v>2</v>
      </c>
      <c r="X111">
        <f t="shared" ca="1" si="47"/>
        <v>31</v>
      </c>
      <c r="AB111" s="176">
        <f t="shared" ca="1" si="41"/>
        <v>0</v>
      </c>
    </row>
    <row r="112" spans="1:28" ht="15" customHeight="1" x14ac:dyDescent="0.2">
      <c r="A112" s="2" t="str">
        <f t="shared" ca="1" si="42"/>
        <v>Electric</v>
      </c>
      <c r="B112" s="4">
        <f t="shared" ca="1" si="35"/>
        <v>40942</v>
      </c>
      <c r="C112" s="179" t="str">
        <f t="shared" ca="1" si="43"/>
        <v>Actual</v>
      </c>
      <c r="D112" s="17">
        <f t="shared" ca="1" si="48"/>
        <v>1587</v>
      </c>
      <c r="E112" s="17">
        <f t="shared" ca="1" si="44"/>
        <v>31</v>
      </c>
      <c r="F112" s="182">
        <f t="shared" ca="1" si="49"/>
        <v>41800</v>
      </c>
      <c r="G112" s="183">
        <f t="shared" ca="1" si="45"/>
        <v>106.76</v>
      </c>
      <c r="H112" s="184">
        <f ca="1">IF($A112="","",+Rates!N106)</f>
        <v>120</v>
      </c>
      <c r="I112" s="184">
        <f ca="1">IF($A112="","",+ROUND(Rates!O106,2))</f>
        <v>2378.42</v>
      </c>
      <c r="J112" s="184">
        <f ca="1">IF($A112="","",IF(F112=0,0,+ROUND(Rates!P106,2)))</f>
        <v>1099.6300000000001</v>
      </c>
      <c r="K112" s="184">
        <f ca="1">IF($A112="","",+ROUND(Rates!X106,2))</f>
        <v>1180.01</v>
      </c>
      <c r="L112" s="184">
        <f ca="1">IF($A112="","",+ROUND(Rates!Q106,2))</f>
        <v>133.76</v>
      </c>
      <c r="M112" s="185">
        <f ca="1">IF($A112="","",+ROUND(Rates!R106,2))</f>
        <v>4911.82</v>
      </c>
      <c r="N112" s="186">
        <f t="shared" ca="1" si="50"/>
        <v>56182.795698924732</v>
      </c>
      <c r="O112" s="187">
        <f t="shared" ca="1" si="31"/>
        <v>0.52625323809408697</v>
      </c>
      <c r="P112" s="188">
        <f ca="1">IFERROR(SUM(INDIRECT("'FAF &amp; DDs'!"&amp;(ADDRESS(MATCH($B112-$E112,'FAF &amp; DDs'!$Q:$Q,0),COLUMN($R$1),2,1))&amp;":"&amp;(ADDRESS(MATCH($B112-1,'FAF &amp; DDs'!$Q:$Q,0),COLUMN($R$1),1))))/E112*30,-1)</f>
        <v>927.19354838709683</v>
      </c>
      <c r="Q112" s="188">
        <f ca="1">IFERROR(SUM(INDIRECT("'FAF &amp; DDs'!"&amp;(ADDRESS(MATCH($B112-$E112,'FAF &amp; DDs'!$Q:$Q,0),COLUMN($S$1),2,1))&amp;":"&amp;(ADDRESS(MATCH($B112-1,'FAF &amp; DDs'!$Q:$Q,0),COLUMN($S$1),1))))/E112*30,-1)</f>
        <v>0</v>
      </c>
      <c r="R112" s="176">
        <f t="shared" ca="1" si="39"/>
        <v>6</v>
      </c>
      <c r="S112">
        <f ca="1">IF(ROW()&gt;MIN(($AB$8,$AB$7))+11,0,MATCH(V112,INDIRECT("'Reading History'!B"&amp;$Y$5&amp;":b"&amp;$Y$6),-1))</f>
        <v>101</v>
      </c>
      <c r="U112" s="152">
        <f t="shared" ca="1" si="46"/>
        <v>40942</v>
      </c>
      <c r="V112" s="4">
        <f t="shared" ca="1" si="51"/>
        <v>40942</v>
      </c>
      <c r="W112">
        <f t="shared" ca="1" si="33"/>
        <v>0</v>
      </c>
      <c r="X112">
        <f t="shared" ca="1" si="47"/>
        <v>30</v>
      </c>
      <c r="AB112" s="176">
        <f t="shared" ca="1" si="41"/>
        <v>0</v>
      </c>
    </row>
    <row r="113" spans="1:28" ht="15" customHeight="1" x14ac:dyDescent="0.2">
      <c r="A113" s="2" t="str">
        <f t="shared" ca="1" si="42"/>
        <v>Electric</v>
      </c>
      <c r="B113" s="4">
        <f t="shared" ca="1" si="35"/>
        <v>40911</v>
      </c>
      <c r="C113" s="179" t="str">
        <f t="shared" ca="1" si="43"/>
        <v>Actual</v>
      </c>
      <c r="D113" s="17">
        <f t="shared" ca="1" si="48"/>
        <v>1378</v>
      </c>
      <c r="E113" s="17">
        <f t="shared" ca="1" si="44"/>
        <v>31</v>
      </c>
      <c r="F113" s="182">
        <f t="shared" ca="1" si="49"/>
        <v>37600</v>
      </c>
      <c r="G113" s="183">
        <f t="shared" ca="1" si="45"/>
        <v>108.06</v>
      </c>
      <c r="H113" s="184">
        <f ca="1">IF($A113="","",+Rates!N107)</f>
        <v>120</v>
      </c>
      <c r="I113" s="184">
        <f ca="1">IF($A113="","",+ROUND(Rates!O107,2))</f>
        <v>2139.44</v>
      </c>
      <c r="J113" s="184">
        <f ca="1">IF($A113="","",IF(F113=0,0,+ROUND(Rates!P107,2)))</f>
        <v>1113.02</v>
      </c>
      <c r="K113" s="184">
        <f ca="1">IF($A113="","",+ROUND(Rates!X107,2))</f>
        <v>1097.3599999999999</v>
      </c>
      <c r="L113" s="184">
        <f ca="1">IF($A113="","",+ROUND(Rates!Q107,2))</f>
        <v>120.32</v>
      </c>
      <c r="M113" s="185">
        <f ca="1">IF($A113="","",+ROUND(Rates!R107,2))</f>
        <v>4590.1400000000003</v>
      </c>
      <c r="N113" s="186">
        <f t="shared" ca="1" si="50"/>
        <v>50537.634408602149</v>
      </c>
      <c r="O113" s="187">
        <f t="shared" ca="1" si="31"/>
        <v>0.46768123642978116</v>
      </c>
      <c r="P113" s="188">
        <f ca="1">IFERROR(SUM(INDIRECT("'FAF &amp; DDs'!"&amp;(ADDRESS(MATCH($B113-$E113,'FAF &amp; DDs'!$Q:$Q,0),COLUMN($R$1),2,1))&amp;":"&amp;(ADDRESS(MATCH($B113-1,'FAF &amp; DDs'!$Q:$Q,0),COLUMN($R$1),1))))/E113*30,-1)</f>
        <v>835.25806451612902</v>
      </c>
      <c r="Q113" s="188">
        <f ca="1">IFERROR(SUM(INDIRECT("'FAF &amp; DDs'!"&amp;(ADDRESS(MATCH($B113-$E113,'FAF &amp; DDs'!$Q:$Q,0),COLUMN($S$1),2,1))&amp;":"&amp;(ADDRESS(MATCH($B113-1,'FAF &amp; DDs'!$Q:$Q,0),COLUMN($S$1),1))))/E113*30,-1)</f>
        <v>0</v>
      </c>
      <c r="R113" s="176">
        <f t="shared" ca="1" si="39"/>
        <v>6</v>
      </c>
      <c r="S113">
        <f ca="1">IF(ROW()&gt;MIN(($AB$8,$AB$7))+11,0,MATCH(V113,INDIRECT("'Reading History'!B"&amp;$Y$5&amp;":b"&amp;$Y$6),-1))</f>
        <v>102</v>
      </c>
      <c r="U113" s="152">
        <f t="shared" ca="1" si="46"/>
        <v>40911</v>
      </c>
      <c r="V113" s="4">
        <f t="shared" ca="1" si="51"/>
        <v>40912</v>
      </c>
      <c r="W113">
        <f t="shared" ca="1" si="33"/>
        <v>1</v>
      </c>
      <c r="X113">
        <f t="shared" ca="1" si="47"/>
        <v>29</v>
      </c>
      <c r="AB113" s="176">
        <f t="shared" ca="1" si="41"/>
        <v>0</v>
      </c>
    </row>
    <row r="114" spans="1:28" ht="15" customHeight="1" x14ac:dyDescent="0.2">
      <c r="A114" s="2" t="str">
        <f t="shared" ca="1" si="42"/>
        <v>Electric</v>
      </c>
      <c r="B114" s="4">
        <f t="shared" ca="1" si="35"/>
        <v>40880</v>
      </c>
      <c r="C114" s="179" t="str">
        <f t="shared" ca="1" si="43"/>
        <v>Actual</v>
      </c>
      <c r="D114" s="17">
        <f t="shared" ca="1" si="48"/>
        <v>1190</v>
      </c>
      <c r="E114" s="17">
        <f t="shared" ca="1" si="44"/>
        <v>30</v>
      </c>
      <c r="F114" s="182">
        <f t="shared" ca="1" si="49"/>
        <v>36200</v>
      </c>
      <c r="G114" s="183">
        <f t="shared" ca="1" si="45"/>
        <v>122.34</v>
      </c>
      <c r="H114" s="184">
        <f ca="1">IF($A114="","",+Rates!N108)</f>
        <v>120</v>
      </c>
      <c r="I114" s="184">
        <f ca="1">IF($A114="","",+ROUND(Rates!O108,2))</f>
        <v>2059.7800000000002</v>
      </c>
      <c r="J114" s="184">
        <f ca="1">IF($A114="","",IF(F114=0,0,+ROUND(Rates!P108,2)))</f>
        <v>1260.0999999999999</v>
      </c>
      <c r="K114" s="184">
        <f ca="1">IF($A114="","",+ROUND(Rates!X108,2))</f>
        <v>964.87</v>
      </c>
      <c r="L114" s="184">
        <f ca="1">IF($A114="","",+ROUND(Rates!Q108,2))</f>
        <v>115.84</v>
      </c>
      <c r="M114" s="185">
        <f ca="1">IF($A114="","",+ROUND(Rates!R108,2))</f>
        <v>4520.59</v>
      </c>
      <c r="N114" s="186">
        <f t="shared" ca="1" si="50"/>
        <v>50277.777777777781</v>
      </c>
      <c r="O114" s="187">
        <f t="shared" ca="1" si="31"/>
        <v>0.41096761302744628</v>
      </c>
      <c r="P114" s="188">
        <f ca="1">IFERROR(SUM(INDIRECT("'FAF &amp; DDs'!"&amp;(ADDRESS(MATCH($B114-$E114,'FAF &amp; DDs'!$Q:$Q,0),COLUMN($R$1),2,1))&amp;":"&amp;(ADDRESS(MATCH($B114-1,'FAF &amp; DDs'!$Q:$Q,0),COLUMN($R$1),1))))/E114*30,-1)</f>
        <v>575.79999999999995</v>
      </c>
      <c r="Q114" s="188">
        <f ca="1">IFERROR(SUM(INDIRECT("'FAF &amp; DDs'!"&amp;(ADDRESS(MATCH($B114-$E114,'FAF &amp; DDs'!$Q:$Q,0),COLUMN($S$1),2,1))&amp;":"&amp;(ADDRESS(MATCH($B114-1,'FAF &amp; DDs'!$Q:$Q,0),COLUMN($S$1),1))))/E114*30,-1)</f>
        <v>3.7</v>
      </c>
      <c r="R114" s="176">
        <f t="shared" ca="1" si="39"/>
        <v>6</v>
      </c>
      <c r="S114">
        <f ca="1">IF(ROW()&gt;MIN(($AB$8,$AB$7))+11,0,MATCH(V114,INDIRECT("'Reading History'!B"&amp;$Y$5&amp;":b"&amp;$Y$6),-1))</f>
        <v>103</v>
      </c>
      <c r="U114" s="152">
        <f t="shared" ca="1" si="46"/>
        <v>40880</v>
      </c>
      <c r="V114" s="4">
        <f t="shared" ca="1" si="51"/>
        <v>40883</v>
      </c>
      <c r="W114">
        <f t="shared" ca="1" si="33"/>
        <v>3</v>
      </c>
      <c r="X114">
        <f t="shared" ca="1" si="47"/>
        <v>33</v>
      </c>
      <c r="AB114" s="176">
        <f t="shared" ca="1" si="41"/>
        <v>0</v>
      </c>
    </row>
    <row r="115" spans="1:28" ht="15" customHeight="1" x14ac:dyDescent="0.2">
      <c r="A115" s="2" t="str">
        <f t="shared" ca="1" si="42"/>
        <v>Electric</v>
      </c>
      <c r="B115" s="4">
        <f t="shared" ca="1" si="35"/>
        <v>40850</v>
      </c>
      <c r="C115" s="179" t="str">
        <f t="shared" ca="1" si="43"/>
        <v>Actual</v>
      </c>
      <c r="D115" s="17">
        <f t="shared" ca="1" si="48"/>
        <v>1009</v>
      </c>
      <c r="E115" s="17">
        <f t="shared" ca="1" si="44"/>
        <v>31</v>
      </c>
      <c r="F115" s="182">
        <f t="shared" ca="1" si="49"/>
        <v>37400</v>
      </c>
      <c r="G115" s="183">
        <f t="shared" ca="1" si="45"/>
        <v>126.9</v>
      </c>
      <c r="H115" s="184">
        <f ca="1">IF($A115="","",+Rates!N109)</f>
        <v>120</v>
      </c>
      <c r="I115" s="184">
        <f ca="1">IF($A115="","",+ROUND(Rates!O109,2))</f>
        <v>2128.06</v>
      </c>
      <c r="J115" s="184">
        <f ca="1">IF($A115="","",IF(F115=0,0,+ROUND(Rates!P109,2)))</f>
        <v>1307.07</v>
      </c>
      <c r="K115" s="184">
        <f ca="1">IF($A115="","",+ROUND(Rates!X109,2))</f>
        <v>744.97</v>
      </c>
      <c r="L115" s="184">
        <f ca="1">IF($A115="","",+ROUND(Rates!Q109,2))</f>
        <v>119.68</v>
      </c>
      <c r="M115" s="185">
        <f ca="1">IF($A115="","",+ROUND(Rates!R109,2))</f>
        <v>4419.78</v>
      </c>
      <c r="N115" s="186">
        <f t="shared" ca="1" si="50"/>
        <v>50268.817204301078</v>
      </c>
      <c r="O115" s="187">
        <f t="shared" ca="1" si="31"/>
        <v>0.39612937119228581</v>
      </c>
      <c r="P115" s="188">
        <f ca="1">IFERROR(SUM(INDIRECT("'FAF &amp; DDs'!"&amp;(ADDRESS(MATCH($B115-$E115,'FAF &amp; DDs'!$Q:$Q,0),COLUMN($R$1),2,1))&amp;":"&amp;(ADDRESS(MATCH($B115-1,'FAF &amp; DDs'!$Q:$Q,0),COLUMN($R$1),1))))/E115*30,-1)</f>
        <v>316.74193548387092</v>
      </c>
      <c r="Q115" s="188">
        <f ca="1">IFERROR(SUM(INDIRECT("'FAF &amp; DDs'!"&amp;(ADDRESS(MATCH($B115-$E115,'FAF &amp; DDs'!$Q:$Q,0),COLUMN($S$1),2,1))&amp;":"&amp;(ADDRESS(MATCH($B115-1,'FAF &amp; DDs'!$Q:$Q,0),COLUMN($S$1),1))))/E115*30,-1)</f>
        <v>62.903225806451609</v>
      </c>
      <c r="R115" s="176">
        <f t="shared" ca="1" si="39"/>
        <v>6</v>
      </c>
      <c r="S115">
        <f ca="1">IF(ROW()&gt;MIN(($AB$8,$AB$7))+11,0,MATCH(V115,INDIRECT("'Reading History'!B"&amp;$Y$5&amp;":b"&amp;$Y$6),-1))</f>
        <v>104</v>
      </c>
      <c r="U115" s="152">
        <f t="shared" ca="1" si="46"/>
        <v>40850</v>
      </c>
      <c r="V115" s="4">
        <f t="shared" ca="1" si="51"/>
        <v>40850</v>
      </c>
      <c r="W115">
        <f t="shared" ca="1" si="33"/>
        <v>0</v>
      </c>
      <c r="X115">
        <f t="shared" ca="1" si="47"/>
        <v>31</v>
      </c>
      <c r="AB115" s="176">
        <f t="shared" ca="1" si="41"/>
        <v>0</v>
      </c>
    </row>
    <row r="116" spans="1:28" ht="15" customHeight="1" x14ac:dyDescent="0.2">
      <c r="A116" s="2" t="str">
        <f t="shared" ca="1" si="42"/>
        <v>Electric</v>
      </c>
      <c r="B116" s="4">
        <f t="shared" ca="1" si="35"/>
        <v>40819</v>
      </c>
      <c r="C116" s="179" t="str">
        <f t="shared" ca="1" si="43"/>
        <v>Actual</v>
      </c>
      <c r="D116" s="17">
        <f t="shared" ca="1" si="48"/>
        <v>822</v>
      </c>
      <c r="E116" s="17">
        <f t="shared" ca="1" si="44"/>
        <v>30</v>
      </c>
      <c r="F116" s="182">
        <f t="shared" ca="1" si="49"/>
        <v>33800</v>
      </c>
      <c r="G116" s="183">
        <f t="shared" ca="1" si="45"/>
        <v>146.13999999999999</v>
      </c>
      <c r="H116" s="184">
        <f ca="1">IF($A116="","",+Rates!N110)</f>
        <v>120</v>
      </c>
      <c r="I116" s="184">
        <f ca="1">IF($A116="","",+ROUND(Rates!O110,2))</f>
        <v>2011.1</v>
      </c>
      <c r="J116" s="184">
        <f ca="1">IF($A116="","",IF(F116=0,0,+ROUND(Rates!P110,2)))</f>
        <v>1594.87</v>
      </c>
      <c r="K116" s="184">
        <f ca="1">IF($A116="","",+ROUND(Rates!X110,2))</f>
        <v>636.66</v>
      </c>
      <c r="L116" s="184">
        <f ca="1">IF($A116="","",+ROUND(Rates!Q110,2))</f>
        <v>108.16</v>
      </c>
      <c r="M116" s="185">
        <f ca="1">IF($A116="","",+ROUND(Rates!R110,2))</f>
        <v>4470.79</v>
      </c>
      <c r="N116" s="186">
        <f t="shared" ca="1" si="50"/>
        <v>46944.444444444453</v>
      </c>
      <c r="O116" s="187">
        <f t="shared" ca="1" si="31"/>
        <v>0.3212292626552925</v>
      </c>
      <c r="P116" s="188">
        <f ca="1">IFERROR(SUM(INDIRECT("'FAF &amp; DDs'!"&amp;(ADDRESS(MATCH($B116-$E116,'FAF &amp; DDs'!$Q:$Q,0),COLUMN($R$1),2,1))&amp;":"&amp;(ADDRESS(MATCH($B116-1,'FAF &amp; DDs'!$Q:$Q,0),COLUMN($R$1),1))))/E116*30,-1)</f>
        <v>188.4</v>
      </c>
      <c r="Q116" s="188">
        <f ca="1">IFERROR(SUM(INDIRECT("'FAF &amp; DDs'!"&amp;(ADDRESS(MATCH($B116-$E116,'FAF &amp; DDs'!$Q:$Q,0),COLUMN($S$1),2,1))&amp;":"&amp;(ADDRESS(MATCH($B116-1,'FAF &amp; DDs'!$Q:$Q,0),COLUMN($S$1),1))))/E116*30,-1)</f>
        <v>86</v>
      </c>
      <c r="R116" s="176">
        <f t="shared" ca="1" si="39"/>
        <v>6</v>
      </c>
      <c r="S116">
        <f ca="1">IF(ROW()&gt;MIN(($AB$8,$AB$7))+11,0,MATCH(V116,INDIRECT("'Reading History'!B"&amp;$Y$5&amp;":b"&amp;$Y$6),-1))</f>
        <v>105</v>
      </c>
      <c r="U116" s="152">
        <f t="shared" ca="1" si="46"/>
        <v>40819</v>
      </c>
      <c r="V116" s="4">
        <f t="shared" ca="1" si="51"/>
        <v>40819</v>
      </c>
      <c r="W116">
        <f t="shared" ca="1" si="33"/>
        <v>0</v>
      </c>
      <c r="X116">
        <f t="shared" ca="1" si="47"/>
        <v>27</v>
      </c>
      <c r="AB116" s="176">
        <f t="shared" ca="1" si="41"/>
        <v>0</v>
      </c>
    </row>
    <row r="117" spans="1:28" ht="15" customHeight="1" x14ac:dyDescent="0.2">
      <c r="A117" s="2" t="str">
        <f t="shared" ca="1" si="42"/>
        <v>Electric</v>
      </c>
      <c r="B117" s="4">
        <f t="shared" ca="1" si="35"/>
        <v>40789</v>
      </c>
      <c r="C117" s="179" t="str">
        <f t="shared" ca="1" si="43"/>
        <v>Actual</v>
      </c>
      <c r="D117" s="17">
        <f t="shared" ca="1" si="48"/>
        <v>653</v>
      </c>
      <c r="E117" s="17">
        <f t="shared" ca="1" si="44"/>
        <v>31</v>
      </c>
      <c r="F117" s="182">
        <f t="shared" ca="1" si="49"/>
        <v>49400</v>
      </c>
      <c r="G117" s="183">
        <f t="shared" ca="1" si="45"/>
        <v>166</v>
      </c>
      <c r="H117" s="184">
        <f ca="1">IF($A117="","",+Rates!N111)</f>
        <v>120</v>
      </c>
      <c r="I117" s="184">
        <f ca="1">IF($A117="","",+ROUND(Rates!O111,2))</f>
        <v>3196.18</v>
      </c>
      <c r="J117" s="184">
        <f ca="1">IF($A117="","",IF(F117=0,0,+ROUND(Rates!P111,2)))</f>
        <v>2015.24</v>
      </c>
      <c r="K117" s="184">
        <f ca="1">IF($A117="","",+ROUND(Rates!X111,2))</f>
        <v>741.3</v>
      </c>
      <c r="L117" s="184">
        <f ca="1">IF($A117="","",+ROUND(Rates!Q111,2))</f>
        <v>158.08000000000001</v>
      </c>
      <c r="M117" s="185">
        <f ca="1">IF($A117="","",+ROUND(Rates!R111,2))</f>
        <v>6230.8</v>
      </c>
      <c r="N117" s="186">
        <f t="shared" ca="1" si="50"/>
        <v>66397.849462365586</v>
      </c>
      <c r="O117" s="187">
        <f t="shared" ca="1" si="31"/>
        <v>0.39998704495400961</v>
      </c>
      <c r="P117" s="188">
        <f ca="1">IFERROR(SUM(INDIRECT("'FAF &amp; DDs'!"&amp;(ADDRESS(MATCH($B117-$E117,'FAF &amp; DDs'!$Q:$Q,0),COLUMN($R$1),2,1))&amp;":"&amp;(ADDRESS(MATCH($B117-1,'FAF &amp; DDs'!$Q:$Q,0),COLUMN($R$1),1))))/E117*30,-1)</f>
        <v>16.935483870967744</v>
      </c>
      <c r="Q117" s="188">
        <f ca="1">IFERROR(SUM(INDIRECT("'FAF &amp; DDs'!"&amp;(ADDRESS(MATCH($B117-$E117,'FAF &amp; DDs'!$Q:$Q,0),COLUMN($S$1),2,1))&amp;":"&amp;(ADDRESS(MATCH($B117-1,'FAF &amp; DDs'!$Q:$Q,0),COLUMN($S$1),1))))/E117*30,-1)</f>
        <v>370.0645161290322</v>
      </c>
      <c r="R117" s="176">
        <f t="shared" ca="1" si="39"/>
        <v>6</v>
      </c>
      <c r="S117">
        <f ca="1">IF(ROW()&gt;MIN(($AB$8,$AB$7))+11,0,MATCH(V117,INDIRECT("'Reading History'!B"&amp;$Y$5&amp;":b"&amp;$Y$6),-1))</f>
        <v>106</v>
      </c>
      <c r="U117" s="152">
        <f t="shared" ca="1" si="46"/>
        <v>40789</v>
      </c>
      <c r="V117" s="4">
        <f t="shared" ca="1" si="51"/>
        <v>40792</v>
      </c>
      <c r="W117">
        <f t="shared" ca="1" si="33"/>
        <v>3</v>
      </c>
      <c r="X117">
        <f t="shared" ca="1" si="47"/>
        <v>34</v>
      </c>
      <c r="AB117" s="176">
        <f t="shared" ca="1" si="41"/>
        <v>0</v>
      </c>
    </row>
    <row r="118" spans="1:28" ht="15" customHeight="1" x14ac:dyDescent="0.2">
      <c r="A118" s="2" t="str">
        <f t="shared" ca="1" si="42"/>
        <v>Electric</v>
      </c>
      <c r="B118" s="4">
        <f t="shared" ca="1" si="35"/>
        <v>40758</v>
      </c>
      <c r="C118" s="179" t="str">
        <f t="shared" ca="1" si="43"/>
        <v>Actual</v>
      </c>
      <c r="D118" s="17">
        <f t="shared" ca="1" si="48"/>
        <v>406</v>
      </c>
      <c r="E118" s="17">
        <f t="shared" ca="1" si="44"/>
        <v>31</v>
      </c>
      <c r="F118" s="182">
        <f t="shared" ca="1" si="49"/>
        <v>40800</v>
      </c>
      <c r="G118" s="183">
        <f t="shared" ca="1" si="45"/>
        <v>164</v>
      </c>
      <c r="H118" s="184">
        <f ca="1">IF($A118="","",+Rates!N112)</f>
        <v>120</v>
      </c>
      <c r="I118" s="184">
        <f ca="1">IF($A118="","",+ROUND(Rates!O112,2))</f>
        <v>2639.76</v>
      </c>
      <c r="J118" s="184">
        <f ca="1">IF($A118="","",IF(F118=0,0,+ROUND(Rates!P112,2)))</f>
        <v>1990.96</v>
      </c>
      <c r="K118" s="184">
        <f ca="1">IF($A118="","",+ROUND(Rates!X112,2))</f>
        <v>963.53</v>
      </c>
      <c r="L118" s="184">
        <f ca="1">IF($A118="","",+ROUND(Rates!Q112,2))</f>
        <v>130.56</v>
      </c>
      <c r="M118" s="185">
        <f ca="1">IF($A118="","",+ROUND(Rates!R112,2))</f>
        <v>5844.81</v>
      </c>
      <c r="N118" s="186">
        <f t="shared" ca="1" si="50"/>
        <v>69047.619047619053</v>
      </c>
      <c r="O118" s="187">
        <f t="shared" ca="1" si="31"/>
        <v>0.33438237608182536</v>
      </c>
      <c r="P118" s="188">
        <f ca="1">IFERROR(SUM(INDIRECT("'FAF &amp; DDs'!"&amp;(ADDRESS(MATCH($B118-$E118,'FAF &amp; DDs'!$Q:$Q,0),COLUMN($R$1),2,1))&amp;":"&amp;(ADDRESS(MATCH($B118-1,'FAF &amp; DDs'!$Q:$Q,0),COLUMN($R$1),1))))/E118*30,-1)</f>
        <v>0.87096774193548376</v>
      </c>
      <c r="Q118" s="188">
        <f ca="1">IFERROR(SUM(INDIRECT("'FAF &amp; DDs'!"&amp;(ADDRESS(MATCH($B118-$E118,'FAF &amp; DDs'!$Q:$Q,0),COLUMN($S$1),2,1))&amp;":"&amp;(ADDRESS(MATCH($B118-1,'FAF &amp; DDs'!$Q:$Q,0),COLUMN($S$1),1))))/E118*30,-1)</f>
        <v>497.22580645161304</v>
      </c>
      <c r="R118" s="176">
        <f t="shared" ca="1" si="39"/>
        <v>6</v>
      </c>
      <c r="S118">
        <f ca="1">IF(ROW()&gt;MIN(($AB$8,$AB$7))+11,0,MATCH(V118,INDIRECT("'Reading History'!B"&amp;$Y$5&amp;":b"&amp;$Y$6),-1))</f>
        <v>107</v>
      </c>
      <c r="U118" s="152">
        <f t="shared" ca="1" si="46"/>
        <v>40758</v>
      </c>
      <c r="V118" s="4">
        <f t="shared" ca="1" si="51"/>
        <v>40758</v>
      </c>
      <c r="W118">
        <f t="shared" ca="1" si="33"/>
        <v>0</v>
      </c>
      <c r="X118">
        <f t="shared" ca="1" si="47"/>
        <v>26</v>
      </c>
      <c r="AB118" s="176">
        <f t="shared" ca="1" si="41"/>
        <v>0</v>
      </c>
    </row>
    <row r="119" spans="1:28" ht="15" customHeight="1" x14ac:dyDescent="0.2">
      <c r="A119" s="2" t="str">
        <f t="shared" ca="1" si="42"/>
        <v>Electric</v>
      </c>
      <c r="B119" s="4">
        <f t="shared" ca="1" si="35"/>
        <v>40727</v>
      </c>
      <c r="C119" s="179" t="str">
        <f t="shared" ca="1" si="43"/>
        <v>Estimate</v>
      </c>
      <c r="D119" s="17">
        <f t="shared" ca="1" si="48"/>
        <v>202</v>
      </c>
      <c r="E119" s="17">
        <f t="shared" ca="1" si="44"/>
        <v>18</v>
      </c>
      <c r="F119" s="182">
        <f t="shared" ca="1" si="49"/>
        <v>40400</v>
      </c>
      <c r="G119" s="183">
        <f t="shared" ca="1" si="45"/>
        <v>166</v>
      </c>
      <c r="H119" s="184">
        <f ca="1">IF($A119="","",+Rates!N113)</f>
        <v>120</v>
      </c>
      <c r="I119" s="184">
        <f ca="1">IF($A119="","",+ROUND(Rates!O113,2))</f>
        <v>2613.88</v>
      </c>
      <c r="J119" s="184">
        <f ca="1">IF($A119="","",IF(F119=0,0,+ROUND(Rates!P113,2)))</f>
        <v>2015.24</v>
      </c>
      <c r="K119" s="184">
        <f ca="1">IF($A119="","",+ROUND(Rates!X113,2))</f>
        <v>1044.5</v>
      </c>
      <c r="L119" s="184">
        <f ca="1">IF($A119="","",+ROUND(Rates!Q113,2))</f>
        <v>129.28</v>
      </c>
      <c r="M119" s="185">
        <f ca="1">IF($A119="","",+ROUND(Rates!R113,2))</f>
        <v>5922.9</v>
      </c>
      <c r="N119" s="186">
        <f t="shared" ca="1" si="50"/>
        <v>69047.619047619053</v>
      </c>
      <c r="O119" s="187">
        <f t="shared" ca="1" si="31"/>
        <v>0.56336456938866575</v>
      </c>
      <c r="P119" s="188">
        <f ca="1">IFERROR(SUM(INDIRECT("'FAF &amp; DDs'!"&amp;(ADDRESS(MATCH($B119-$E119,'FAF &amp; DDs'!$Q:$Q,0),COLUMN($R$1),2,1))&amp;":"&amp;(ADDRESS(MATCH($B119-1,'FAF &amp; DDs'!$Q:$Q,0),COLUMN($R$1),1))))/E119*30,-1)</f>
        <v>8.1666666666666679</v>
      </c>
      <c r="Q119" s="188">
        <f ca="1">IFERROR(SUM(INDIRECT("'FAF &amp; DDs'!"&amp;(ADDRESS(MATCH($B119-$E119,'FAF &amp; DDs'!$Q:$Q,0),COLUMN($S$1),2,1))&amp;":"&amp;(ADDRESS(MATCH($B119-1,'FAF &amp; DDs'!$Q:$Q,0),COLUMN($S$1),1))))/E119*30,-1)</f>
        <v>261.5</v>
      </c>
      <c r="R119" s="176">
        <f t="shared" ca="1" si="39"/>
        <v>6</v>
      </c>
      <c r="S119">
        <f ca="1">IF(ROW()&gt;MIN(($AB$8,$AB$7))+11,0,MATCH(V119,INDIRECT("'Reading History'!B"&amp;$Y$5&amp;":b"&amp;$Y$6),-1))</f>
        <v>108</v>
      </c>
      <c r="U119" s="152">
        <f t="shared" ca="1" si="46"/>
        <v>40727</v>
      </c>
      <c r="V119" s="4">
        <f t="shared" ca="1" si="51"/>
        <v>40732</v>
      </c>
      <c r="W119">
        <f t="shared" ca="1" si="33"/>
        <v>5</v>
      </c>
      <c r="X119">
        <f t="shared" ca="1" si="47"/>
        <v>23</v>
      </c>
      <c r="AB119" s="176">
        <f t="shared" ca="1" si="41"/>
        <v>0</v>
      </c>
    </row>
    <row r="120" spans="1:28" ht="15" customHeight="1" x14ac:dyDescent="0.2">
      <c r="A120" s="2" t="str">
        <f t="shared" ca="1" si="42"/>
        <v>Electric</v>
      </c>
      <c r="B120" s="4">
        <f t="shared" ca="1" si="35"/>
        <v>40709</v>
      </c>
      <c r="C120" s="179" t="str">
        <f t="shared" ca="1" si="43"/>
        <v>Actual</v>
      </c>
      <c r="D120" s="17">
        <f t="shared" ca="1" si="48"/>
        <v>2737</v>
      </c>
      <c r="E120" s="17">
        <f t="shared" ca="1" si="44"/>
        <v>6</v>
      </c>
      <c r="F120" s="182">
        <f t="shared" ca="1" si="49"/>
        <v>8600</v>
      </c>
      <c r="G120" s="183">
        <f t="shared" ca="1" si="45"/>
        <v>144</v>
      </c>
      <c r="H120" s="184">
        <f ca="1">IF($A120="","",+Rates!N114)</f>
        <v>24</v>
      </c>
      <c r="I120" s="184">
        <f ca="1">IF($A120="","",+ROUND(Rates!O114,2))</f>
        <v>556.41999999999996</v>
      </c>
      <c r="J120" s="184">
        <f ca="1">IF($A120="","",IF(F120=0,0,+ROUND(Rates!P114,2)))</f>
        <v>1748.16</v>
      </c>
      <c r="K120" s="184">
        <f ca="1">IF($A120="","",+ROUND(Rates!X114,2))</f>
        <v>273.36</v>
      </c>
      <c r="L120" s="184">
        <f ca="1">IF($A120="","",+ROUND(Rates!Q114,2))</f>
        <v>27.52</v>
      </c>
      <c r="M120" s="185">
        <f ca="1">IF($A120="","",+ROUND(Rates!R114,2))</f>
        <v>2629.46</v>
      </c>
      <c r="N120" s="186">
        <f t="shared" ca="1" si="50"/>
        <v>59722.222222222219</v>
      </c>
      <c r="O120" s="187">
        <f t="shared" ca="1" si="31"/>
        <v>0.41473765432098764</v>
      </c>
      <c r="P120" s="188">
        <f ca="1">IFERROR(SUM(INDIRECT("'FAF &amp; DDs'!"&amp;(ADDRESS(MATCH($B120-$E120,'FAF &amp; DDs'!$Q:$Q,0),COLUMN($R$1),2,1))&amp;":"&amp;(ADDRESS(MATCH($B120-1,'FAF &amp; DDs'!$Q:$Q,0),COLUMN($R$1),1))))/E120*30,-1)</f>
        <v>27.5</v>
      </c>
      <c r="Q120" s="188">
        <f ca="1">IFERROR(SUM(INDIRECT("'FAF &amp; DDs'!"&amp;(ADDRESS(MATCH($B120-$E120,'FAF &amp; DDs'!$Q:$Q,0),COLUMN($S$1),2,1))&amp;":"&amp;(ADDRESS(MATCH($B120-1,'FAF &amp; DDs'!$Q:$Q,0),COLUMN($S$1),1))))/E120*30,-1)</f>
        <v>187.5</v>
      </c>
      <c r="R120" s="176">
        <f t="shared" ca="1" si="39"/>
        <v>6</v>
      </c>
      <c r="S120">
        <f ca="1">IF(ROW()&gt;MIN(($AB$8,$AB$7))+11,0,MATCH(V120,INDIRECT("'Reading History'!B"&amp;$Y$5&amp;":b"&amp;$Y$6),-1))</f>
        <v>109</v>
      </c>
      <c r="U120" s="152">
        <f t="shared" ca="1" si="46"/>
        <v>40709</v>
      </c>
      <c r="V120" s="4">
        <f t="shared" ca="1" si="51"/>
        <v>40709</v>
      </c>
      <c r="W120">
        <f t="shared" ca="1" si="33"/>
        <v>0</v>
      </c>
      <c r="X120">
        <f t="shared" ca="1" si="47"/>
        <v>6</v>
      </c>
      <c r="AB120" s="176">
        <f t="shared" ca="1" si="41"/>
        <v>0</v>
      </c>
    </row>
    <row r="121" spans="1:28" ht="15" customHeight="1" x14ac:dyDescent="0.2">
      <c r="A121" s="2" t="str">
        <f t="shared" ca="1" si="42"/>
        <v>Electric</v>
      </c>
      <c r="B121" s="4">
        <f t="shared" ca="1" si="35"/>
        <v>40703</v>
      </c>
      <c r="C121" s="179" t="str">
        <f t="shared" ca="1" si="43"/>
        <v>Actual</v>
      </c>
      <c r="D121" s="17">
        <f t="shared" ca="1" si="48"/>
        <v>2694</v>
      </c>
      <c r="E121" s="17">
        <f t="shared" ca="1" si="44"/>
        <v>34</v>
      </c>
      <c r="F121" s="182">
        <f t="shared" ca="1" si="49"/>
        <v>50000</v>
      </c>
      <c r="G121" s="183">
        <f t="shared" ca="1" si="45"/>
        <v>160</v>
      </c>
      <c r="H121" s="184">
        <f ca="1">IF($A121="","",+Rates!N115)</f>
        <v>120</v>
      </c>
      <c r="I121" s="184">
        <f ca="1">IF($A121="","",+ROUND(Rates!O115,2))</f>
        <v>3131.77</v>
      </c>
      <c r="J121" s="184">
        <f ca="1">IF($A121="","",IF(F121=0,0,+ROUND(Rates!P115,2)))</f>
        <v>1864.47</v>
      </c>
      <c r="K121" s="184">
        <f ca="1">IF($A121="","",+ROUND(Rates!X115,2))</f>
        <v>1589.3</v>
      </c>
      <c r="L121" s="184">
        <f ca="1">IF($A121="","",+ROUND(Rates!Q115,2))</f>
        <v>160</v>
      </c>
      <c r="M121" s="185">
        <f ca="1">IF($A121="","",+ROUND(Rates!R115,2))</f>
        <v>6865.54</v>
      </c>
      <c r="N121" s="186">
        <f t="shared" ca="1" si="50"/>
        <v>61274.509803921566</v>
      </c>
      <c r="O121" s="187">
        <f t="shared" ca="1" si="31"/>
        <v>0.38296568627450983</v>
      </c>
      <c r="P121" s="188">
        <f ca="1">IFERROR(SUM(INDIRECT("'FAF &amp; DDs'!"&amp;(ADDRESS(MATCH($B121-$E121,'FAF &amp; DDs'!$Q:$Q,0),COLUMN($R$1),2,1))&amp;":"&amp;(ADDRESS(MATCH($B121-1,'FAF &amp; DDs'!$Q:$Q,0),COLUMN($R$1),1))))/E121*30,-1)</f>
        <v>96.176470588235276</v>
      </c>
      <c r="Q121" s="188">
        <f ca="1">IFERROR(SUM(INDIRECT("'FAF &amp; DDs'!"&amp;(ADDRESS(MATCH($B121-$E121,'FAF &amp; DDs'!$Q:$Q,0),COLUMN($S$1),2,1))&amp;":"&amp;(ADDRESS(MATCH($B121-1,'FAF &amp; DDs'!$Q:$Q,0),COLUMN($S$1),1))))/E121*30,-1)</f>
        <v>233.20588235294116</v>
      </c>
      <c r="R121" s="176">
        <f t="shared" ca="1" si="39"/>
        <v>6</v>
      </c>
      <c r="S121">
        <f ca="1">IF(ROW()&gt;MIN(($AB$8,$AB$7))+11,0,MATCH(V121,INDIRECT("'Reading History'!B"&amp;$Y$5&amp;":b"&amp;$Y$6),-1))</f>
        <v>110</v>
      </c>
      <c r="U121" s="152">
        <f t="shared" ca="1" si="46"/>
        <v>40703</v>
      </c>
      <c r="V121" s="4">
        <f t="shared" ca="1" si="51"/>
        <v>40703</v>
      </c>
      <c r="W121">
        <f t="shared" ca="1" si="33"/>
        <v>0</v>
      </c>
      <c r="X121">
        <f t="shared" ca="1" si="47"/>
        <v>34</v>
      </c>
      <c r="AB121" s="176">
        <f t="shared" ca="1" si="41"/>
        <v>0</v>
      </c>
    </row>
    <row r="122" spans="1:28" ht="15" customHeight="1" x14ac:dyDescent="0.2">
      <c r="A122" s="2" t="str">
        <f t="shared" ca="1" si="42"/>
        <v>Electric</v>
      </c>
      <c r="B122" s="4">
        <f t="shared" ca="1" si="35"/>
        <v>40669</v>
      </c>
      <c r="C122" s="179" t="str">
        <f t="shared" ca="1" si="43"/>
        <v>Actual</v>
      </c>
      <c r="D122" s="17">
        <f t="shared" ca="1" si="48"/>
        <v>2444</v>
      </c>
      <c r="E122" s="17">
        <f t="shared" ca="1" si="44"/>
        <v>28</v>
      </c>
      <c r="F122" s="182">
        <f t="shared" ca="1" si="49"/>
        <v>34200</v>
      </c>
      <c r="G122" s="183">
        <f t="shared" ca="1" si="45"/>
        <v>130</v>
      </c>
      <c r="H122" s="184">
        <f ca="1">IF($A122="","",+Rates!N116)</f>
        <v>120</v>
      </c>
      <c r="I122" s="184">
        <f ca="1">IF($A122="","",+ROUND(Rates!O116,2))</f>
        <v>1945.98</v>
      </c>
      <c r="J122" s="184">
        <f ca="1">IF($A122="","",IF(F122=0,0,+ROUND(Rates!P116,2)))</f>
        <v>1339</v>
      </c>
      <c r="K122" s="184">
        <f ca="1">IF($A122="","",+ROUND(Rates!X116,2))</f>
        <v>768.3</v>
      </c>
      <c r="L122" s="184">
        <f ca="1">IF($A122="","",+ROUND(Rates!Q116,2))</f>
        <v>109.44</v>
      </c>
      <c r="M122" s="185">
        <f ca="1">IF($A122="","",+ROUND(Rates!R116,2))</f>
        <v>4282.72</v>
      </c>
      <c r="N122" s="186">
        <f t="shared" ca="1" si="50"/>
        <v>50892.857142857138</v>
      </c>
      <c r="O122" s="187">
        <f t="shared" ca="1" si="31"/>
        <v>0.39148351648351648</v>
      </c>
      <c r="P122" s="188">
        <f ca="1">IFERROR(SUM(INDIRECT("'FAF &amp; DDs'!"&amp;(ADDRESS(MATCH($B122-$E122,'FAF &amp; DDs'!$Q:$Q,0),COLUMN($R$1),2,1))&amp;":"&amp;(ADDRESS(MATCH($B122-1,'FAF &amp; DDs'!$Q:$Q,0),COLUMN($R$1),1))))/E122*30,-1)</f>
        <v>327.96428571428578</v>
      </c>
      <c r="Q122" s="188">
        <f ca="1">IFERROR(SUM(INDIRECT("'FAF &amp; DDs'!"&amp;(ADDRESS(MATCH($B122-$E122,'FAF &amp; DDs'!$Q:$Q,0),COLUMN($S$1),2,1))&amp;":"&amp;(ADDRESS(MATCH($B122-1,'FAF &amp; DDs'!$Q:$Q,0),COLUMN($S$1),1))))/E122*30,-1)</f>
        <v>27.857142857142865</v>
      </c>
      <c r="R122" s="176">
        <f t="shared" ca="1" si="39"/>
        <v>6</v>
      </c>
      <c r="S122">
        <f ca="1">IF(ROW()&gt;MIN(($AB$8,$AB$7))+11,0,MATCH(V122,INDIRECT("'Reading History'!B"&amp;$Y$5&amp;":b"&amp;$Y$6),-1))</f>
        <v>111</v>
      </c>
      <c r="U122" s="152">
        <f t="shared" ca="1" si="46"/>
        <v>40669</v>
      </c>
      <c r="V122" s="4">
        <f t="shared" ca="1" si="51"/>
        <v>40669</v>
      </c>
      <c r="W122">
        <f t="shared" ca="1" si="33"/>
        <v>0</v>
      </c>
      <c r="X122">
        <f t="shared" ca="1" si="47"/>
        <v>28</v>
      </c>
      <c r="AB122" s="176">
        <f t="shared" ca="1" si="41"/>
        <v>0</v>
      </c>
    </row>
    <row r="123" spans="1:28" ht="15" customHeight="1" x14ac:dyDescent="0.2">
      <c r="A123" s="2" t="str">
        <f t="shared" ca="1" si="42"/>
        <v>Electric</v>
      </c>
      <c r="B123" s="4">
        <f t="shared" ca="1" si="35"/>
        <v>40641</v>
      </c>
      <c r="C123" s="179" t="str">
        <f t="shared" ca="1" si="43"/>
        <v>Actual</v>
      </c>
      <c r="D123" s="17">
        <f t="shared" ca="1" si="48"/>
        <v>2273</v>
      </c>
      <c r="E123" s="17">
        <f t="shared" ca="1" si="44"/>
        <v>29</v>
      </c>
      <c r="F123" s="182">
        <f t="shared" ca="1" si="49"/>
        <v>37400</v>
      </c>
      <c r="G123" s="183">
        <f t="shared" ca="1" si="45"/>
        <v>126</v>
      </c>
      <c r="H123" s="184">
        <f ca="1">IF($A123="","",+Rates!N117)</f>
        <v>120</v>
      </c>
      <c r="I123" s="184">
        <f ca="1">IF($A123="","",+ROUND(Rates!O117,2))</f>
        <v>2128.06</v>
      </c>
      <c r="J123" s="184">
        <f ca="1">IF($A123="","",IF(F123=0,0,+ROUND(Rates!P117,2)))</f>
        <v>1297.8</v>
      </c>
      <c r="K123" s="184">
        <f ca="1">IF($A123="","",+ROUND(Rates!X117,2))</f>
        <v>937.95</v>
      </c>
      <c r="L123" s="184">
        <f ca="1">IF($A123="","",+ROUND(Rates!Q117,2))</f>
        <v>119.68</v>
      </c>
      <c r="M123" s="185">
        <f ca="1">IF($A123="","",+ROUND(Rates!R117,2))</f>
        <v>4603.49</v>
      </c>
      <c r="N123" s="186">
        <f t="shared" ca="1" si="50"/>
        <v>53735.632183908048</v>
      </c>
      <c r="O123" s="187">
        <f t="shared" ca="1" si="31"/>
        <v>0.42647327130085749</v>
      </c>
      <c r="P123" s="188">
        <f ca="1">IFERROR(SUM(INDIRECT("'FAF &amp; DDs'!"&amp;(ADDRESS(MATCH($B123-$E123,'FAF &amp; DDs'!$Q:$Q,0),COLUMN($R$1),2,1))&amp;":"&amp;(ADDRESS(MATCH($B123-1,'FAF &amp; DDs'!$Q:$Q,0),COLUMN($R$1),1))))/E123*30,-1)</f>
        <v>568.03448275862058</v>
      </c>
      <c r="Q123" s="188">
        <f ca="1">IFERROR(SUM(INDIRECT("'FAF &amp; DDs'!"&amp;(ADDRESS(MATCH($B123-$E123,'FAF &amp; DDs'!$Q:$Q,0),COLUMN($S$1),2,1))&amp;":"&amp;(ADDRESS(MATCH($B123-1,'FAF &amp; DDs'!$Q:$Q,0),COLUMN($S$1),1))))/E123*30,-1)</f>
        <v>21.827586206896552</v>
      </c>
      <c r="R123" s="176">
        <f t="shared" ca="1" si="39"/>
        <v>6</v>
      </c>
      <c r="S123">
        <f ca="1">IF(ROW()&gt;MIN(($AB$8,$AB$7))+11,0,MATCH(V123,INDIRECT("'Reading History'!B"&amp;$Y$5&amp;":b"&amp;$Y$6),-1))</f>
        <v>112</v>
      </c>
      <c r="U123" s="152">
        <f t="shared" ca="1" si="46"/>
        <v>40641</v>
      </c>
      <c r="V123" s="4">
        <f t="shared" ca="1" si="51"/>
        <v>40641</v>
      </c>
      <c r="W123">
        <f t="shared" ca="1" si="33"/>
        <v>0</v>
      </c>
      <c r="X123">
        <f t="shared" ca="1" si="47"/>
        <v>29</v>
      </c>
      <c r="AB123" s="176">
        <f t="shared" ca="1" si="41"/>
        <v>0</v>
      </c>
    </row>
    <row r="124" spans="1:28" ht="15" customHeight="1" x14ac:dyDescent="0.2">
      <c r="A124" s="2" t="str">
        <f t="shared" ca="1" si="42"/>
        <v>Electric</v>
      </c>
      <c r="B124" s="4">
        <f t="shared" ca="1" si="35"/>
        <v>40612</v>
      </c>
      <c r="C124" s="179" t="str">
        <f t="shared" ca="1" si="43"/>
        <v>Actual</v>
      </c>
      <c r="D124" s="17">
        <f t="shared" ca="1" si="48"/>
        <v>2086</v>
      </c>
      <c r="E124" s="17">
        <f t="shared" ca="1" si="44"/>
        <v>30</v>
      </c>
      <c r="F124" s="182">
        <f t="shared" ca="1" si="49"/>
        <v>35000</v>
      </c>
      <c r="G124" s="183">
        <f t="shared" ca="1" si="45"/>
        <v>136</v>
      </c>
      <c r="H124" s="184">
        <f ca="1">IF($A124="","",+Rates!N118)</f>
        <v>120</v>
      </c>
      <c r="I124" s="184">
        <f ca="1">IF($A124="","",+ROUND(Rates!O118,2))</f>
        <v>1991.5</v>
      </c>
      <c r="J124" s="184">
        <f ca="1">IF($A124="","",IF(F124=0,0,+ROUND(Rates!P118,2)))</f>
        <v>1400.8</v>
      </c>
      <c r="K124" s="184">
        <f ca="1">IF($A124="","",+ROUND(Rates!X118,2))</f>
        <v>780.43</v>
      </c>
      <c r="L124" s="184">
        <f ca="1">IF($A124="","",+ROUND(Rates!Q118,2))</f>
        <v>112</v>
      </c>
      <c r="M124" s="185">
        <f ca="1">IF($A124="","",+ROUND(Rates!R118,2))</f>
        <v>4404.7299999999996</v>
      </c>
      <c r="N124" s="186">
        <f t="shared" ca="1" si="50"/>
        <v>54237.288135593219</v>
      </c>
      <c r="O124" s="187">
        <f t="shared" ca="1" si="31"/>
        <v>0.35743464052287582</v>
      </c>
      <c r="P124" s="188">
        <f ca="1">IFERROR(SUM(INDIRECT("'FAF &amp; DDs'!"&amp;(ADDRESS(MATCH($B124-$E124,'FAF &amp; DDs'!$Q:$Q,0),COLUMN($R$1),2,1))&amp;":"&amp;(ADDRESS(MATCH($B124-1,'FAF &amp; DDs'!$Q:$Q,0),COLUMN($R$1),1))))/E124*30,-1)</f>
        <v>836.79999999999984</v>
      </c>
      <c r="Q124" s="188">
        <f ca="1">IFERROR(SUM(INDIRECT("'FAF &amp; DDs'!"&amp;(ADDRESS(MATCH($B124-$E124,'FAF &amp; DDs'!$Q:$Q,0),COLUMN($S$1),2,1))&amp;":"&amp;(ADDRESS(MATCH($B124-1,'FAF &amp; DDs'!$Q:$Q,0),COLUMN($S$1),1))))/E124*30,-1)</f>
        <v>0.4</v>
      </c>
      <c r="R124" s="176">
        <f t="shared" ca="1" si="39"/>
        <v>6</v>
      </c>
      <c r="S124">
        <f ca="1">IF(ROW()&gt;MIN(($AB$8,$AB$7))+11,0,MATCH(V124,INDIRECT("'Reading History'!B"&amp;$Y$5&amp;":b"&amp;$Y$6),-1))</f>
        <v>113</v>
      </c>
      <c r="U124" s="152">
        <f t="shared" ca="1" si="46"/>
        <v>40612</v>
      </c>
      <c r="V124" s="4">
        <f t="shared" ca="1" si="51"/>
        <v>40612</v>
      </c>
      <c r="W124">
        <f t="shared" ca="1" si="33"/>
        <v>0</v>
      </c>
      <c r="X124">
        <f t="shared" ca="1" si="47"/>
        <v>30</v>
      </c>
      <c r="AB124" s="176">
        <f t="shared" ca="1" si="41"/>
        <v>0</v>
      </c>
    </row>
    <row r="125" spans="1:28" ht="15" customHeight="1" x14ac:dyDescent="0.2">
      <c r="A125" s="2" t="str">
        <f t="shared" ca="1" si="42"/>
        <v>Electric</v>
      </c>
      <c r="B125" s="4">
        <f t="shared" ca="1" si="35"/>
        <v>40582</v>
      </c>
      <c r="C125" s="179" t="str">
        <f t="shared" ca="1" si="43"/>
        <v>Estimate</v>
      </c>
      <c r="D125" s="17">
        <f t="shared" ca="1" si="48"/>
        <v>1911</v>
      </c>
      <c r="E125" s="17">
        <f t="shared" ca="1" si="44"/>
        <v>29</v>
      </c>
      <c r="F125" s="182">
        <f t="shared" ca="1" si="49"/>
        <v>41800</v>
      </c>
      <c r="G125" s="183">
        <f t="shared" ca="1" si="45"/>
        <v>140</v>
      </c>
      <c r="H125" s="184">
        <f ca="1">IF($A125="","",+Rates!N119)</f>
        <v>120</v>
      </c>
      <c r="I125" s="184">
        <f ca="1">IF($A125="","",+ROUND(Rates!O119,2))</f>
        <v>2378.42</v>
      </c>
      <c r="J125" s="184">
        <f ca="1">IF($A125="","",IF(F125=0,0,+ROUND(Rates!P119,2)))</f>
        <v>1442</v>
      </c>
      <c r="K125" s="184">
        <f ca="1">IF($A125="","",+ROUND(Rates!X119,2))</f>
        <v>885.57</v>
      </c>
      <c r="L125" s="184">
        <f ca="1">IF($A125="","",+ROUND(Rates!Q119,2))</f>
        <v>133.76</v>
      </c>
      <c r="M125" s="185">
        <f ca="1">IF($A125="","",+ROUND(Rates!R119,2))</f>
        <v>4959.75</v>
      </c>
      <c r="N125" s="186">
        <f t="shared" ca="1" si="50"/>
        <v>54237.288135593219</v>
      </c>
      <c r="O125" s="187">
        <f t="shared" ca="1" si="31"/>
        <v>0.42898193760262726</v>
      </c>
      <c r="P125" s="188">
        <f ca="1">IFERROR(SUM(INDIRECT("'FAF &amp; DDs'!"&amp;(ADDRESS(MATCH($B125-$E125,'FAF &amp; DDs'!$Q:$Q,0),COLUMN($R$1),2,1))&amp;":"&amp;(ADDRESS(MATCH($B125-1,'FAF &amp; DDs'!$Q:$Q,0),COLUMN($R$1),1))))/E125*30,-1)</f>
        <v>1270.7586206896553</v>
      </c>
      <c r="Q125" s="188">
        <f ca="1">IFERROR(SUM(INDIRECT("'FAF &amp; DDs'!"&amp;(ADDRESS(MATCH($B125-$E125,'FAF &amp; DDs'!$Q:$Q,0),COLUMN($S$1),2,1))&amp;":"&amp;(ADDRESS(MATCH($B125-1,'FAF &amp; DDs'!$Q:$Q,0),COLUMN($S$1),1))))/E125*30,-1)</f>
        <v>0</v>
      </c>
      <c r="R125" s="176">
        <f t="shared" ca="1" si="39"/>
        <v>6</v>
      </c>
      <c r="S125">
        <f ca="1">IF(ROW()&gt;MIN(($AB$8,$AB$7))+11,0,MATCH(V125,INDIRECT("'Reading History'!B"&amp;$Y$5&amp;":b"&amp;$Y$6),-1))</f>
        <v>114</v>
      </c>
      <c r="U125" s="152">
        <f t="shared" ca="1" si="46"/>
        <v>40582</v>
      </c>
      <c r="V125" s="4">
        <f t="shared" ca="1" si="51"/>
        <v>40582</v>
      </c>
      <c r="W125">
        <f t="shared" ca="1" si="33"/>
        <v>0</v>
      </c>
      <c r="X125">
        <f t="shared" ca="1" si="47"/>
        <v>29</v>
      </c>
      <c r="AB125" s="176">
        <f t="shared" ca="1" si="41"/>
        <v>0</v>
      </c>
    </row>
    <row r="126" spans="1:28" ht="15" customHeight="1" x14ac:dyDescent="0.2">
      <c r="A126" s="2" t="str">
        <f t="shared" ca="1" si="42"/>
        <v>Electric</v>
      </c>
      <c r="B126" s="4">
        <f t="shared" ca="1" si="35"/>
        <v>40553</v>
      </c>
      <c r="C126" s="179" t="str">
        <f t="shared" ca="1" si="43"/>
        <v>Actual</v>
      </c>
      <c r="D126" s="17">
        <f t="shared" ca="1" si="48"/>
        <v>1702</v>
      </c>
      <c r="E126" s="17">
        <f t="shared" ca="1" si="44"/>
        <v>35</v>
      </c>
      <c r="F126" s="182">
        <f t="shared" ca="1" si="49"/>
        <v>44800</v>
      </c>
      <c r="G126" s="183">
        <f t="shared" ca="1" si="45"/>
        <v>142</v>
      </c>
      <c r="H126" s="184">
        <f ca="1">IF($A126="","",+Rates!N120)</f>
        <v>120</v>
      </c>
      <c r="I126" s="184">
        <f ca="1">IF($A126="","",+ROUND(Rates!O120,2))</f>
        <v>2549.12</v>
      </c>
      <c r="J126" s="184">
        <f ca="1">IF($A126="","",IF(F126=0,0,+ROUND(Rates!P120,2)))</f>
        <v>1462.6</v>
      </c>
      <c r="K126" s="184">
        <f ca="1">IF($A126="","",+ROUND(Rates!X120,2))</f>
        <v>1108.22</v>
      </c>
      <c r="L126" s="184">
        <f ca="1">IF($A126="","",+ROUND(Rates!Q120,2))</f>
        <v>143.36000000000001</v>
      </c>
      <c r="M126" s="185">
        <f ca="1">IF($A126="","",+ROUND(Rates!R120,2))</f>
        <v>5383.3</v>
      </c>
      <c r="N126" s="186">
        <f t="shared" ca="1" si="50"/>
        <v>53333.333333333336</v>
      </c>
      <c r="O126" s="187">
        <f t="shared" ca="1" si="31"/>
        <v>0.37558685446009388</v>
      </c>
      <c r="P126" s="188">
        <f ca="1">IFERROR(SUM(INDIRECT("'FAF &amp; DDs'!"&amp;(ADDRESS(MATCH($B126-$E126,'FAF &amp; DDs'!$Q:$Q,0),COLUMN($R$1),2,1))&amp;":"&amp;(ADDRESS(MATCH($B126-1,'FAF &amp; DDs'!$Q:$Q,0),COLUMN($R$1),1))))/E126*30,-1)</f>
        <v>1147.0285714285715</v>
      </c>
      <c r="Q126" s="188">
        <f ca="1">IFERROR(SUM(INDIRECT("'FAF &amp; DDs'!"&amp;(ADDRESS(MATCH($B126-$E126,'FAF &amp; DDs'!$Q:$Q,0),COLUMN($S$1),2,1))&amp;":"&amp;(ADDRESS(MATCH($B126-1,'FAF &amp; DDs'!$Q:$Q,0),COLUMN($S$1),1))))/E126*30,-1)</f>
        <v>0</v>
      </c>
      <c r="R126" s="176">
        <f t="shared" ca="1" si="39"/>
        <v>6</v>
      </c>
      <c r="S126">
        <f ca="1">IF(ROW()&gt;MIN(($AB$8,$AB$7))+11,0,MATCH(V126,INDIRECT("'Reading History'!B"&amp;$Y$5&amp;":b"&amp;$Y$6),-1))</f>
        <v>115</v>
      </c>
      <c r="U126" s="152">
        <f t="shared" ca="1" si="46"/>
        <v>40553</v>
      </c>
      <c r="V126" s="4">
        <f t="shared" ca="1" si="51"/>
        <v>40553</v>
      </c>
      <c r="W126">
        <f t="shared" ca="1" si="33"/>
        <v>0</v>
      </c>
      <c r="X126">
        <f t="shared" ca="1" si="47"/>
        <v>35</v>
      </c>
      <c r="AB126" s="176">
        <f t="shared" ca="1" si="41"/>
        <v>0</v>
      </c>
    </row>
    <row r="127" spans="1:28" ht="15" customHeight="1" x14ac:dyDescent="0.2">
      <c r="A127" s="2" t="str">
        <f t="shared" ca="1" si="42"/>
        <v>Electric</v>
      </c>
      <c r="B127" s="4">
        <f t="shared" ca="1" si="35"/>
        <v>40518</v>
      </c>
      <c r="C127" s="179" t="str">
        <f t="shared" ca="1" si="43"/>
        <v>Actual</v>
      </c>
      <c r="D127" s="17">
        <f t="shared" ca="1" si="48"/>
        <v>1478</v>
      </c>
      <c r="E127" s="17">
        <f t="shared" ca="1" si="44"/>
        <v>32</v>
      </c>
      <c r="F127" s="182">
        <f t="shared" ca="1" si="49"/>
        <v>42000</v>
      </c>
      <c r="G127" s="183">
        <f t="shared" ca="1" si="45"/>
        <v>130</v>
      </c>
      <c r="H127" s="184">
        <f ca="1">IF($A127="","",+Rates!N121)</f>
        <v>120</v>
      </c>
      <c r="I127" s="184">
        <f ca="1">IF($A127="","",+ROUND(Rates!O121,2))</f>
        <v>2389.8000000000002</v>
      </c>
      <c r="J127" s="184">
        <f ca="1">IF($A127="","",IF(F127=0,0,+ROUND(Rates!P121,2)))</f>
        <v>1339</v>
      </c>
      <c r="K127" s="184">
        <f ca="1">IF($A127="","",+ROUND(Rates!X121,2))</f>
        <v>923.24</v>
      </c>
      <c r="L127" s="184">
        <f ca="1">IF($A127="","",+ROUND(Rates!Q121,2))</f>
        <v>134.4</v>
      </c>
      <c r="M127" s="185">
        <f ca="1">IF($A127="","",+ROUND(Rates!R121,2))</f>
        <v>4906.4399999999996</v>
      </c>
      <c r="N127" s="186">
        <f t="shared" ca="1" si="50"/>
        <v>54687.5</v>
      </c>
      <c r="O127" s="187">
        <f t="shared" ca="1" si="31"/>
        <v>0.42067307692307693</v>
      </c>
      <c r="P127" s="188">
        <f ca="1">IFERROR(SUM(INDIRECT("'FAF &amp; DDs'!"&amp;(ADDRESS(MATCH($B127-$E127,'FAF &amp; DDs'!$Q:$Q,0),COLUMN($R$1),2,1))&amp;":"&amp;(ADDRESS(MATCH($B127-1,'FAF &amp; DDs'!$Q:$Q,0),COLUMN($R$1),1))))/E127*30,-1)</f>
        <v>677.90625</v>
      </c>
      <c r="Q127" s="188">
        <f ca="1">IFERROR(SUM(INDIRECT("'FAF &amp; DDs'!"&amp;(ADDRESS(MATCH($B127-$E127,'FAF &amp; DDs'!$Q:$Q,0),COLUMN($S$1),2,1))&amp;":"&amp;(ADDRESS(MATCH($B127-1,'FAF &amp; DDs'!$Q:$Q,0),COLUMN($S$1),1))))/E127*30,-1)</f>
        <v>8.8125</v>
      </c>
      <c r="R127" s="176">
        <f t="shared" ca="1" si="39"/>
        <v>6</v>
      </c>
      <c r="S127">
        <f ca="1">IF(ROW()&gt;MIN(($AB$8,$AB$7))+11,0,MATCH(V127,INDIRECT("'Reading History'!B"&amp;$Y$5&amp;":b"&amp;$Y$6),-1))</f>
        <v>116</v>
      </c>
      <c r="U127" s="152">
        <f t="shared" ca="1" si="46"/>
        <v>40518</v>
      </c>
      <c r="V127" s="4">
        <f t="shared" ca="1" si="51"/>
        <v>40518</v>
      </c>
      <c r="W127">
        <f t="shared" ca="1" si="33"/>
        <v>0</v>
      </c>
      <c r="X127">
        <f t="shared" ca="1" si="47"/>
        <v>32</v>
      </c>
      <c r="AB127" s="176">
        <f t="shared" ca="1" si="41"/>
        <v>0</v>
      </c>
    </row>
    <row r="128" spans="1:28" ht="15" customHeight="1" x14ac:dyDescent="0.2">
      <c r="A128" s="2" t="str">
        <f t="shared" ca="1" si="42"/>
        <v>Electric</v>
      </c>
      <c r="B128" s="4">
        <f t="shared" ca="1" si="35"/>
        <v>40486</v>
      </c>
      <c r="C128" s="179" t="str">
        <f t="shared" ca="1" si="43"/>
        <v>Actual</v>
      </c>
      <c r="D128" s="17">
        <f t="shared" ca="1" si="48"/>
        <v>1268</v>
      </c>
      <c r="E128" s="17">
        <f t="shared" ca="1" si="44"/>
        <v>27</v>
      </c>
      <c r="F128" s="182">
        <f t="shared" ca="1" si="49"/>
        <v>37400</v>
      </c>
      <c r="G128" s="183">
        <f t="shared" ca="1" si="45"/>
        <v>140</v>
      </c>
      <c r="H128" s="184">
        <f ca="1">IF($A128="","",+Rates!N122)</f>
        <v>120</v>
      </c>
      <c r="I128" s="184">
        <f ca="1">IF($A128="","",+ROUND(Rates!O122,2))</f>
        <v>2128.06</v>
      </c>
      <c r="J128" s="184">
        <f ca="1">IF($A128="","",IF(F128=0,0,+ROUND(Rates!P122,2)))</f>
        <v>1442</v>
      </c>
      <c r="K128" s="184">
        <f ca="1">IF($A128="","",+ROUND(Rates!X122,2))</f>
        <v>717.29</v>
      </c>
      <c r="L128" s="184">
        <f ca="1">IF($A128="","",+ROUND(Rates!Q122,2))</f>
        <v>119.68</v>
      </c>
      <c r="M128" s="185">
        <f ca="1">IF($A128="","",+ROUND(Rates!R122,2))</f>
        <v>4527.03</v>
      </c>
      <c r="N128" s="186">
        <f t="shared" ca="1" si="50"/>
        <v>57716.049382716054</v>
      </c>
      <c r="O128" s="187">
        <f t="shared" ca="1" si="31"/>
        <v>0.41225749559082892</v>
      </c>
      <c r="P128" s="188">
        <f ca="1">IFERROR(SUM(INDIRECT("'FAF &amp; DDs'!"&amp;(ADDRESS(MATCH($B128-$E128,'FAF &amp; DDs'!$Q:$Q,0),COLUMN($R$1),2,1))&amp;":"&amp;(ADDRESS(MATCH($B128-1,'FAF &amp; DDs'!$Q:$Q,0),COLUMN($R$1),1))))/E128*30,-1)</f>
        <v>307.77777777777771</v>
      </c>
      <c r="Q128" s="188">
        <f ca="1">IFERROR(SUM(INDIRECT("'FAF &amp; DDs'!"&amp;(ADDRESS(MATCH($B128-$E128,'FAF &amp; DDs'!$Q:$Q,0),COLUMN($S$1),2,1))&amp;":"&amp;(ADDRESS(MATCH($B128-1,'FAF &amp; DDs'!$Q:$Q,0),COLUMN($S$1),1))))/E128*30,-1)</f>
        <v>52.888888888888872</v>
      </c>
      <c r="R128" s="176">
        <f t="shared" ca="1" si="39"/>
        <v>6</v>
      </c>
      <c r="S128">
        <f ca="1">IF(ROW()&gt;MIN(($AB$8,$AB$7))+11,0,MATCH(V128,INDIRECT("'Reading History'!B"&amp;$Y$5&amp;":b"&amp;$Y$6),-1))</f>
        <v>117</v>
      </c>
      <c r="U128" s="152">
        <f t="shared" ca="1" si="46"/>
        <v>40486</v>
      </c>
      <c r="V128" s="4">
        <f t="shared" ca="1" si="51"/>
        <v>40486</v>
      </c>
      <c r="W128">
        <f t="shared" ca="1" si="33"/>
        <v>0</v>
      </c>
      <c r="X128">
        <f t="shared" ca="1" si="47"/>
        <v>27</v>
      </c>
      <c r="AB128" s="176">
        <f t="shared" ca="1" si="41"/>
        <v>0</v>
      </c>
    </row>
    <row r="129" spans="1:28" ht="15" customHeight="1" x14ac:dyDescent="0.2">
      <c r="A129" s="2" t="str">
        <f t="shared" ca="1" si="42"/>
        <v>Electric</v>
      </c>
      <c r="B129" s="4">
        <f t="shared" ca="1" si="35"/>
        <v>40459</v>
      </c>
      <c r="C129" s="179" t="str">
        <f t="shared" ca="1" si="43"/>
        <v>Actual</v>
      </c>
      <c r="D129" s="17">
        <f t="shared" ca="1" si="48"/>
        <v>1081</v>
      </c>
      <c r="E129" s="17">
        <f t="shared" ca="1" si="44"/>
        <v>29</v>
      </c>
      <c r="F129" s="182">
        <f t="shared" ca="1" si="49"/>
        <v>48200</v>
      </c>
      <c r="G129" s="183">
        <f t="shared" ca="1" si="45"/>
        <v>150</v>
      </c>
      <c r="H129" s="184">
        <f ca="1">IF($A129="","",+Rates!N123)</f>
        <v>120</v>
      </c>
      <c r="I129" s="184">
        <f ca="1">IF($A129="","",+ROUND(Rates!O123,2))</f>
        <v>2820.36</v>
      </c>
      <c r="J129" s="184">
        <f ca="1">IF($A129="","",IF(F129=0,0,+ROUND(Rates!P123,2)))</f>
        <v>1602.1</v>
      </c>
      <c r="K129" s="184">
        <f ca="1">IF($A129="","",+ROUND(Rates!X123,2))</f>
        <v>782.48</v>
      </c>
      <c r="L129" s="184">
        <f ca="1">IF($A129="","",+ROUND(Rates!Q123,2))</f>
        <v>154.24</v>
      </c>
      <c r="M129" s="185">
        <f ca="1">IF($A129="","",+ROUND(Rates!R123,2))</f>
        <v>5479.18</v>
      </c>
      <c r="N129" s="186">
        <f t="shared" ca="1" si="50"/>
        <v>69252.873563218382</v>
      </c>
      <c r="O129" s="187">
        <f t="shared" ca="1" si="31"/>
        <v>0.46168582375478928</v>
      </c>
      <c r="P129" s="188">
        <f ca="1">IFERROR(SUM(INDIRECT("'FAF &amp; DDs'!"&amp;(ADDRESS(MATCH($B129-$E129,'FAF &amp; DDs'!$Q:$Q,0),COLUMN($R$1),2,1))&amp;":"&amp;(ADDRESS(MATCH($B129-1,'FAF &amp; DDs'!$Q:$Q,0),COLUMN($R$1),1))))/E129*30,-1)</f>
        <v>151.86206896551727</v>
      </c>
      <c r="Q129" s="188">
        <f ca="1">IFERROR(SUM(INDIRECT("'FAF &amp; DDs'!"&amp;(ADDRESS(MATCH($B129-$E129,'FAF &amp; DDs'!$Q:$Q,0),COLUMN($S$1),2,1))&amp;":"&amp;(ADDRESS(MATCH($B129-1,'FAF &amp; DDs'!$Q:$Q,0),COLUMN($S$1),1))))/E129*30,-1)</f>
        <v>143.58620689655174</v>
      </c>
      <c r="R129" s="176">
        <f t="shared" ca="1" si="39"/>
        <v>6</v>
      </c>
      <c r="S129">
        <f ca="1">IF(ROW()&gt;MIN(($AB$8,$AB$7))+11,0,MATCH(V129,INDIRECT("'Reading History'!B"&amp;$Y$5&amp;":b"&amp;$Y$6),-1))</f>
        <v>118</v>
      </c>
      <c r="U129" s="152">
        <f t="shared" ca="1" si="46"/>
        <v>40459</v>
      </c>
      <c r="V129" s="4">
        <f t="shared" ca="1" si="51"/>
        <v>40459</v>
      </c>
      <c r="W129">
        <f t="shared" ca="1" si="33"/>
        <v>0</v>
      </c>
      <c r="X129">
        <f t="shared" ca="1" si="47"/>
        <v>29</v>
      </c>
      <c r="AB129" s="176">
        <f t="shared" ca="1" si="41"/>
        <v>0</v>
      </c>
    </row>
    <row r="130" spans="1:28" ht="15" customHeight="1" x14ac:dyDescent="0.2">
      <c r="A130" s="2" t="str">
        <f t="shared" ca="1" si="42"/>
        <v>Electric</v>
      </c>
      <c r="B130" s="4">
        <f t="shared" ca="1" si="35"/>
        <v>40430</v>
      </c>
      <c r="C130" s="179" t="str">
        <f t="shared" ca="1" si="43"/>
        <v>Actual</v>
      </c>
      <c r="D130" s="17">
        <f t="shared" ca="1" si="48"/>
        <v>840</v>
      </c>
      <c r="E130" s="17">
        <f t="shared" ca="1" si="44"/>
        <v>31</v>
      </c>
      <c r="F130" s="182">
        <f t="shared" ca="1" si="49"/>
        <v>55000</v>
      </c>
      <c r="G130" s="183">
        <f t="shared" ca="1" si="45"/>
        <v>170</v>
      </c>
      <c r="H130" s="184">
        <f ca="1">IF($A130="","",+Rates!N124)</f>
        <v>120</v>
      </c>
      <c r="I130" s="184">
        <f ca="1">IF($A130="","",+ROUND(Rates!O124,2))</f>
        <v>3558.5</v>
      </c>
      <c r="J130" s="184">
        <f ca="1">IF($A130="","",IF(F130=0,0,+ROUND(Rates!P124,2)))</f>
        <v>2063.8000000000002</v>
      </c>
      <c r="K130" s="184">
        <f ca="1">IF($A130="","",+ROUND(Rates!X124,2))</f>
        <v>1106.1099999999999</v>
      </c>
      <c r="L130" s="184">
        <f ca="1">IF($A130="","",+ROUND(Rates!Q124,2))</f>
        <v>176</v>
      </c>
      <c r="M130" s="185">
        <f ca="1">IF($A130="","",+ROUND(Rates!R124,2))</f>
        <v>7024.41</v>
      </c>
      <c r="N130" s="186">
        <f t="shared" ca="1" si="50"/>
        <v>73924.731182795702</v>
      </c>
      <c r="O130" s="187">
        <f t="shared" ca="1" si="31"/>
        <v>0.43485135989879825</v>
      </c>
      <c r="P130" s="188">
        <f ca="1">IFERROR(SUM(INDIRECT("'FAF &amp; DDs'!"&amp;(ADDRESS(MATCH($B130-$E130,'FAF &amp; DDs'!$Q:$Q,0),COLUMN($R$1),2,1))&amp;":"&amp;(ADDRESS(MATCH($B130-1,'FAF &amp; DDs'!$Q:$Q,0),COLUMN($R$1),1))))/E130*30,-1)</f>
        <v>24.58064516129032</v>
      </c>
      <c r="Q130" s="188">
        <f ca="1">IFERROR(SUM(INDIRECT("'FAF &amp; DDs'!"&amp;(ADDRESS(MATCH($B130-$E130,'FAF &amp; DDs'!$Q:$Q,0),COLUMN($S$1),2,1))&amp;":"&amp;(ADDRESS(MATCH($B130-1,'FAF &amp; DDs'!$Q:$Q,0),COLUMN($S$1),1))))/E130*30,-1)</f>
        <v>345.38709677419354</v>
      </c>
      <c r="R130" s="176">
        <f t="shared" ca="1" si="39"/>
        <v>6</v>
      </c>
      <c r="S130">
        <f ca="1">IF(ROW()&gt;MIN(($AB$8,$AB$7))+11,0,MATCH(V130,INDIRECT("'Reading History'!B"&amp;$Y$5&amp;":b"&amp;$Y$6),-1))</f>
        <v>119</v>
      </c>
      <c r="U130" s="152">
        <f t="shared" ca="1" si="46"/>
        <v>40430</v>
      </c>
      <c r="V130" s="4">
        <f t="shared" ca="1" si="51"/>
        <v>40430</v>
      </c>
      <c r="W130">
        <f t="shared" ca="1" si="33"/>
        <v>0</v>
      </c>
      <c r="X130">
        <f t="shared" ca="1" si="47"/>
        <v>31</v>
      </c>
      <c r="AB130" s="176">
        <f t="shared" ca="1" si="41"/>
        <v>0</v>
      </c>
    </row>
    <row r="131" spans="1:28" ht="15" customHeight="1" x14ac:dyDescent="0.2">
      <c r="A131" s="2" t="str">
        <f t="shared" ca="1" si="42"/>
        <v>Electric</v>
      </c>
      <c r="B131" s="4">
        <f t="shared" ca="1" si="35"/>
        <v>40399</v>
      </c>
      <c r="C131" s="179" t="str">
        <f t="shared" ca="1" si="43"/>
        <v>Actual</v>
      </c>
      <c r="D131" s="17">
        <f t="shared" ca="1" si="48"/>
        <v>565</v>
      </c>
      <c r="E131" s="17">
        <f t="shared" ca="1" si="44"/>
        <v>32</v>
      </c>
      <c r="F131" s="182">
        <f t="shared" ca="1" si="49"/>
        <v>67400</v>
      </c>
      <c r="G131" s="183">
        <f t="shared" ca="1" si="45"/>
        <v>172</v>
      </c>
      <c r="H131" s="184">
        <f ca="1">IF($A131="","",+Rates!N125)</f>
        <v>120</v>
      </c>
      <c r="I131" s="184">
        <f ca="1">IF($A131="","",+ROUND(Rates!O125,2))</f>
        <v>4360.78</v>
      </c>
      <c r="J131" s="184">
        <f ca="1">IF($A131="","",IF(F131=0,0,+ROUND(Rates!P125,2)))</f>
        <v>2088.08</v>
      </c>
      <c r="K131" s="184">
        <f ca="1">IF($A131="","",+ROUND(Rates!X125,2))</f>
        <v>1417.42</v>
      </c>
      <c r="L131" s="184">
        <f ca="1">IF($A131="","",+ROUND(Rates!Q125,2))</f>
        <v>215.68</v>
      </c>
      <c r="M131" s="185">
        <f ca="1">IF($A131="","",+ROUND(Rates!R125,2))</f>
        <v>8201.9599999999991</v>
      </c>
      <c r="N131" s="186">
        <f t="shared" ca="1" si="50"/>
        <v>87760.416666666672</v>
      </c>
      <c r="O131" s="187">
        <f t="shared" ca="1" si="31"/>
        <v>0.51023498062015504</v>
      </c>
      <c r="P131" s="188">
        <f ca="1">IFERROR(SUM(INDIRECT("'FAF &amp; DDs'!"&amp;(ADDRESS(MATCH($B131-$E131,'FAF &amp; DDs'!$Q:$Q,0),COLUMN($R$1),2,1))&amp;":"&amp;(ADDRESS(MATCH($B131-1,'FAF &amp; DDs'!$Q:$Q,0),COLUMN($R$1),1))))/E131*30,-1)</f>
        <v>0.75</v>
      </c>
      <c r="Q131" s="188">
        <f ca="1">IFERROR(SUM(INDIRECT("'FAF &amp; DDs'!"&amp;(ADDRESS(MATCH($B131-$E131,'FAF &amp; DDs'!$Q:$Q,0),COLUMN($S$1),2,1))&amp;":"&amp;(ADDRESS(MATCH($B131-1,'FAF &amp; DDs'!$Q:$Q,0),COLUMN($S$1),1))))/E131*30,-1)</f>
        <v>428.71874999999994</v>
      </c>
      <c r="R131" s="176">
        <f t="shared" ca="1" si="39"/>
        <v>6</v>
      </c>
      <c r="S131">
        <f ca="1">IF(ROW()&gt;MIN(($AB$8,$AB$7))+11,0,MATCH(V131,INDIRECT("'Reading History'!B"&amp;$Y$5&amp;":b"&amp;$Y$6),-1))</f>
        <v>120</v>
      </c>
      <c r="U131" s="152">
        <f t="shared" ca="1" si="46"/>
        <v>40399</v>
      </c>
      <c r="V131" s="4">
        <f t="shared" ca="1" si="51"/>
        <v>40399</v>
      </c>
      <c r="W131">
        <f t="shared" ca="1" si="33"/>
        <v>0</v>
      </c>
      <c r="X131">
        <f t="shared" ca="1" si="47"/>
        <v>32</v>
      </c>
      <c r="AB131" s="176">
        <f t="shared" ca="1" si="41"/>
        <v>0</v>
      </c>
    </row>
    <row r="132" spans="1:28" ht="15" customHeight="1" x14ac:dyDescent="0.2">
      <c r="A132" s="2" t="str">
        <f t="shared" ca="1" si="42"/>
        <v>Electric</v>
      </c>
      <c r="B132" s="4">
        <f t="shared" ca="1" si="35"/>
        <v>40367</v>
      </c>
      <c r="C132" s="179" t="str">
        <f t="shared" ca="1" si="43"/>
        <v>Actual</v>
      </c>
      <c r="D132" s="17">
        <f t="shared" ca="1" si="48"/>
        <v>228</v>
      </c>
      <c r="E132" s="17">
        <f t="shared" ca="1" si="44"/>
        <v>30</v>
      </c>
      <c r="F132" s="182">
        <f t="shared" ca="1" si="49"/>
        <v>52600</v>
      </c>
      <c r="G132" s="183">
        <f t="shared" ca="1" si="45"/>
        <v>166</v>
      </c>
      <c r="H132" s="184">
        <f ca="1">IF($A132="","",+Rates!N126)</f>
        <v>120</v>
      </c>
      <c r="I132" s="184">
        <f ca="1">IF($A132="","",+ROUND(Rates!O126,2))</f>
        <v>3403.22</v>
      </c>
      <c r="J132" s="184">
        <f ca="1">IF($A132="","",IF(F132=0,0,+ROUND(Rates!P126,2)))</f>
        <v>2015.24</v>
      </c>
      <c r="K132" s="184">
        <f ca="1">IF($A132="","",+ROUND(Rates!X126,2))</f>
        <v>1195.81</v>
      </c>
      <c r="L132" s="184">
        <f ca="1">IF($A132="","",+ROUND(Rates!Q126,2))</f>
        <v>168.32</v>
      </c>
      <c r="M132" s="185">
        <f ca="1">IF($A132="","",+ROUND(Rates!R126,2))</f>
        <v>6902.59</v>
      </c>
      <c r="N132" s="186">
        <f t="shared" ca="1" si="50"/>
        <v>73055.555555555562</v>
      </c>
      <c r="O132" s="187">
        <f t="shared" ca="1" si="31"/>
        <v>0.4400937081659973</v>
      </c>
      <c r="P132" s="188">
        <f ca="1">IFERROR(SUM(INDIRECT("'FAF &amp; DDs'!"&amp;(ADDRESS(MATCH($B132-$E132,'FAF &amp; DDs'!$Q:$Q,0),COLUMN($R$1),2,1))&amp;":"&amp;(ADDRESS(MATCH($B132-1,'FAF &amp; DDs'!$Q:$Q,0),COLUMN($R$1),1))))/E132*30,-1)</f>
        <v>4.7</v>
      </c>
      <c r="Q132" s="188">
        <f ca="1">IFERROR(SUM(INDIRECT("'FAF &amp; DDs'!"&amp;(ADDRESS(MATCH($B132-$E132,'FAF &amp; DDs'!$Q:$Q,0),COLUMN($S$1),2,1))&amp;":"&amp;(ADDRESS(MATCH($B132-1,'FAF &amp; DDs'!$Q:$Q,0),COLUMN($S$1),1))))/E132*30,-1)</f>
        <v>373.50000000000011</v>
      </c>
      <c r="R132" s="176">
        <f t="shared" ca="1" si="39"/>
        <v>6</v>
      </c>
      <c r="S132">
        <f ca="1">IF(ROW()&gt;MIN(($AB$8,$AB$7))+11,0,MATCH(V132,INDIRECT("'Reading History'!B"&amp;$Y$5&amp;":b"&amp;$Y$6),-1))</f>
        <v>121</v>
      </c>
      <c r="U132" s="152">
        <f t="shared" ca="1" si="46"/>
        <v>40367</v>
      </c>
      <c r="V132" s="4">
        <f t="shared" ca="1" si="51"/>
        <v>40367</v>
      </c>
      <c r="W132">
        <f t="shared" ca="1" si="33"/>
        <v>0</v>
      </c>
      <c r="X132">
        <f t="shared" ca="1" si="47"/>
        <v>30</v>
      </c>
      <c r="AB132" s="176">
        <f t="shared" ca="1" si="41"/>
        <v>0</v>
      </c>
    </row>
    <row r="133" spans="1:28" ht="15" customHeight="1" x14ac:dyDescent="0.2">
      <c r="A133" s="2" t="str">
        <f t="shared" ca="1" si="42"/>
        <v>Electric</v>
      </c>
      <c r="B133" s="4">
        <f t="shared" ca="1" si="35"/>
        <v>40337</v>
      </c>
      <c r="C133" s="179" t="str">
        <f t="shared" ca="1" si="43"/>
        <v>Actual</v>
      </c>
      <c r="D133" s="17">
        <f t="shared" ca="1" si="48"/>
        <v>9965</v>
      </c>
      <c r="E133" s="17">
        <f t="shared" ca="1" si="44"/>
        <v>32</v>
      </c>
      <c r="F133" s="182">
        <f t="shared" ca="1" si="49"/>
        <v>54600</v>
      </c>
      <c r="G133" s="183">
        <f t="shared" ca="1" si="45"/>
        <v>180</v>
      </c>
      <c r="H133" s="184">
        <f ca="1">IF($A133="","",+Rates!N127)</f>
        <v>120</v>
      </c>
      <c r="I133" s="184">
        <f ca="1">IF($A133="","",+ROUND(Rates!O127,2))</f>
        <v>3426.15</v>
      </c>
      <c r="J133" s="184">
        <f ca="1">IF($A133="","",IF(F133=0,0,+ROUND(Rates!P127,2)))</f>
        <v>2102.4</v>
      </c>
      <c r="K133" s="184">
        <f ca="1">IF($A133="","",+ROUND(Rates!X127,2))</f>
        <v>873.76</v>
      </c>
      <c r="L133" s="184">
        <f ca="1">IF($A133="","",+ROUND(Rates!Q127,2))</f>
        <v>174.72</v>
      </c>
      <c r="M133" s="185">
        <f ca="1">IF($A133="","",+ROUND(Rates!R127,2))</f>
        <v>6697.03</v>
      </c>
      <c r="N133" s="186">
        <f t="shared" ca="1" si="50"/>
        <v>71093.75</v>
      </c>
      <c r="O133" s="187">
        <f t="shared" ca="1" si="31"/>
        <v>0.39496527777777779</v>
      </c>
      <c r="P133" s="188">
        <f ca="1">IFERROR(SUM(INDIRECT("'FAF &amp; DDs'!"&amp;(ADDRESS(MATCH($B133-$E133,'FAF &amp; DDs'!$Q:$Q,0),COLUMN($R$1),2,1))&amp;":"&amp;(ADDRESS(MATCH($B133-1,'FAF &amp; DDs'!$Q:$Q,0),COLUMN($R$1),1))))/E133*30,-1)</f>
        <v>98.625000000000014</v>
      </c>
      <c r="Q133" s="188">
        <f ca="1">IFERROR(SUM(INDIRECT("'FAF &amp; DDs'!"&amp;(ADDRESS(MATCH($B133-$E133,'FAF &amp; DDs'!$Q:$Q,0),COLUMN($S$1),2,1))&amp;":"&amp;(ADDRESS(MATCH($B133-1,'FAF &amp; DDs'!$Q:$Q,0),COLUMN($S$1),1))))/E133*30,-1)</f>
        <v>180.65625000000003</v>
      </c>
      <c r="R133" s="176">
        <f t="shared" ca="1" si="39"/>
        <v>6</v>
      </c>
      <c r="S133">
        <f ca="1">IF(ROW()&gt;MIN(($AB$8,$AB$7))+11,0,MATCH(V133,INDIRECT("'Reading History'!B"&amp;$Y$5&amp;":b"&amp;$Y$6),-1))</f>
        <v>122</v>
      </c>
      <c r="U133" s="152">
        <f t="shared" ca="1" si="46"/>
        <v>40337</v>
      </c>
      <c r="V133" s="4">
        <f t="shared" ca="1" si="51"/>
        <v>40337</v>
      </c>
      <c r="W133">
        <f t="shared" ca="1" si="33"/>
        <v>0</v>
      </c>
      <c r="X133">
        <f t="shared" ca="1" si="47"/>
        <v>32</v>
      </c>
      <c r="AB133" s="176">
        <f t="shared" ca="1" si="41"/>
        <v>0</v>
      </c>
    </row>
    <row r="134" spans="1:28" ht="15" customHeight="1" x14ac:dyDescent="0.2">
      <c r="A134" s="2" t="str">
        <f t="shared" ca="1" si="42"/>
        <v>Electric</v>
      </c>
      <c r="B134" s="4">
        <f t="shared" ca="1" si="35"/>
        <v>40305</v>
      </c>
      <c r="C134" s="179" t="str">
        <f t="shared" ca="1" si="43"/>
        <v>Actual</v>
      </c>
      <c r="D134" s="17">
        <f t="shared" ca="1" si="48"/>
        <v>9692</v>
      </c>
      <c r="E134" s="17">
        <f t="shared" ca="1" si="44"/>
        <v>29</v>
      </c>
      <c r="F134" s="182">
        <f t="shared" ca="1" si="49"/>
        <v>42200</v>
      </c>
      <c r="G134" s="183">
        <f t="shared" ca="1" si="45"/>
        <v>140</v>
      </c>
      <c r="H134" s="184">
        <f ca="1">IF($A134="","",+Rates!N128)</f>
        <v>120</v>
      </c>
      <c r="I134" s="184">
        <f ca="1">IF($A134="","",+ROUND(Rates!O128,2))</f>
        <v>2401.1799999999998</v>
      </c>
      <c r="J134" s="184">
        <f ca="1">IF($A134="","",IF(F134=0,0,+ROUND(Rates!P128,2)))</f>
        <v>1442</v>
      </c>
      <c r="K134" s="184">
        <f ca="1">IF($A134="","",+ROUND(Rates!X128,2))</f>
        <v>607.29999999999995</v>
      </c>
      <c r="L134" s="184">
        <f ca="1">IF($A134="","",+ROUND(Rates!Q128,2))</f>
        <v>135.04</v>
      </c>
      <c r="M134" s="185">
        <f ca="1">IF($A134="","",+ROUND(Rates!R128,2))</f>
        <v>4705.5200000000004</v>
      </c>
      <c r="N134" s="186">
        <f t="shared" ca="1" si="50"/>
        <v>60632.183908045983</v>
      </c>
      <c r="O134" s="187">
        <f t="shared" ca="1" si="31"/>
        <v>0.43308702791461412</v>
      </c>
      <c r="P134" s="188">
        <f ca="1">IFERROR(SUM(INDIRECT("'FAF &amp; DDs'!"&amp;(ADDRESS(MATCH($B134-$E134,'FAF &amp; DDs'!$Q:$Q,0),COLUMN($R$1),2,1))&amp;":"&amp;(ADDRESS(MATCH($B134-1,'FAF &amp; DDs'!$Q:$Q,0),COLUMN($R$1),1))))/E134*30,-1)</f>
        <v>191.89655172413788</v>
      </c>
      <c r="Q134" s="188">
        <f ca="1">IFERROR(SUM(INDIRECT("'FAF &amp; DDs'!"&amp;(ADDRESS(MATCH($B134-$E134,'FAF &amp; DDs'!$Q:$Q,0),COLUMN($S$1),2,1))&amp;":"&amp;(ADDRESS(MATCH($B134-1,'FAF &amp; DDs'!$Q:$Q,0),COLUMN($S$1),1))))/E134*30,-1)</f>
        <v>75.620689655172413</v>
      </c>
      <c r="R134" s="176">
        <f t="shared" ca="1" si="39"/>
        <v>6</v>
      </c>
      <c r="S134">
        <f ca="1">IF(ROW()&gt;MIN(($AB$8,$AB$7))+11,0,MATCH(V134,INDIRECT("'Reading History'!B"&amp;$Y$5&amp;":b"&amp;$Y$6),-1))</f>
        <v>123</v>
      </c>
      <c r="U134" s="152">
        <f t="shared" ca="1" si="46"/>
        <v>40305</v>
      </c>
      <c r="V134" s="4">
        <f t="shared" ca="1" si="51"/>
        <v>40305</v>
      </c>
      <c r="W134">
        <f t="shared" ca="1" si="33"/>
        <v>0</v>
      </c>
      <c r="X134">
        <f t="shared" ca="1" si="47"/>
        <v>29</v>
      </c>
      <c r="AB134" s="176">
        <f t="shared" ca="1" si="41"/>
        <v>0</v>
      </c>
    </row>
    <row r="135" spans="1:28" ht="15" customHeight="1" x14ac:dyDescent="0.2">
      <c r="A135" s="2" t="str">
        <f t="shared" ca="1" si="42"/>
        <v>Electric</v>
      </c>
      <c r="B135" s="4">
        <f t="shared" ca="1" si="35"/>
        <v>40276</v>
      </c>
      <c r="C135" s="179" t="str">
        <f t="shared" ca="1" si="43"/>
        <v>Actual</v>
      </c>
      <c r="D135" s="17">
        <f t="shared" ca="1" si="48"/>
        <v>9481</v>
      </c>
      <c r="E135" s="17">
        <f t="shared" ca="1" si="44"/>
        <v>31</v>
      </c>
      <c r="F135" s="182">
        <f t="shared" ca="1" si="49"/>
        <v>46200</v>
      </c>
      <c r="G135" s="183">
        <f t="shared" ca="1" si="45"/>
        <v>140</v>
      </c>
      <c r="H135" s="184">
        <f ca="1">IF($A135="","",+Rates!N129)</f>
        <v>120</v>
      </c>
      <c r="I135" s="184">
        <f ca="1">IF($A135="","",+ROUND(Rates!O129,2))</f>
        <v>2628.78</v>
      </c>
      <c r="J135" s="184">
        <f ca="1">IF($A135="","",IF(F135=0,0,+ROUND(Rates!P129,2)))</f>
        <v>1442</v>
      </c>
      <c r="K135" s="184">
        <f ca="1">IF($A135="","",+ROUND(Rates!X129,2))</f>
        <v>808.73</v>
      </c>
      <c r="L135" s="184">
        <f ca="1">IF($A135="","",+ROUND(Rates!Q129,2))</f>
        <v>147.84</v>
      </c>
      <c r="M135" s="185">
        <f ca="1">IF($A135="","",+ROUND(Rates!R129,2))</f>
        <v>5147.3500000000004</v>
      </c>
      <c r="N135" s="186">
        <f t="shared" ca="1" si="50"/>
        <v>59745.762711864409</v>
      </c>
      <c r="O135" s="187">
        <f t="shared" ca="1" si="31"/>
        <v>0.44354838709677419</v>
      </c>
      <c r="P135" s="188">
        <f ca="1">IFERROR(SUM(INDIRECT("'FAF &amp; DDs'!"&amp;(ADDRESS(MATCH($B135-$E135,'FAF &amp; DDs'!$Q:$Q,0),COLUMN($R$1),2,1))&amp;":"&amp;(ADDRESS(MATCH($B135-1,'FAF &amp; DDs'!$Q:$Q,0),COLUMN($R$1),1))))/E135*30,-1)</f>
        <v>416.70967741935476</v>
      </c>
      <c r="Q135" s="188">
        <f ca="1">IFERROR(SUM(INDIRECT("'FAF &amp; DDs'!"&amp;(ADDRESS(MATCH($B135-$E135,'FAF &amp; DDs'!$Q:$Q,0),COLUMN($S$1),2,1))&amp;":"&amp;(ADDRESS(MATCH($B135-1,'FAF &amp; DDs'!$Q:$Q,0),COLUMN($S$1),1))))/E135*30,-1)</f>
        <v>32.70967741935484</v>
      </c>
      <c r="R135" s="176">
        <f t="shared" ca="1" si="39"/>
        <v>6</v>
      </c>
      <c r="S135">
        <f ca="1">IF(ROW()&gt;MIN(($AB$8,$AB$7))+11,0,MATCH(V135,INDIRECT("'Reading History'!B"&amp;$Y$5&amp;":b"&amp;$Y$6),-1))</f>
        <v>124</v>
      </c>
      <c r="U135" s="152">
        <f t="shared" ca="1" si="46"/>
        <v>40276</v>
      </c>
      <c r="V135" s="4">
        <f t="shared" ca="1" si="51"/>
        <v>40276</v>
      </c>
      <c r="W135">
        <f t="shared" ca="1" si="33"/>
        <v>0</v>
      </c>
      <c r="X135">
        <f t="shared" ca="1" si="47"/>
        <v>31</v>
      </c>
      <c r="AB135" s="176">
        <f t="shared" ca="1" si="41"/>
        <v>0</v>
      </c>
    </row>
    <row r="136" spans="1:28" ht="15" customHeight="1" x14ac:dyDescent="0.2">
      <c r="A136" s="2" t="str">
        <f t="shared" ca="1" si="42"/>
        <v>Electric</v>
      </c>
      <c r="B136" s="4">
        <f t="shared" ca="1" si="35"/>
        <v>40245</v>
      </c>
      <c r="C136" s="179" t="str">
        <f t="shared" ca="1" si="43"/>
        <v>Estimate</v>
      </c>
      <c r="D136" s="17">
        <f t="shared" ca="1" si="48"/>
        <v>9250</v>
      </c>
      <c r="E136" s="17">
        <f t="shared" ca="1" si="44"/>
        <v>28</v>
      </c>
      <c r="F136" s="182">
        <f t="shared" ca="1" si="49"/>
        <v>38400</v>
      </c>
      <c r="G136" s="183">
        <f t="shared" ca="1" si="45"/>
        <v>134</v>
      </c>
      <c r="H136" s="184">
        <f ca="1">IF($A136="","",+Rates!N130)</f>
        <v>120</v>
      </c>
      <c r="I136" s="184">
        <f ca="1">IF($A136="","",+ROUND(Rates!O130,2))</f>
        <v>2184.96</v>
      </c>
      <c r="J136" s="184">
        <f ca="1">IF($A136="","",IF(F136=0,0,+ROUND(Rates!P130,2)))</f>
        <v>1380.2</v>
      </c>
      <c r="K136" s="184">
        <f ca="1">IF($A136="","",+ROUND(Rates!X130,2))</f>
        <v>436.95</v>
      </c>
      <c r="L136" s="184">
        <f ca="1">IF($A136="","",+ROUND(Rates!Q130,2))</f>
        <v>122.88</v>
      </c>
      <c r="M136" s="185">
        <f ca="1">IF($A136="","",+ROUND(Rates!R130,2))</f>
        <v>4244.99</v>
      </c>
      <c r="N136" s="186">
        <f t="shared" ca="1" si="50"/>
        <v>59745.762711864409</v>
      </c>
      <c r="O136" s="187">
        <f t="shared" ca="1" si="31"/>
        <v>0.42643923240938164</v>
      </c>
      <c r="P136" s="188">
        <f ca="1">IFERROR(SUM(INDIRECT("'FAF &amp; DDs'!"&amp;(ADDRESS(MATCH($B136-$E136,'FAF &amp; DDs'!$Q:$Q,0),COLUMN($R$1),2,1))&amp;":"&amp;(ADDRESS(MATCH($B136-1,'FAF &amp; DDs'!$Q:$Q,0),COLUMN($R$1),1))))/E136*30,-1)</f>
        <v>1102.2857142857144</v>
      </c>
      <c r="Q136" s="188">
        <f ca="1">IFERROR(SUM(INDIRECT("'FAF &amp; DDs'!"&amp;(ADDRESS(MATCH($B136-$E136,'FAF &amp; DDs'!$Q:$Q,0),COLUMN($S$1),2,1))&amp;":"&amp;(ADDRESS(MATCH($B136-1,'FAF &amp; DDs'!$Q:$Q,0),COLUMN($S$1),1))))/E136*30,-1)</f>
        <v>0</v>
      </c>
      <c r="R136" s="176">
        <f t="shared" ca="1" si="39"/>
        <v>6</v>
      </c>
      <c r="S136">
        <f ca="1">IF(ROW()&gt;MIN(($AB$8,$AB$7))+11,0,MATCH(V136,INDIRECT("'Reading History'!B"&amp;$Y$5&amp;":b"&amp;$Y$6),-1))</f>
        <v>125</v>
      </c>
      <c r="U136" s="152">
        <f t="shared" ca="1" si="46"/>
        <v>40245</v>
      </c>
      <c r="V136" s="4">
        <f t="shared" ca="1" si="51"/>
        <v>40245</v>
      </c>
      <c r="W136">
        <f t="shared" ca="1" si="33"/>
        <v>0</v>
      </c>
      <c r="X136">
        <f t="shared" ca="1" si="47"/>
        <v>28</v>
      </c>
      <c r="AB136" s="176">
        <f t="shared" ca="1" si="41"/>
        <v>0</v>
      </c>
    </row>
    <row r="137" spans="1:28" ht="15" customHeight="1" x14ac:dyDescent="0.2">
      <c r="A137" s="2" t="str">
        <f t="shared" ca="1" si="42"/>
        <v>Electric</v>
      </c>
      <c r="B137" s="4">
        <f t="shared" ca="1" si="35"/>
        <v>40217</v>
      </c>
      <c r="C137" s="179" t="str">
        <f t="shared" ca="1" si="43"/>
        <v>Actual</v>
      </c>
      <c r="D137" s="17">
        <f t="shared" ca="1" si="48"/>
        <v>9058</v>
      </c>
      <c r="E137" s="17">
        <f t="shared" ca="1" si="44"/>
        <v>28</v>
      </c>
      <c r="F137" s="182">
        <f t="shared" ca="1" si="49"/>
        <v>40400</v>
      </c>
      <c r="G137" s="183">
        <f t="shared" ca="1" si="45"/>
        <v>140</v>
      </c>
      <c r="H137" s="184">
        <f ca="1">IF($A137="","",+Rates!N131)</f>
        <v>120</v>
      </c>
      <c r="I137" s="184">
        <f ca="1">IF($A137="","",+ROUND(Rates!O131,2))</f>
        <v>2298.7600000000002</v>
      </c>
      <c r="J137" s="184">
        <f ca="1">IF($A137="","",IF(F137=0,0,+ROUND(Rates!P131,2)))</f>
        <v>1442</v>
      </c>
      <c r="K137" s="184">
        <f ca="1">IF($A137="","",+ROUND(Rates!X131,2))</f>
        <v>695.97</v>
      </c>
      <c r="L137" s="184">
        <f ca="1">IF($A137="","",+ROUND(Rates!Q131,2))</f>
        <v>129.28</v>
      </c>
      <c r="M137" s="185">
        <f ca="1">IF($A137="","",+ROUND(Rates!R131,2))</f>
        <v>4686.01</v>
      </c>
      <c r="N137" s="186">
        <f t="shared" ca="1" si="50"/>
        <v>60119.047619047618</v>
      </c>
      <c r="O137" s="187">
        <f t="shared" ca="1" si="31"/>
        <v>0.429421768707483</v>
      </c>
      <c r="P137" s="188">
        <f ca="1">IFERROR(SUM(INDIRECT("'FAF &amp; DDs'!"&amp;(ADDRESS(MATCH($B137-$E137,'FAF &amp; DDs'!$Q:$Q,0),COLUMN($R$1),2,1))&amp;":"&amp;(ADDRESS(MATCH($B137-1,'FAF &amp; DDs'!$Q:$Q,0),COLUMN($R$1),1))))/E137*30,-1)</f>
        <v>1085.2500000000002</v>
      </c>
      <c r="Q137" s="188">
        <f ca="1">IFERROR(SUM(INDIRECT("'FAF &amp; DDs'!"&amp;(ADDRESS(MATCH($B137-$E137,'FAF &amp; DDs'!$Q:$Q,0),COLUMN($S$1),2,1))&amp;":"&amp;(ADDRESS(MATCH($B137-1,'FAF &amp; DDs'!$Q:$Q,0),COLUMN($S$1),1))))/E137*30,-1)</f>
        <v>0</v>
      </c>
      <c r="R137" s="176">
        <f t="shared" ca="1" si="39"/>
        <v>6</v>
      </c>
      <c r="S137">
        <f ca="1">IF(ROW()&gt;MIN(($AB$8,$AB$7))+11,0,MATCH(V137,INDIRECT("'Reading History'!B"&amp;$Y$5&amp;":b"&amp;$Y$6),-1))</f>
        <v>126</v>
      </c>
      <c r="U137" s="152">
        <f t="shared" ca="1" si="46"/>
        <v>40217</v>
      </c>
      <c r="V137" s="4">
        <f t="shared" ca="1" si="51"/>
        <v>40217</v>
      </c>
      <c r="W137">
        <f t="shared" ca="1" si="33"/>
        <v>0</v>
      </c>
      <c r="X137">
        <f t="shared" ca="1" si="47"/>
        <v>28</v>
      </c>
      <c r="AB137" s="176">
        <f t="shared" ca="1" si="41"/>
        <v>0</v>
      </c>
    </row>
    <row r="138" spans="1:28" ht="15" customHeight="1" x14ac:dyDescent="0.2">
      <c r="A138" s="2" t="str">
        <f t="shared" ca="1" si="42"/>
        <v>Electric</v>
      </c>
      <c r="B138" s="4">
        <f t="shared" ca="1" si="35"/>
        <v>40189</v>
      </c>
      <c r="C138" s="179" t="str">
        <f t="shared" ca="1" si="43"/>
        <v>Actual</v>
      </c>
      <c r="D138" s="17">
        <f t="shared" ca="1" si="48"/>
        <v>8856</v>
      </c>
      <c r="E138" s="17">
        <f t="shared" ca="1" si="44"/>
        <v>34</v>
      </c>
      <c r="F138" s="182">
        <f t="shared" ca="1" si="49"/>
        <v>44000</v>
      </c>
      <c r="G138" s="183">
        <f t="shared" ca="1" si="45"/>
        <v>128</v>
      </c>
      <c r="H138" s="184">
        <f ca="1">IF($A138="","",+Rates!N132)</f>
        <v>120</v>
      </c>
      <c r="I138" s="184">
        <f ca="1">IF($A138="","",+ROUND(Rates!O132,2))</f>
        <v>2503.6</v>
      </c>
      <c r="J138" s="184">
        <f ca="1">IF($A138="","",IF(F138=0,0,+ROUND(Rates!P132,2)))</f>
        <v>1318.4</v>
      </c>
      <c r="K138" s="184">
        <f ca="1">IF($A138="","",+ROUND(Rates!X132,2))</f>
        <v>731.1</v>
      </c>
      <c r="L138" s="184">
        <f ca="1">IF($A138="","",+ROUND(Rates!Q132,2))</f>
        <v>140.80000000000001</v>
      </c>
      <c r="M138" s="185">
        <f ca="1">IF($A138="","",+ROUND(Rates!R132,2))</f>
        <v>4813.8999999999996</v>
      </c>
      <c r="N138" s="186">
        <f t="shared" ca="1" si="50"/>
        <v>53921.568627450972</v>
      </c>
      <c r="O138" s="187">
        <f t="shared" ca="1" si="31"/>
        <v>0.42126225490196079</v>
      </c>
      <c r="P138" s="188">
        <f ca="1">IFERROR(SUM(INDIRECT("'FAF &amp; DDs'!"&amp;(ADDRESS(MATCH($B138-$E138,'FAF &amp; DDs'!$Q:$Q,0),COLUMN($R$1),2,1))&amp;":"&amp;(ADDRESS(MATCH($B138-1,'FAF &amp; DDs'!$Q:$Q,0),COLUMN($R$1),1))))/E138*30,-1)</f>
        <v>1250.9999999999998</v>
      </c>
      <c r="Q138" s="188">
        <f ca="1">IFERROR(SUM(INDIRECT("'FAF &amp; DDs'!"&amp;(ADDRESS(MATCH($B138-$E138,'FAF &amp; DDs'!$Q:$Q,0),COLUMN($S$1),2,1))&amp;":"&amp;(ADDRESS(MATCH($B138-1,'FAF &amp; DDs'!$Q:$Q,0),COLUMN($S$1),1))))/E138*30,-1)</f>
        <v>0</v>
      </c>
      <c r="R138" s="176">
        <f t="shared" ca="1" si="39"/>
        <v>6</v>
      </c>
      <c r="S138">
        <f ca="1">IF(ROW()&gt;MIN(($AB$8,$AB$7))+11,0,MATCH(V138,INDIRECT("'Reading History'!B"&amp;$Y$5&amp;":b"&amp;$Y$6),-1))</f>
        <v>127</v>
      </c>
      <c r="U138" s="152">
        <f t="shared" ca="1" si="46"/>
        <v>40189</v>
      </c>
      <c r="V138" s="4">
        <f t="shared" ca="1" si="51"/>
        <v>40189</v>
      </c>
      <c r="W138">
        <f t="shared" ca="1" si="33"/>
        <v>0</v>
      </c>
      <c r="X138">
        <f t="shared" ca="1" si="47"/>
        <v>34</v>
      </c>
      <c r="AB138" s="176">
        <f t="shared" ca="1" si="41"/>
        <v>0</v>
      </c>
    </row>
    <row r="139" spans="1:28" ht="15" customHeight="1" x14ac:dyDescent="0.2">
      <c r="A139" s="2" t="str">
        <f t="shared" ca="1" si="42"/>
        <v>Electric</v>
      </c>
      <c r="B139" s="4">
        <f t="shared" ca="1" si="35"/>
        <v>40155</v>
      </c>
      <c r="C139" s="179" t="str">
        <f t="shared" ca="1" si="43"/>
        <v>Actual</v>
      </c>
      <c r="D139" s="17">
        <f t="shared" ca="1" si="48"/>
        <v>8636</v>
      </c>
      <c r="E139" s="17">
        <f t="shared" ca="1" si="44"/>
        <v>29</v>
      </c>
      <c r="F139" s="182">
        <f t="shared" ca="1" si="49"/>
        <v>37600</v>
      </c>
      <c r="G139" s="183">
        <f t="shared" ca="1" si="45"/>
        <v>114</v>
      </c>
      <c r="H139" s="184">
        <f ca="1">IF($A139="","",+Rates!N133)</f>
        <v>120</v>
      </c>
      <c r="I139" s="184">
        <f ca="1">IF($A139="","",+ROUND(Rates!O133,2))</f>
        <v>2139.44</v>
      </c>
      <c r="J139" s="184">
        <f ca="1">IF($A139="","",IF(F139=0,0,+ROUND(Rates!P133,2)))</f>
        <v>1174.2</v>
      </c>
      <c r="K139" s="184">
        <f ca="1">IF($A139="","",+ROUND(Rates!X133,2))</f>
        <v>790.62</v>
      </c>
      <c r="L139" s="184">
        <f ca="1">IF($A139="","",+ROUND(Rates!Q133,2))</f>
        <v>120.32</v>
      </c>
      <c r="M139" s="185">
        <f ca="1">IF($A139="","",+ROUND(Rates!R133,2))</f>
        <v>4344.58</v>
      </c>
      <c r="N139" s="186">
        <f t="shared" ca="1" si="50"/>
        <v>54022.988505747126</v>
      </c>
      <c r="O139" s="187">
        <f t="shared" ca="1" si="31"/>
        <v>0.4738858640855011</v>
      </c>
      <c r="P139" s="188">
        <f ca="1">IFERROR(SUM(INDIRECT("'FAF &amp; DDs'!"&amp;(ADDRESS(MATCH($B139-$E139,'FAF &amp; DDs'!$Q:$Q,0),COLUMN($R$1),2,1))&amp;":"&amp;(ADDRESS(MATCH($B139-1,'FAF &amp; DDs'!$Q:$Q,0),COLUMN($R$1),1))))/E139*30,-1)</f>
        <v>639.51724137931035</v>
      </c>
      <c r="Q139" s="188">
        <f ca="1">IFERROR(SUM(INDIRECT("'FAF &amp; DDs'!"&amp;(ADDRESS(MATCH($B139-$E139,'FAF &amp; DDs'!$Q:$Q,0),COLUMN($S$1),2,1))&amp;":"&amp;(ADDRESS(MATCH($B139-1,'FAF &amp; DDs'!$Q:$Q,0),COLUMN($S$1),1))))/E139*30,-1)</f>
        <v>0.72413793103448276</v>
      </c>
      <c r="R139" s="176">
        <f t="shared" ca="1" si="39"/>
        <v>6</v>
      </c>
      <c r="S139">
        <f ca="1">IF(ROW()&gt;MIN(($AB$8,$AB$7))+11,0,MATCH(V139,INDIRECT("'Reading History'!B"&amp;$Y$5&amp;":b"&amp;$Y$6),-1))</f>
        <v>128</v>
      </c>
      <c r="U139" s="152">
        <f t="shared" ca="1" si="46"/>
        <v>40155</v>
      </c>
      <c r="V139" s="4">
        <f t="shared" ca="1" si="51"/>
        <v>40155</v>
      </c>
      <c r="W139">
        <f t="shared" ca="1" si="33"/>
        <v>0</v>
      </c>
      <c r="X139">
        <f t="shared" ca="1" si="47"/>
        <v>29</v>
      </c>
      <c r="AB139" s="176">
        <f t="shared" ca="1" si="41"/>
        <v>0</v>
      </c>
    </row>
    <row r="140" spans="1:28" ht="15" customHeight="1" x14ac:dyDescent="0.2">
      <c r="A140" s="2" t="str">
        <f t="shared" ref="A140:A171" ca="1" si="52">IF(S140=0,"",INDIRECT("'Reading History'!A"&amp;$S140+$Y$5-1))</f>
        <v>Electric</v>
      </c>
      <c r="B140" s="4">
        <f t="shared" ca="1" si="35"/>
        <v>40126</v>
      </c>
      <c r="C140" s="179" t="str">
        <f t="shared" ref="C140:C171" ca="1" si="53">IF($A140="","",IF(RIGHT(INDIRECT("'Reading History'!E"&amp;$S140+$Y$5-1),4)="Read",LEFT(INDIRECT("'Reading History'!E"&amp;$S140+$Y$5-1),LEN(INDIRECT("'Reading History'!E"&amp;$S140+$Y$5-1))-5),INDIRECT("'Reading History'!E"&amp;$S140+$Y$5-1)))</f>
        <v>Actual</v>
      </c>
      <c r="D140" s="17">
        <f t="shared" ca="1" si="48"/>
        <v>8448</v>
      </c>
      <c r="E140" s="17">
        <f t="shared" ref="E140:E171" ca="1" si="54">IF($A140="","",IF(ISNUMBER(D141),B140-B141,INDIRECT("'Reading History'!H"&amp;$S140+$Y$5-1)))</f>
        <v>33</v>
      </c>
      <c r="F140" s="182">
        <f t="shared" ca="1" si="49"/>
        <v>41200</v>
      </c>
      <c r="G140" s="183">
        <f t="shared" ref="G140:G171" ca="1" si="55">IF($A140="","",INDIRECT("'Reading History'!I"&amp;$S140+$Y$4-1))</f>
        <v>128</v>
      </c>
      <c r="H140" s="184">
        <f ca="1">IF($A140="","",+Rates!N134)</f>
        <v>120</v>
      </c>
      <c r="I140" s="184">
        <f ca="1">IF($A140="","",+ROUND(Rates!O134,2))</f>
        <v>2344.2800000000002</v>
      </c>
      <c r="J140" s="184">
        <f ca="1">IF($A140="","",IF(F140=0,0,+ROUND(Rates!P134,2)))</f>
        <v>1318.4</v>
      </c>
      <c r="K140" s="184">
        <f ca="1">IF($A140="","",+ROUND(Rates!X134,2))</f>
        <v>723.22</v>
      </c>
      <c r="L140" s="184">
        <f ca="1">IF($A140="","",+ROUND(Rates!Q134,2))</f>
        <v>131.84</v>
      </c>
      <c r="M140" s="185">
        <f ca="1">IF($A140="","",+ROUND(Rates!R134,2))</f>
        <v>4637.74</v>
      </c>
      <c r="N140" s="186">
        <f t="shared" ca="1" si="50"/>
        <v>52020.202020202021</v>
      </c>
      <c r="O140" s="187">
        <f t="shared" ref="O140:O203" ca="1" si="56">IF(OR($A140="",$G140=0,$E140=0),"",F140/(G140*E140*24))</f>
        <v>0.40640782828282829</v>
      </c>
      <c r="P140" s="188">
        <f ca="1">IFERROR(SUM(INDIRECT("'FAF &amp; DDs'!"&amp;(ADDRESS(MATCH($B140-$E140,'FAF &amp; DDs'!$Q:$Q,0),COLUMN($R$1),2,1))&amp;":"&amp;(ADDRESS(MATCH($B140-1,'FAF &amp; DDs'!$Q:$Q,0),COLUMN($R$1),1))))/E140*30,-1)</f>
        <v>423.5454545454545</v>
      </c>
      <c r="Q140" s="188">
        <f ca="1">IFERROR(SUM(INDIRECT("'FAF &amp; DDs'!"&amp;(ADDRESS(MATCH($B140-$E140,'FAF &amp; DDs'!$Q:$Q,0),COLUMN($S$1),2,1))&amp;":"&amp;(ADDRESS(MATCH($B140-1,'FAF &amp; DDs'!$Q:$Q,0),COLUMN($S$1),1))))/E140*30,-1)</f>
        <v>8.1818181818181817</v>
      </c>
      <c r="R140" s="176">
        <f t="shared" ca="1" si="39"/>
        <v>6</v>
      </c>
      <c r="S140">
        <f ca="1">IF(ROW()&gt;MIN(($AB$8,$AB$7))+11,0,MATCH(V140,INDIRECT("'Reading History'!B"&amp;$Y$5&amp;":b"&amp;$Y$6),-1))</f>
        <v>129</v>
      </c>
      <c r="U140" s="152">
        <f t="shared" ref="U140:U171" ca="1" si="57">IF(VALUE(INDIRECT("'Reading History'!c"&amp;$Y$5+S139))&gt;$R$8,DATE(YEAR(V140-ABS(AB140)),MONTH(V140-ABS(AB140)),VLOOKUP(VALUE(R140),AMRReadDates,2)),V140)</f>
        <v>40126</v>
      </c>
      <c r="V140" s="4">
        <f t="shared" ca="1" si="51"/>
        <v>40126</v>
      </c>
      <c r="W140">
        <f t="shared" ref="W140:W203" ca="1" si="58">+V140-U140</f>
        <v>0</v>
      </c>
      <c r="X140">
        <f t="shared" ref="X140:X171" ca="1" si="59">+INDIRECT("'Reading History'!H"&amp;$S140+$Y$5-1)</f>
        <v>33</v>
      </c>
      <c r="AB140" s="176">
        <f t="shared" ca="1" si="41"/>
        <v>0</v>
      </c>
    </row>
    <row r="141" spans="1:28" ht="15" customHeight="1" x14ac:dyDescent="0.2">
      <c r="A141" s="2" t="str">
        <f t="shared" ca="1" si="52"/>
        <v>Electric</v>
      </c>
      <c r="B141" s="4">
        <f t="shared" ref="B141:B204" ca="1" si="60">IF(OR(W141&gt;7,W141&lt;0),V141,U141)</f>
        <v>40093</v>
      </c>
      <c r="C141" s="179" t="str">
        <f t="shared" ca="1" si="53"/>
        <v>Actual</v>
      </c>
      <c r="D141" s="17">
        <f t="shared" ref="D141:D172" ca="1" si="61">IF($A141="","",INDIRECT("'Reading History'!G"&amp;$S141+$Y$5-1))</f>
        <v>8242</v>
      </c>
      <c r="E141" s="17">
        <f t="shared" ca="1" si="54"/>
        <v>29</v>
      </c>
      <c r="F141" s="182">
        <f t="shared" ref="F141:F172" ca="1" si="62">IF($A141="","",INDIRECT("'Reading History'!I"&amp;$S141+$Y$5-1))</f>
        <v>41600</v>
      </c>
      <c r="G141" s="183">
        <f t="shared" ca="1" si="55"/>
        <v>148</v>
      </c>
      <c r="H141" s="184">
        <f ca="1">IF($A141="","",+Rates!N135)</f>
        <v>120</v>
      </c>
      <c r="I141" s="184">
        <f ca="1">IF($A141="","",+ROUND(Rates!O135,2))</f>
        <v>2445.36</v>
      </c>
      <c r="J141" s="184">
        <f ca="1">IF($A141="","",IF(F141=0,0,+ROUND(Rates!P135,2)))</f>
        <v>1590.13</v>
      </c>
      <c r="K141" s="184">
        <f ca="1">IF($A141="","",+ROUND(Rates!X135,2))</f>
        <v>926.1</v>
      </c>
      <c r="L141" s="184">
        <f ca="1">IF($A141="","",+ROUND(Rates!Q135,2))</f>
        <v>133.12</v>
      </c>
      <c r="M141" s="185">
        <f ca="1">IF($A141="","",+ROUND(Rates!R135,2))</f>
        <v>5214.71</v>
      </c>
      <c r="N141" s="186">
        <f t="shared" ref="N141:N172" ca="1" si="63">IFERROR(IF(C142="Estimate",+(F141+F142)/(E141+E142),IF(C141="Estimate",+(F141+F140)/(E141+E140),+F141/E141))/24*1000,-1)</f>
        <v>59770.114942528744</v>
      </c>
      <c r="O141" s="187">
        <f t="shared" ca="1" si="56"/>
        <v>0.40385212799005904</v>
      </c>
      <c r="P141" s="188">
        <f ca="1">IFERROR(SUM(INDIRECT("'FAF &amp; DDs'!"&amp;(ADDRESS(MATCH($B141-$E141,'FAF &amp; DDs'!$Q:$Q,0),COLUMN($R$1),2,1))&amp;":"&amp;(ADDRESS(MATCH($B141-1,'FAF &amp; DDs'!$Q:$Q,0),COLUMN($R$1),1))))/E141*30,-1)</f>
        <v>145.86206896551721</v>
      </c>
      <c r="Q141" s="188">
        <f ca="1">IFERROR(SUM(INDIRECT("'FAF &amp; DDs'!"&amp;(ADDRESS(MATCH($B141-$E141,'FAF &amp; DDs'!$Q:$Q,0),COLUMN($S$1),2,1))&amp;":"&amp;(ADDRESS(MATCH($B141-1,'FAF &amp; DDs'!$Q:$Q,0),COLUMN($S$1),1))))/E141*30,-1)</f>
        <v>95.586206896551715</v>
      </c>
      <c r="R141" s="176">
        <f t="shared" ref="R141:R204" ca="1" si="64">VLOOKUP(V141+8,$AC$12:$AD$23,2)</f>
        <v>6</v>
      </c>
      <c r="S141">
        <f ca="1">IF(ROW()&gt;MIN(($AB$8,$AB$7))+11,0,MATCH(V141,INDIRECT("'Reading History'!B"&amp;$Y$5&amp;":b"&amp;$Y$6),-1))</f>
        <v>130</v>
      </c>
      <c r="U141" s="152">
        <f t="shared" ca="1" si="57"/>
        <v>40093</v>
      </c>
      <c r="V141" s="4">
        <f t="shared" ref="V141:V172" ca="1" si="65">INT(INDIRECT("'Reading History'!B"&amp;$Y$5+S140))</f>
        <v>40093</v>
      </c>
      <c r="W141">
        <f t="shared" ca="1" si="58"/>
        <v>0</v>
      </c>
      <c r="X141">
        <f t="shared" ca="1" si="59"/>
        <v>29</v>
      </c>
      <c r="AB141" s="176">
        <f t="shared" ref="AB141:AB204" ca="1" si="66">IF(VALUE(R141)&lt;6,6,IF(AND(VALUE(R141)&gt;16,VALUE(R141)&lt;&gt;81),-6,0))</f>
        <v>0</v>
      </c>
    </row>
    <row r="142" spans="1:28" ht="15" customHeight="1" x14ac:dyDescent="0.2">
      <c r="A142" s="2" t="str">
        <f t="shared" ca="1" si="52"/>
        <v>Electric</v>
      </c>
      <c r="B142" s="4">
        <f t="shared" ca="1" si="60"/>
        <v>40064</v>
      </c>
      <c r="C142" s="179" t="str">
        <f t="shared" ca="1" si="53"/>
        <v>Actual</v>
      </c>
      <c r="D142" s="17">
        <f t="shared" ca="1" si="61"/>
        <v>8034</v>
      </c>
      <c r="E142" s="17">
        <f t="shared" ca="1" si="54"/>
        <v>33</v>
      </c>
      <c r="F142" s="182">
        <f t="shared" ca="1" si="62"/>
        <v>53200</v>
      </c>
      <c r="G142" s="183">
        <f t="shared" ca="1" si="55"/>
        <v>148</v>
      </c>
      <c r="H142" s="184">
        <f ca="1">IF($A142="","",+Rates!N136)</f>
        <v>120</v>
      </c>
      <c r="I142" s="184">
        <f ca="1">IF($A142="","",+ROUND(Rates!O136,2))</f>
        <v>3442.04</v>
      </c>
      <c r="J142" s="184">
        <f ca="1">IF($A142="","",IF(F142=0,0,+ROUND(Rates!P136,2)))</f>
        <v>1796.72</v>
      </c>
      <c r="K142" s="184">
        <f ca="1">IF($A142="","",+ROUND(Rates!X136,2))</f>
        <v>1302.07</v>
      </c>
      <c r="L142" s="184">
        <f ca="1">IF($A142="","",+ROUND(Rates!Q136,2))</f>
        <v>170.24</v>
      </c>
      <c r="M142" s="185">
        <f ca="1">IF($A142="","",+ROUND(Rates!R136,2))</f>
        <v>6831.07</v>
      </c>
      <c r="N142" s="186">
        <f t="shared" ca="1" si="63"/>
        <v>67171.717171717159</v>
      </c>
      <c r="O142" s="187">
        <f t="shared" ca="1" si="56"/>
        <v>0.45386295386295389</v>
      </c>
      <c r="P142" s="188">
        <f ca="1">IFERROR(SUM(INDIRECT("'FAF &amp; DDs'!"&amp;(ADDRESS(MATCH($B142-$E142,'FAF &amp; DDs'!$Q:$Q,0),COLUMN($R$1),2,1))&amp;":"&amp;(ADDRESS(MATCH($B142-1,'FAF &amp; DDs'!$Q:$Q,0),COLUMN($R$1),1))))/E142*30,-1)</f>
        <v>45.909090909090907</v>
      </c>
      <c r="Q142" s="188">
        <f ca="1">IFERROR(SUM(INDIRECT("'FAF &amp; DDs'!"&amp;(ADDRESS(MATCH($B142-$E142,'FAF &amp; DDs'!$Q:$Q,0),COLUMN($S$1),2,1))&amp;":"&amp;(ADDRESS(MATCH($B142-1,'FAF &amp; DDs'!$Q:$Q,0),COLUMN($S$1),1))))/E142*30,-1)</f>
        <v>213.27272727272725</v>
      </c>
      <c r="R142" s="176">
        <f t="shared" ca="1" si="64"/>
        <v>6</v>
      </c>
      <c r="S142">
        <f ca="1">IF(ROW()&gt;MIN(($AB$8,$AB$7))+11,0,MATCH(V142,INDIRECT("'Reading History'!B"&amp;$Y$5&amp;":b"&amp;$Y$6),-1))</f>
        <v>131</v>
      </c>
      <c r="U142" s="152">
        <f t="shared" ca="1" si="57"/>
        <v>40064</v>
      </c>
      <c r="V142" s="4">
        <f t="shared" ca="1" si="65"/>
        <v>40064</v>
      </c>
      <c r="W142">
        <f t="shared" ca="1" si="58"/>
        <v>0</v>
      </c>
      <c r="X142">
        <f t="shared" ca="1" si="59"/>
        <v>33</v>
      </c>
      <c r="AB142" s="176">
        <f t="shared" ca="1" si="66"/>
        <v>0</v>
      </c>
    </row>
    <row r="143" spans="1:28" ht="15" customHeight="1" x14ac:dyDescent="0.2">
      <c r="A143" s="2" t="str">
        <f t="shared" ca="1" si="52"/>
        <v>Electric</v>
      </c>
      <c r="B143" s="4">
        <f t="shared" ca="1" si="60"/>
        <v>40031</v>
      </c>
      <c r="C143" s="179" t="str">
        <f t="shared" ca="1" si="53"/>
        <v>Actual</v>
      </c>
      <c r="D143" s="17">
        <f t="shared" ca="1" si="61"/>
        <v>7768</v>
      </c>
      <c r="E143" s="17">
        <f t="shared" ca="1" si="54"/>
        <v>29</v>
      </c>
      <c r="F143" s="182">
        <f t="shared" ca="1" si="62"/>
        <v>49600</v>
      </c>
      <c r="G143" s="183">
        <f t="shared" ca="1" si="55"/>
        <v>152</v>
      </c>
      <c r="H143" s="184">
        <f ca="1">IF($A143="","",+Rates!N137)</f>
        <v>120</v>
      </c>
      <c r="I143" s="184">
        <f ca="1">IF($A143="","",+ROUND(Rates!O137,2))</f>
        <v>3209.12</v>
      </c>
      <c r="J143" s="184">
        <f ca="1">IF($A143="","",IF(F143=0,0,+ROUND(Rates!P137,2)))</f>
        <v>1845.28</v>
      </c>
      <c r="K143" s="184">
        <f ca="1">IF($A143="","",+ROUND(Rates!X137,2))</f>
        <v>929.8</v>
      </c>
      <c r="L143" s="184">
        <f ca="1">IF($A143="","",+ROUND(Rates!Q137,2))</f>
        <v>158.72</v>
      </c>
      <c r="M143" s="185">
        <f ca="1">IF($A143="","",+ROUND(Rates!R137,2))</f>
        <v>6262.92</v>
      </c>
      <c r="N143" s="186">
        <f t="shared" ca="1" si="63"/>
        <v>71264.367816091966</v>
      </c>
      <c r="O143" s="187">
        <f t="shared" ca="1" si="56"/>
        <v>0.4688445251058681</v>
      </c>
      <c r="P143" s="188">
        <f ca="1">IFERROR(SUM(INDIRECT("'FAF &amp; DDs'!"&amp;(ADDRESS(MATCH($B143-$E143,'FAF &amp; DDs'!$Q:$Q,0),COLUMN($R$1),2,1))&amp;":"&amp;(ADDRESS(MATCH($B143-1,'FAF &amp; DDs'!$Q:$Q,0),COLUMN($R$1),1))))/E143*30,-1)</f>
        <v>20.896551724137932</v>
      </c>
      <c r="Q143" s="188">
        <f ca="1">IFERROR(SUM(INDIRECT("'FAF &amp; DDs'!"&amp;(ADDRESS(MATCH($B143-$E143,'FAF &amp; DDs'!$Q:$Q,0),COLUMN($S$1),2,1))&amp;":"&amp;(ADDRESS(MATCH($B143-1,'FAF &amp; DDs'!$Q:$Q,0),COLUMN($S$1),1))))/E143*30,-1)</f>
        <v>224.79310344827584</v>
      </c>
      <c r="R143" s="176">
        <f t="shared" ca="1" si="64"/>
        <v>6</v>
      </c>
      <c r="S143">
        <f ca="1">IF(ROW()&gt;MIN(($AB$8,$AB$7))+11,0,MATCH(V143,INDIRECT("'Reading History'!B"&amp;$Y$5&amp;":b"&amp;$Y$6),-1))</f>
        <v>132</v>
      </c>
      <c r="U143" s="152">
        <f t="shared" ca="1" si="57"/>
        <v>40031</v>
      </c>
      <c r="V143" s="4">
        <f t="shared" ca="1" si="65"/>
        <v>40031</v>
      </c>
      <c r="W143">
        <f t="shared" ca="1" si="58"/>
        <v>0</v>
      </c>
      <c r="X143">
        <f t="shared" ca="1" si="59"/>
        <v>29</v>
      </c>
      <c r="AB143" s="176">
        <f t="shared" ca="1" si="66"/>
        <v>0</v>
      </c>
    </row>
    <row r="144" spans="1:28" ht="15" customHeight="1" x14ac:dyDescent="0.2">
      <c r="A144" s="2" t="str">
        <f t="shared" ca="1" si="52"/>
        <v>Electric</v>
      </c>
      <c r="B144" s="4">
        <f t="shared" ca="1" si="60"/>
        <v>40002</v>
      </c>
      <c r="C144" s="179" t="str">
        <f t="shared" ca="1" si="53"/>
        <v>Actual</v>
      </c>
      <c r="D144" s="17">
        <f t="shared" ca="1" si="61"/>
        <v>7520</v>
      </c>
      <c r="E144" s="17">
        <f t="shared" ca="1" si="54"/>
        <v>30</v>
      </c>
      <c r="F144" s="182">
        <f t="shared" ca="1" si="62"/>
        <v>53200</v>
      </c>
      <c r="G144" s="183">
        <f t="shared" ca="1" si="55"/>
        <v>162</v>
      </c>
      <c r="H144" s="184">
        <f ca="1">IF($A144="","",+Rates!N138)</f>
        <v>120</v>
      </c>
      <c r="I144" s="184">
        <f ca="1">IF($A144="","",+ROUND(Rates!O138,2))</f>
        <v>3442.04</v>
      </c>
      <c r="J144" s="184">
        <f ca="1">IF($A144="","",IF(F144=0,0,+ROUND(Rates!P138,2)))</f>
        <v>1966.68</v>
      </c>
      <c r="K144" s="184">
        <f ca="1">IF($A144="","",+ROUND(Rates!X138,2))</f>
        <v>1265.57</v>
      </c>
      <c r="L144" s="184">
        <f ca="1">IF($A144="","",+ROUND(Rates!Q138,2))</f>
        <v>170.24</v>
      </c>
      <c r="M144" s="185">
        <f ca="1">IF($A144="","",+ROUND(Rates!R138,2))</f>
        <v>6964.53</v>
      </c>
      <c r="N144" s="186">
        <f t="shared" ca="1" si="63"/>
        <v>73888.888888888891</v>
      </c>
      <c r="O144" s="187">
        <f t="shared" ca="1" si="56"/>
        <v>0.45610425240054869</v>
      </c>
      <c r="P144" s="188">
        <f ca="1">IFERROR(SUM(INDIRECT("'FAF &amp; DDs'!"&amp;(ADDRESS(MATCH($B144-$E144,'FAF &amp; DDs'!$Q:$Q,0),COLUMN($R$1),2,1))&amp;":"&amp;(ADDRESS(MATCH($B144-1,'FAF &amp; DDs'!$Q:$Q,0),COLUMN($R$1),1))))/E144*30,-1)</f>
        <v>9.3999999999999986</v>
      </c>
      <c r="Q144" s="188">
        <f ca="1">IFERROR(SUM(INDIRECT("'FAF &amp; DDs'!"&amp;(ADDRESS(MATCH($B144-$E144,'FAF &amp; DDs'!$Q:$Q,0),COLUMN($S$1),2,1))&amp;":"&amp;(ADDRESS(MATCH($B144-1,'FAF &amp; DDs'!$Q:$Q,0),COLUMN($S$1),1))))/E144*30,-1)</f>
        <v>299.90000000000003</v>
      </c>
      <c r="R144" s="176">
        <f t="shared" ca="1" si="64"/>
        <v>6</v>
      </c>
      <c r="S144">
        <f ca="1">IF(ROW()&gt;MIN(($AB$8,$AB$7))+11,0,MATCH(V144,INDIRECT("'Reading History'!B"&amp;$Y$5&amp;":b"&amp;$Y$6),-1))</f>
        <v>133</v>
      </c>
      <c r="U144" s="152">
        <f t="shared" ca="1" si="57"/>
        <v>40002</v>
      </c>
      <c r="V144" s="4">
        <f t="shared" ca="1" si="65"/>
        <v>40002</v>
      </c>
      <c r="W144">
        <f t="shared" ca="1" si="58"/>
        <v>0</v>
      </c>
      <c r="X144">
        <f t="shared" ca="1" si="59"/>
        <v>30</v>
      </c>
      <c r="AB144" s="176">
        <f t="shared" ca="1" si="66"/>
        <v>0</v>
      </c>
    </row>
    <row r="145" spans="1:28" ht="15" customHeight="1" x14ac:dyDescent="0.2">
      <c r="A145" s="2" t="str">
        <f t="shared" ca="1" si="52"/>
        <v>Electric</v>
      </c>
      <c r="B145" s="4">
        <f t="shared" ca="1" si="60"/>
        <v>39972</v>
      </c>
      <c r="C145" s="179" t="str">
        <f t="shared" ca="1" si="53"/>
        <v>Actual</v>
      </c>
      <c r="D145" s="17">
        <f t="shared" ca="1" si="61"/>
        <v>7254</v>
      </c>
      <c r="E145" s="17">
        <f t="shared" ca="1" si="54"/>
        <v>31</v>
      </c>
      <c r="F145" s="182">
        <f t="shared" ca="1" si="62"/>
        <v>44000</v>
      </c>
      <c r="G145" s="183">
        <f t="shared" ca="1" si="55"/>
        <v>148</v>
      </c>
      <c r="H145" s="184">
        <f ca="1">IF($A145="","",+Rates!N139)</f>
        <v>120</v>
      </c>
      <c r="I145" s="184">
        <f ca="1">IF($A145="","",+ROUND(Rates!O139,2))</f>
        <v>2769.31</v>
      </c>
      <c r="J145" s="184">
        <f ca="1">IF($A145="","",IF(F145=0,0,+ROUND(Rates!P139,2)))</f>
        <v>1735.23</v>
      </c>
      <c r="K145" s="184">
        <f ca="1">IF($A145="","",+ROUND(Rates!X139,2))</f>
        <v>1254.8800000000001</v>
      </c>
      <c r="L145" s="184">
        <f ca="1">IF($A145="","",+ROUND(Rates!Q139,2))</f>
        <v>140.80000000000001</v>
      </c>
      <c r="M145" s="185">
        <f ca="1">IF($A145="","",+ROUND(Rates!R139,2))</f>
        <v>6020.22</v>
      </c>
      <c r="N145" s="186">
        <f t="shared" ca="1" si="63"/>
        <v>59139.784946236556</v>
      </c>
      <c r="O145" s="187">
        <f t="shared" ca="1" si="56"/>
        <v>0.39959314152862541</v>
      </c>
      <c r="P145" s="188">
        <f ca="1">IFERROR(SUM(INDIRECT("'FAF &amp; DDs'!"&amp;(ADDRESS(MATCH($B145-$E145,'FAF &amp; DDs'!$Q:$Q,0),COLUMN($R$1),2,1))&amp;":"&amp;(ADDRESS(MATCH($B145-1,'FAF &amp; DDs'!$Q:$Q,0),COLUMN($R$1),1))))/E145*30,-1)</f>
        <v>91.451612903225822</v>
      </c>
      <c r="Q145" s="188">
        <f ca="1">IFERROR(SUM(INDIRECT("'FAF &amp; DDs'!"&amp;(ADDRESS(MATCH($B145-$E145,'FAF &amp; DDs'!$Q:$Q,0),COLUMN($S$1),2,1))&amp;":"&amp;(ADDRESS(MATCH($B145-1,'FAF &amp; DDs'!$Q:$Q,0),COLUMN($S$1),1))))/E145*30,-1)</f>
        <v>133.83870967741933</v>
      </c>
      <c r="R145" s="176">
        <f t="shared" ca="1" si="64"/>
        <v>6</v>
      </c>
      <c r="S145">
        <f ca="1">IF(ROW()&gt;MIN(($AB$8,$AB$7))+11,0,MATCH(V145,INDIRECT("'Reading History'!B"&amp;$Y$5&amp;":b"&amp;$Y$6),-1))</f>
        <v>134</v>
      </c>
      <c r="U145" s="152">
        <f t="shared" ca="1" si="57"/>
        <v>39972</v>
      </c>
      <c r="V145" s="4">
        <f t="shared" ca="1" si="65"/>
        <v>39972</v>
      </c>
      <c r="W145">
        <f t="shared" ca="1" si="58"/>
        <v>0</v>
      </c>
      <c r="X145">
        <f t="shared" ca="1" si="59"/>
        <v>31</v>
      </c>
      <c r="AB145" s="176">
        <f t="shared" ca="1" si="66"/>
        <v>0</v>
      </c>
    </row>
    <row r="146" spans="1:28" ht="15" customHeight="1" x14ac:dyDescent="0.2">
      <c r="A146" s="2" t="str">
        <f t="shared" ca="1" si="52"/>
        <v>Electric</v>
      </c>
      <c r="B146" s="4">
        <f t="shared" ca="1" si="60"/>
        <v>39941</v>
      </c>
      <c r="C146" s="179" t="str">
        <f t="shared" ca="1" si="53"/>
        <v>Actual</v>
      </c>
      <c r="D146" s="17">
        <f t="shared" ca="1" si="61"/>
        <v>7034</v>
      </c>
      <c r="E146" s="17">
        <f t="shared" ca="1" si="54"/>
        <v>29</v>
      </c>
      <c r="F146" s="182">
        <f t="shared" ca="1" si="62"/>
        <v>40600</v>
      </c>
      <c r="G146" s="183">
        <f t="shared" ca="1" si="55"/>
        <v>134</v>
      </c>
      <c r="H146" s="184">
        <f ca="1">IF($A146="","",+Rates!N140)</f>
        <v>120</v>
      </c>
      <c r="I146" s="184">
        <f ca="1">IF($A146="","",+ROUND(Rates!O140,2))</f>
        <v>2310.14</v>
      </c>
      <c r="J146" s="184">
        <f ca="1">IF($A146="","",IF(F146=0,0,+ROUND(Rates!P140,2)))</f>
        <v>1380.2</v>
      </c>
      <c r="K146" s="184">
        <f ca="1">IF($A146="","",+ROUND(Rates!X140,2))</f>
        <v>771.28</v>
      </c>
      <c r="L146" s="184">
        <f ca="1">IF($A146="","",+ROUND(Rates!Q140,2))</f>
        <v>129.91999999999999</v>
      </c>
      <c r="M146" s="185">
        <f ca="1">IF($A146="","",+ROUND(Rates!R140,2))</f>
        <v>4711.54</v>
      </c>
      <c r="N146" s="186">
        <f t="shared" ca="1" si="63"/>
        <v>58333.333333333336</v>
      </c>
      <c r="O146" s="187">
        <f t="shared" ca="1" si="56"/>
        <v>0.43532338308457713</v>
      </c>
      <c r="P146" s="188">
        <f ca="1">IFERROR(SUM(INDIRECT("'FAF &amp; DDs'!"&amp;(ADDRESS(MATCH($B146-$E146,'FAF &amp; DDs'!$Q:$Q,0),COLUMN($R$1),2,1))&amp;":"&amp;(ADDRESS(MATCH($B146-1,'FAF &amp; DDs'!$Q:$Q,0),COLUMN($R$1),1))))/E146*30,-1)</f>
        <v>279.10344827586198</v>
      </c>
      <c r="Q146" s="188">
        <f ca="1">IFERROR(SUM(INDIRECT("'FAF &amp; DDs'!"&amp;(ADDRESS(MATCH($B146-$E146,'FAF &amp; DDs'!$Q:$Q,0),COLUMN($S$1),2,1))&amp;":"&amp;(ADDRESS(MATCH($B146-1,'FAF &amp; DDs'!$Q:$Q,0),COLUMN($S$1),1))))/E146*30,-1)</f>
        <v>54.000000000000007</v>
      </c>
      <c r="R146" s="176">
        <f t="shared" ca="1" si="64"/>
        <v>6</v>
      </c>
      <c r="S146">
        <f ca="1">IF(ROW()&gt;MIN(($AB$8,$AB$7))+11,0,MATCH(V146,INDIRECT("'Reading History'!B"&amp;$Y$5&amp;":b"&amp;$Y$6),-1))</f>
        <v>135</v>
      </c>
      <c r="U146" s="152">
        <f t="shared" ca="1" si="57"/>
        <v>39941</v>
      </c>
      <c r="V146" s="4">
        <f t="shared" ca="1" si="65"/>
        <v>39941</v>
      </c>
      <c r="W146">
        <f t="shared" ca="1" si="58"/>
        <v>0</v>
      </c>
      <c r="X146">
        <f t="shared" ca="1" si="59"/>
        <v>29</v>
      </c>
      <c r="AB146" s="176">
        <f t="shared" ca="1" si="66"/>
        <v>0</v>
      </c>
    </row>
    <row r="147" spans="1:28" ht="15" customHeight="1" x14ac:dyDescent="0.2">
      <c r="A147" s="2" t="str">
        <f t="shared" ca="1" si="52"/>
        <v>Electric</v>
      </c>
      <c r="B147" s="4">
        <f t="shared" ca="1" si="60"/>
        <v>39912</v>
      </c>
      <c r="C147" s="179" t="str">
        <f t="shared" ca="1" si="53"/>
        <v>Actual</v>
      </c>
      <c r="D147" s="17">
        <f t="shared" ca="1" si="61"/>
        <v>6831</v>
      </c>
      <c r="E147" s="17">
        <f t="shared" ca="1" si="54"/>
        <v>30</v>
      </c>
      <c r="F147" s="182">
        <f t="shared" ca="1" si="62"/>
        <v>41800</v>
      </c>
      <c r="G147" s="183">
        <f t="shared" ca="1" si="55"/>
        <v>134</v>
      </c>
      <c r="H147" s="184">
        <f ca="1">IF($A147="","",+Rates!N141)</f>
        <v>120</v>
      </c>
      <c r="I147" s="184">
        <f ca="1">IF($A147="","",+ROUND(Rates!O141,2))</f>
        <v>2378.42</v>
      </c>
      <c r="J147" s="184">
        <f ca="1">IF($A147="","",IF(F147=0,0,+ROUND(Rates!P141,2)))</f>
        <v>1380.2</v>
      </c>
      <c r="K147" s="184">
        <f ca="1">IF($A147="","",+ROUND(Rates!X141,2))</f>
        <v>828.1</v>
      </c>
      <c r="L147" s="184">
        <f ca="1">IF($A147="","",+ROUND(Rates!Q141,2))</f>
        <v>133.76</v>
      </c>
      <c r="M147" s="185">
        <f ca="1">IF($A147="","",+ROUND(Rates!R141,2))</f>
        <v>4840.4799999999996</v>
      </c>
      <c r="N147" s="186">
        <f t="shared" ca="1" si="63"/>
        <v>58055.555555555547</v>
      </c>
      <c r="O147" s="187">
        <f t="shared" ca="1" si="56"/>
        <v>0.43325041459369817</v>
      </c>
      <c r="P147" s="188">
        <f ca="1">IFERROR(SUM(INDIRECT("'FAF &amp; DDs'!"&amp;(ADDRESS(MATCH($B147-$E147,'FAF &amp; DDs'!$Q:$Q,0),COLUMN($R$1),2,1))&amp;":"&amp;(ADDRESS(MATCH($B147-1,'FAF &amp; DDs'!$Q:$Q,0),COLUMN($R$1),1))))/E147*30,-1)</f>
        <v>555</v>
      </c>
      <c r="Q147" s="188">
        <f ca="1">IFERROR(SUM(INDIRECT("'FAF &amp; DDs'!"&amp;(ADDRESS(MATCH($B147-$E147,'FAF &amp; DDs'!$Q:$Q,0),COLUMN($S$1),2,1))&amp;":"&amp;(ADDRESS(MATCH($B147-1,'FAF &amp; DDs'!$Q:$Q,0),COLUMN($S$1),1))))/E147*30,-1)</f>
        <v>0</v>
      </c>
      <c r="R147" s="176">
        <f t="shared" ca="1" si="64"/>
        <v>6</v>
      </c>
      <c r="S147">
        <f ca="1">IF(ROW()&gt;MIN(($AB$8,$AB$7))+11,0,MATCH(V147,INDIRECT("'Reading History'!B"&amp;$Y$5&amp;":b"&amp;$Y$6),-1))</f>
        <v>136</v>
      </c>
      <c r="U147" s="152">
        <f t="shared" ca="1" si="57"/>
        <v>39912</v>
      </c>
      <c r="V147" s="4">
        <f t="shared" ca="1" si="65"/>
        <v>39912</v>
      </c>
      <c r="W147">
        <f t="shared" ca="1" si="58"/>
        <v>0</v>
      </c>
      <c r="X147">
        <f t="shared" ca="1" si="59"/>
        <v>30</v>
      </c>
      <c r="AB147" s="176">
        <f t="shared" ca="1" si="66"/>
        <v>0</v>
      </c>
    </row>
    <row r="148" spans="1:28" ht="15" customHeight="1" x14ac:dyDescent="0.2">
      <c r="A148" s="2" t="str">
        <f t="shared" ca="1" si="52"/>
        <v>Electric</v>
      </c>
      <c r="B148" s="4">
        <f t="shared" ca="1" si="60"/>
        <v>39882</v>
      </c>
      <c r="C148" s="179" t="str">
        <f t="shared" ca="1" si="53"/>
        <v>Actual</v>
      </c>
      <c r="D148" s="17">
        <f t="shared" ca="1" si="61"/>
        <v>6622</v>
      </c>
      <c r="E148" s="17">
        <f t="shared" ca="1" si="54"/>
        <v>35</v>
      </c>
      <c r="F148" s="182">
        <f t="shared" ca="1" si="62"/>
        <v>48000</v>
      </c>
      <c r="G148" s="183">
        <f t="shared" ca="1" si="55"/>
        <v>134</v>
      </c>
      <c r="H148" s="184">
        <f ca="1">IF($A148="","",+Rates!N142)</f>
        <v>120</v>
      </c>
      <c r="I148" s="184">
        <f ca="1">IF($A148="","",+ROUND(Rates!O142,2))</f>
        <v>2731.2</v>
      </c>
      <c r="J148" s="184">
        <f ca="1">IF($A148="","",IF(F148=0,0,+ROUND(Rates!P142,2)))</f>
        <v>1380.2</v>
      </c>
      <c r="K148" s="184">
        <f ca="1">IF($A148="","",+ROUND(Rates!X142,2))</f>
        <v>869.18</v>
      </c>
      <c r="L148" s="184">
        <f ca="1">IF($A148="","",+ROUND(Rates!Q142,2))</f>
        <v>153.6</v>
      </c>
      <c r="M148" s="185">
        <f ca="1">IF($A148="","",+ROUND(Rates!R142,2))</f>
        <v>5254.18</v>
      </c>
      <c r="N148" s="186">
        <f t="shared" ca="1" si="63"/>
        <v>58196.721311475412</v>
      </c>
      <c r="O148" s="187">
        <f t="shared" ca="1" si="56"/>
        <v>0.42643923240938164</v>
      </c>
      <c r="P148" s="188">
        <f ca="1">IFERROR(SUM(INDIRECT("'FAF &amp; DDs'!"&amp;(ADDRESS(MATCH($B148-$E148,'FAF &amp; DDs'!$Q:$Q,0),COLUMN($R$1),2,1))&amp;":"&amp;(ADDRESS(MATCH($B148-1,'FAF &amp; DDs'!$Q:$Q,0),COLUMN($R$1),1))))/E148*30,-1)</f>
        <v>-1</v>
      </c>
      <c r="Q148" s="188">
        <f ca="1">IFERROR(SUM(INDIRECT("'FAF &amp; DDs'!"&amp;(ADDRESS(MATCH($B148-$E148,'FAF &amp; DDs'!$Q:$Q,0),COLUMN($S$1),2,1))&amp;":"&amp;(ADDRESS(MATCH($B148-1,'FAF &amp; DDs'!$Q:$Q,0),COLUMN($S$1),1))))/E148*30,-1)</f>
        <v>-1</v>
      </c>
      <c r="R148" s="176">
        <f t="shared" ca="1" si="64"/>
        <v>6</v>
      </c>
      <c r="S148">
        <f ca="1">IF(ROW()&gt;MIN(($AB$8,$AB$7))+11,0,MATCH(V148,INDIRECT("'Reading History'!B"&amp;$Y$5&amp;":b"&amp;$Y$6),-1))</f>
        <v>137</v>
      </c>
      <c r="U148" s="152">
        <f t="shared" ca="1" si="57"/>
        <v>39882</v>
      </c>
      <c r="V148" s="4">
        <f t="shared" ca="1" si="65"/>
        <v>39882</v>
      </c>
      <c r="W148">
        <f t="shared" ca="1" si="58"/>
        <v>0</v>
      </c>
      <c r="X148">
        <f t="shared" ca="1" si="59"/>
        <v>35</v>
      </c>
      <c r="AB148" s="176">
        <f t="shared" ca="1" si="66"/>
        <v>0</v>
      </c>
    </row>
    <row r="149" spans="1:28" ht="15" customHeight="1" x14ac:dyDescent="0.2">
      <c r="A149" s="2" t="str">
        <f t="shared" ca="1" si="52"/>
        <v>Electric</v>
      </c>
      <c r="B149" s="4">
        <f t="shared" ca="1" si="60"/>
        <v>39847</v>
      </c>
      <c r="C149" s="179" t="str">
        <f t="shared" ca="1" si="53"/>
        <v>Estimate</v>
      </c>
      <c r="D149" s="17">
        <f t="shared" ca="1" si="61"/>
        <v>6382</v>
      </c>
      <c r="E149" s="17">
        <f t="shared" ca="1" si="54"/>
        <v>26</v>
      </c>
      <c r="F149" s="182">
        <f t="shared" ca="1" si="62"/>
        <v>37200</v>
      </c>
      <c r="G149" s="183">
        <f t="shared" ca="1" si="55"/>
        <v>132</v>
      </c>
      <c r="H149" s="184">
        <f ca="1">IF($A149="","",+Rates!N143)</f>
        <v>120</v>
      </c>
      <c r="I149" s="184">
        <f ca="1">IF($A149="","",+ROUND(Rates!O143,2))</f>
        <v>2116.6799999999998</v>
      </c>
      <c r="J149" s="184">
        <f ca="1">IF($A149="","",IF(F149=0,0,+ROUND(Rates!P143,2)))</f>
        <v>1359.6</v>
      </c>
      <c r="K149" s="184">
        <f ca="1">IF($A149="","",+ROUND(Rates!X143,2))</f>
        <v>549.82000000000005</v>
      </c>
      <c r="L149" s="184">
        <f ca="1">IF($A149="","",+ROUND(Rates!Q143,2))</f>
        <v>119.04</v>
      </c>
      <c r="M149" s="185">
        <f ca="1">IF($A149="","",+ROUND(Rates!R143,2))</f>
        <v>4265.1400000000003</v>
      </c>
      <c r="N149" s="186">
        <f t="shared" ca="1" si="63"/>
        <v>58196.721311475412</v>
      </c>
      <c r="O149" s="187">
        <f t="shared" ca="1" si="56"/>
        <v>0.45163170163170163</v>
      </c>
      <c r="P149" s="188">
        <f ca="1">IFERROR(SUM(INDIRECT("'FAF &amp; DDs'!"&amp;(ADDRESS(MATCH($B149-$E149,'FAF &amp; DDs'!$Q:$Q,0),COLUMN($R$1),2,1))&amp;":"&amp;(ADDRESS(MATCH($B149-1,'FAF &amp; DDs'!$Q:$Q,0),COLUMN($R$1),1))))/E149*30,-1)</f>
        <v>-1</v>
      </c>
      <c r="Q149" s="188">
        <f ca="1">IFERROR(SUM(INDIRECT("'FAF &amp; DDs'!"&amp;(ADDRESS(MATCH($B149-$E149,'FAF &amp; DDs'!$Q:$Q,0),COLUMN($S$1),2,1))&amp;":"&amp;(ADDRESS(MATCH($B149-1,'FAF &amp; DDs'!$Q:$Q,0),COLUMN($S$1),1))))/E149*30,-1)</f>
        <v>-1</v>
      </c>
      <c r="R149" s="176">
        <f t="shared" ca="1" si="64"/>
        <v>6</v>
      </c>
      <c r="S149">
        <f ca="1">IF(ROW()&gt;MIN(($AB$8,$AB$7))+11,0,MATCH(V149,INDIRECT("'Reading History'!B"&amp;$Y$5&amp;":b"&amp;$Y$6),-1))</f>
        <v>138</v>
      </c>
      <c r="U149" s="152">
        <f t="shared" ca="1" si="57"/>
        <v>39847</v>
      </c>
      <c r="V149" s="4">
        <f t="shared" ca="1" si="65"/>
        <v>39847</v>
      </c>
      <c r="W149">
        <f t="shared" ca="1" si="58"/>
        <v>0</v>
      </c>
      <c r="X149">
        <f t="shared" ca="1" si="59"/>
        <v>26</v>
      </c>
      <c r="AB149" s="176">
        <f t="shared" ca="1" si="66"/>
        <v>0</v>
      </c>
    </row>
    <row r="150" spans="1:28" ht="15" customHeight="1" x14ac:dyDescent="0.2">
      <c r="A150" s="2" t="str">
        <f t="shared" ca="1" si="52"/>
        <v>Electric</v>
      </c>
      <c r="B150" s="4">
        <f t="shared" ca="1" si="60"/>
        <v>39821</v>
      </c>
      <c r="C150" s="179" t="str">
        <f t="shared" ca="1" si="53"/>
        <v>Actual</v>
      </c>
      <c r="D150" s="17">
        <f t="shared" ca="1" si="61"/>
        <v>6196</v>
      </c>
      <c r="E150" s="17">
        <f t="shared" ca="1" si="54"/>
        <v>31</v>
      </c>
      <c r="F150" s="182">
        <f t="shared" ca="1" si="62"/>
        <v>39000</v>
      </c>
      <c r="G150" s="183">
        <f t="shared" ca="1" si="55"/>
        <v>134</v>
      </c>
      <c r="H150" s="184">
        <f ca="1">IF($A150="","",+Rates!N144)</f>
        <v>120</v>
      </c>
      <c r="I150" s="184">
        <f ca="1">IF($A150="","",+ROUND(Rates!O144,2))</f>
        <v>2219.1</v>
      </c>
      <c r="J150" s="184">
        <f ca="1">IF($A150="","",IF(F150=0,0,+ROUND(Rates!P144,2)))</f>
        <v>1380.2</v>
      </c>
      <c r="K150" s="184">
        <f ca="1">IF($A150="","",+ROUND(Rates!X144,2))</f>
        <v>325.49</v>
      </c>
      <c r="L150" s="184">
        <f ca="1">IF($A150="","",+ROUND(Rates!Q144,2))</f>
        <v>124.8</v>
      </c>
      <c r="M150" s="185">
        <f ca="1">IF($A150="","",+ROUND(Rates!R144,2))</f>
        <v>4169.59</v>
      </c>
      <c r="N150" s="186">
        <f t="shared" ca="1" si="63"/>
        <v>52419.354838709674</v>
      </c>
      <c r="O150" s="187">
        <f t="shared" ca="1" si="56"/>
        <v>0.39118921521425132</v>
      </c>
      <c r="P150" s="188">
        <f ca="1">IFERROR(SUM(INDIRECT("'FAF &amp; DDs'!"&amp;(ADDRESS(MATCH($B150-$E150,'FAF &amp; DDs'!$Q:$Q,0),COLUMN($R$1),2,1))&amp;":"&amp;(ADDRESS(MATCH($B150-1,'FAF &amp; DDs'!$Q:$Q,0),COLUMN($R$1),1))))/E150*30,-1)</f>
        <v>-1</v>
      </c>
      <c r="Q150" s="188">
        <f ca="1">IFERROR(SUM(INDIRECT("'FAF &amp; DDs'!"&amp;(ADDRESS(MATCH($B150-$E150,'FAF &amp; DDs'!$Q:$Q,0),COLUMN($S$1),2,1))&amp;":"&amp;(ADDRESS(MATCH($B150-1,'FAF &amp; DDs'!$Q:$Q,0),COLUMN($S$1),1))))/E150*30,-1)</f>
        <v>-1</v>
      </c>
      <c r="R150" s="176">
        <f t="shared" ca="1" si="64"/>
        <v>6</v>
      </c>
      <c r="S150">
        <f ca="1">IF(ROW()&gt;MIN(($AB$8,$AB$7))+11,0,MATCH(V150,INDIRECT("'Reading History'!B"&amp;$Y$5&amp;":b"&amp;$Y$6),-1))</f>
        <v>139</v>
      </c>
      <c r="U150" s="152">
        <f t="shared" ca="1" si="57"/>
        <v>39821</v>
      </c>
      <c r="V150" s="4">
        <f t="shared" ca="1" si="65"/>
        <v>39821</v>
      </c>
      <c r="W150">
        <f t="shared" ca="1" si="58"/>
        <v>0</v>
      </c>
      <c r="X150">
        <f t="shared" ca="1" si="59"/>
        <v>31</v>
      </c>
      <c r="AB150" s="176">
        <f t="shared" ca="1" si="66"/>
        <v>0</v>
      </c>
    </row>
    <row r="151" spans="1:28" ht="15" customHeight="1" x14ac:dyDescent="0.2">
      <c r="A151" s="2" t="str">
        <f t="shared" ca="1" si="52"/>
        <v>Electric</v>
      </c>
      <c r="B151" s="4">
        <f t="shared" ca="1" si="60"/>
        <v>39790</v>
      </c>
      <c r="C151" s="179" t="str">
        <f t="shared" ca="1" si="53"/>
        <v>Actual</v>
      </c>
      <c r="D151" s="17">
        <f t="shared" ca="1" si="61"/>
        <v>6001</v>
      </c>
      <c r="E151" s="17">
        <f t="shared" ca="1" si="54"/>
        <v>31</v>
      </c>
      <c r="F151" s="182">
        <f t="shared" ca="1" si="62"/>
        <v>38400</v>
      </c>
      <c r="G151" s="183">
        <f t="shared" ca="1" si="55"/>
        <v>118</v>
      </c>
      <c r="H151" s="184">
        <f ca="1">IF($A151="","",+Rates!N145)</f>
        <v>120</v>
      </c>
      <c r="I151" s="184">
        <f ca="1">IF($A151="","",+ROUND(Rates!O145,2))</f>
        <v>2184.96</v>
      </c>
      <c r="J151" s="184">
        <f ca="1">IF($A151="","",IF(F151=0,0,+ROUND(Rates!P145,2)))</f>
        <v>1215.4000000000001</v>
      </c>
      <c r="K151" s="184">
        <f ca="1">IF($A151="","",+ROUND(Rates!X145,2))</f>
        <v>426.43</v>
      </c>
      <c r="L151" s="184">
        <f ca="1">IF($A151="","",+ROUND(Rates!Q145,2))</f>
        <v>122.88</v>
      </c>
      <c r="M151" s="185">
        <f ca="1">IF($A151="","",+ROUND(Rates!R145,2))</f>
        <v>4069.67</v>
      </c>
      <c r="N151" s="186">
        <f t="shared" ca="1" si="63"/>
        <v>51612.903225806454</v>
      </c>
      <c r="O151" s="187">
        <f t="shared" ca="1" si="56"/>
        <v>0.43739748496446146</v>
      </c>
      <c r="P151" s="188">
        <f ca="1">IFERROR(SUM(INDIRECT("'FAF &amp; DDs'!"&amp;(ADDRESS(MATCH($B151-$E151,'FAF &amp; DDs'!$Q:$Q,0),COLUMN($R$1),2,1))&amp;":"&amp;(ADDRESS(MATCH($B151-1,'FAF &amp; DDs'!$Q:$Q,0),COLUMN($R$1),1))))/E151*30,-1)</f>
        <v>-1</v>
      </c>
      <c r="Q151" s="188">
        <f ca="1">IFERROR(SUM(INDIRECT("'FAF &amp; DDs'!"&amp;(ADDRESS(MATCH($B151-$E151,'FAF &amp; DDs'!$Q:$Q,0),COLUMN($S$1),2,1))&amp;":"&amp;(ADDRESS(MATCH($B151-1,'FAF &amp; DDs'!$Q:$Q,0),COLUMN($S$1),1))))/E151*30,-1)</f>
        <v>-1</v>
      </c>
      <c r="R151" s="176">
        <f t="shared" ca="1" si="64"/>
        <v>6</v>
      </c>
      <c r="S151">
        <f ca="1">IF(ROW()&gt;MIN(($AB$8,$AB$7))+11,0,MATCH(V151,INDIRECT("'Reading History'!B"&amp;$Y$5&amp;":b"&amp;$Y$6),-1))</f>
        <v>140</v>
      </c>
      <c r="U151" s="152">
        <f t="shared" ca="1" si="57"/>
        <v>39790</v>
      </c>
      <c r="V151" s="4">
        <f t="shared" ca="1" si="65"/>
        <v>39790</v>
      </c>
      <c r="W151">
        <f t="shared" ca="1" si="58"/>
        <v>0</v>
      </c>
      <c r="X151">
        <f t="shared" ca="1" si="59"/>
        <v>31</v>
      </c>
      <c r="AB151" s="176">
        <f t="shared" ca="1" si="66"/>
        <v>0</v>
      </c>
    </row>
    <row r="152" spans="1:28" ht="15" customHeight="1" x14ac:dyDescent="0.2">
      <c r="A152" s="2" t="str">
        <f t="shared" ca="1" si="52"/>
        <v>Electric</v>
      </c>
      <c r="B152" s="4">
        <f t="shared" ca="1" si="60"/>
        <v>39759</v>
      </c>
      <c r="C152" s="179" t="str">
        <f t="shared" ca="1" si="53"/>
        <v>Actual</v>
      </c>
      <c r="D152" s="17">
        <f t="shared" ca="1" si="61"/>
        <v>5809</v>
      </c>
      <c r="E152" s="17">
        <f t="shared" ca="1" si="54"/>
        <v>28</v>
      </c>
      <c r="F152" s="182">
        <f t="shared" ca="1" si="62"/>
        <v>36400</v>
      </c>
      <c r="G152" s="183">
        <f t="shared" ca="1" si="55"/>
        <v>150</v>
      </c>
      <c r="H152" s="184">
        <f ca="1">IF($A152="","",+Rates!N146)</f>
        <v>120</v>
      </c>
      <c r="I152" s="184">
        <f ca="1">IF($A152="","",+ROUND(Rates!O146,2))</f>
        <v>2071.16</v>
      </c>
      <c r="J152" s="184">
        <f ca="1">IF($A152="","",IF(F152=0,0,+ROUND(Rates!P146,2)))</f>
        <v>1545</v>
      </c>
      <c r="K152" s="184">
        <f ca="1">IF($A152="","",+ROUND(Rates!X146,2))</f>
        <v>538.39</v>
      </c>
      <c r="L152" s="184">
        <f ca="1">IF($A152="","",+ROUND(Rates!Q146,2))</f>
        <v>116.48</v>
      </c>
      <c r="M152" s="185">
        <f ca="1">IF($A152="","",+ROUND(Rates!R146,2))</f>
        <v>4391.03</v>
      </c>
      <c r="N152" s="186">
        <f t="shared" ca="1" si="63"/>
        <v>54166.666666666664</v>
      </c>
      <c r="O152" s="187">
        <f t="shared" ca="1" si="56"/>
        <v>0.3611111111111111</v>
      </c>
      <c r="P152" s="188">
        <f ca="1">IFERROR(SUM(INDIRECT("'FAF &amp; DDs'!"&amp;(ADDRESS(MATCH($B152-$E152,'FAF &amp; DDs'!$Q:$Q,0),COLUMN($R$1),2,1))&amp;":"&amp;(ADDRESS(MATCH($B152-1,'FAF &amp; DDs'!$Q:$Q,0),COLUMN($R$1),1))))/E152*30,-1)</f>
        <v>-1</v>
      </c>
      <c r="Q152" s="188">
        <f ca="1">IFERROR(SUM(INDIRECT("'FAF &amp; DDs'!"&amp;(ADDRESS(MATCH($B152-$E152,'FAF &amp; DDs'!$Q:$Q,0),COLUMN($S$1),2,1))&amp;":"&amp;(ADDRESS(MATCH($B152-1,'FAF &amp; DDs'!$Q:$Q,0),COLUMN($S$1),1))))/E152*30,-1)</f>
        <v>-1</v>
      </c>
      <c r="R152" s="176">
        <f t="shared" ca="1" si="64"/>
        <v>6</v>
      </c>
      <c r="S152">
        <f ca="1">IF(ROW()&gt;MIN(($AB$8,$AB$7))+11,0,MATCH(V152,INDIRECT("'Reading History'!B"&amp;$Y$5&amp;":b"&amp;$Y$6),-1))</f>
        <v>141</v>
      </c>
      <c r="U152" s="152">
        <f t="shared" ca="1" si="57"/>
        <v>39759</v>
      </c>
      <c r="V152" s="4">
        <f t="shared" ca="1" si="65"/>
        <v>39759</v>
      </c>
      <c r="W152">
        <f t="shared" ca="1" si="58"/>
        <v>0</v>
      </c>
      <c r="X152">
        <f t="shared" ca="1" si="59"/>
        <v>28</v>
      </c>
      <c r="AB152" s="176">
        <f t="shared" ca="1" si="66"/>
        <v>0</v>
      </c>
    </row>
    <row r="153" spans="1:28" ht="15" customHeight="1" x14ac:dyDescent="0.2">
      <c r="A153" s="2" t="str">
        <f t="shared" ca="1" si="52"/>
        <v>Electric</v>
      </c>
      <c r="B153" s="4">
        <f t="shared" ca="1" si="60"/>
        <v>39731</v>
      </c>
      <c r="C153" s="179" t="str">
        <f t="shared" ca="1" si="53"/>
        <v>Actual</v>
      </c>
      <c r="D153" s="17">
        <f t="shared" ca="1" si="61"/>
        <v>5627</v>
      </c>
      <c r="E153" s="17">
        <f t="shared" ca="1" si="54"/>
        <v>31</v>
      </c>
      <c r="F153" s="182">
        <f t="shared" ca="1" si="62"/>
        <v>44000</v>
      </c>
      <c r="G153" s="183">
        <f t="shared" ca="1" si="55"/>
        <v>156</v>
      </c>
      <c r="H153" s="184">
        <f ca="1">IF($A153="","",+Rates!N147)</f>
        <v>120</v>
      </c>
      <c r="I153" s="184">
        <f ca="1">IF($A153="","",+ROUND(Rates!O147,2))</f>
        <v>2570.02</v>
      </c>
      <c r="J153" s="184">
        <f ca="1">IF($A153="","",IF(F153=0,0,+ROUND(Rates!P147,2)))</f>
        <v>1662.36</v>
      </c>
      <c r="K153" s="184">
        <f ca="1">IF($A153="","",+ROUND(Rates!X147,2))</f>
        <v>555.67999999999995</v>
      </c>
      <c r="L153" s="184">
        <f ca="1">IF($A153="","",+ROUND(Rates!Q147,2))</f>
        <v>140.80000000000001</v>
      </c>
      <c r="M153" s="185">
        <f ca="1">IF($A153="","",+ROUND(Rates!R147,2))</f>
        <v>5048.8599999999997</v>
      </c>
      <c r="N153" s="186">
        <f t="shared" ca="1" si="63"/>
        <v>59139.784946236556</v>
      </c>
      <c r="O153" s="187">
        <f t="shared" ca="1" si="56"/>
        <v>0.37910118555279848</v>
      </c>
      <c r="P153" s="188">
        <f ca="1">IFERROR(SUM(INDIRECT("'FAF &amp; DDs'!"&amp;(ADDRESS(MATCH($B153-$E153,'FAF &amp; DDs'!$Q:$Q,0),COLUMN($R$1),2,1))&amp;":"&amp;(ADDRESS(MATCH($B153-1,'FAF &amp; DDs'!$Q:$Q,0),COLUMN($R$1),1))))/E153*30,-1)</f>
        <v>-1</v>
      </c>
      <c r="Q153" s="188">
        <f ca="1">IFERROR(SUM(INDIRECT("'FAF &amp; DDs'!"&amp;(ADDRESS(MATCH($B153-$E153,'FAF &amp; DDs'!$Q:$Q,0),COLUMN($S$1),2,1))&amp;":"&amp;(ADDRESS(MATCH($B153-1,'FAF &amp; DDs'!$Q:$Q,0),COLUMN($S$1),1))))/E153*30,-1)</f>
        <v>-1</v>
      </c>
      <c r="R153" s="176">
        <f t="shared" ca="1" si="64"/>
        <v>6</v>
      </c>
      <c r="S153">
        <f ca="1">IF(ROW()&gt;MIN(($AB$8,$AB$7))+11,0,MATCH(V153,INDIRECT("'Reading History'!B"&amp;$Y$5&amp;":b"&amp;$Y$6),-1))</f>
        <v>142</v>
      </c>
      <c r="U153" s="152">
        <f t="shared" ca="1" si="57"/>
        <v>39731</v>
      </c>
      <c r="V153" s="4">
        <f t="shared" ca="1" si="65"/>
        <v>39731</v>
      </c>
      <c r="W153">
        <f t="shared" ca="1" si="58"/>
        <v>0</v>
      </c>
      <c r="X153">
        <f t="shared" ca="1" si="59"/>
        <v>31</v>
      </c>
      <c r="AB153" s="176">
        <f t="shared" ca="1" si="66"/>
        <v>0</v>
      </c>
    </row>
    <row r="154" spans="1:28" ht="15" customHeight="1" x14ac:dyDescent="0.2">
      <c r="A154" s="2" t="str">
        <f t="shared" ca="1" si="52"/>
        <v>Electric</v>
      </c>
      <c r="B154" s="4">
        <f t="shared" ca="1" si="60"/>
        <v>39700</v>
      </c>
      <c r="C154" s="179" t="str">
        <f t="shared" ca="1" si="53"/>
        <v>Actual</v>
      </c>
      <c r="D154" s="17">
        <f t="shared" ca="1" si="61"/>
        <v>5407</v>
      </c>
      <c r="E154" s="17">
        <f t="shared" ca="1" si="54"/>
        <v>35</v>
      </c>
      <c r="F154" s="182">
        <f t="shared" ca="1" si="62"/>
        <v>54400</v>
      </c>
      <c r="G154" s="183">
        <f t="shared" ca="1" si="55"/>
        <v>164</v>
      </c>
      <c r="H154" s="184">
        <f ca="1">IF($A154="","",+Rates!N148)</f>
        <v>120</v>
      </c>
      <c r="I154" s="184">
        <f ca="1">IF($A154="","",+ROUND(Rates!O148,2))</f>
        <v>3519.68</v>
      </c>
      <c r="J154" s="184">
        <f ca="1">IF($A154="","",IF(F154=0,0,+ROUND(Rates!P148,2)))</f>
        <v>1990.96</v>
      </c>
      <c r="K154" s="184">
        <f ca="1">IF($A154="","",+ROUND(Rates!X148,2))</f>
        <v>916.86</v>
      </c>
      <c r="L154" s="184">
        <f ca="1">IF($A154="","",+ROUND(Rates!Q148,2))</f>
        <v>174.08</v>
      </c>
      <c r="M154" s="185">
        <f ca="1">IF($A154="","",+ROUND(Rates!R148,2))</f>
        <v>6721.58</v>
      </c>
      <c r="N154" s="186">
        <f t="shared" ca="1" si="63"/>
        <v>64761.904761904756</v>
      </c>
      <c r="O154" s="187">
        <f t="shared" ca="1" si="56"/>
        <v>0.39488966318234608</v>
      </c>
      <c r="P154" s="188">
        <f ca="1">IFERROR(SUM(INDIRECT("'FAF &amp; DDs'!"&amp;(ADDRESS(MATCH($B154-$E154,'FAF &amp; DDs'!$Q:$Q,0),COLUMN($R$1),2,1))&amp;":"&amp;(ADDRESS(MATCH($B154-1,'FAF &amp; DDs'!$Q:$Q,0),COLUMN($R$1),1))))/E154*30,-1)</f>
        <v>-1</v>
      </c>
      <c r="Q154" s="188">
        <f ca="1">IFERROR(SUM(INDIRECT("'FAF &amp; DDs'!"&amp;(ADDRESS(MATCH($B154-$E154,'FAF &amp; DDs'!$Q:$Q,0),COLUMN($S$1),2,1))&amp;":"&amp;(ADDRESS(MATCH($B154-1,'FAF &amp; DDs'!$Q:$Q,0),COLUMN($S$1),1))))/E154*30,-1)</f>
        <v>-1</v>
      </c>
      <c r="R154" s="176">
        <f t="shared" ca="1" si="64"/>
        <v>6</v>
      </c>
      <c r="S154">
        <f ca="1">IF(ROW()&gt;MIN(($AB$8,$AB$7))+11,0,MATCH(V154,INDIRECT("'Reading History'!B"&amp;$Y$5&amp;":b"&amp;$Y$6),-1))</f>
        <v>143</v>
      </c>
      <c r="U154" s="152">
        <f t="shared" ca="1" si="57"/>
        <v>39700</v>
      </c>
      <c r="V154" s="4">
        <f t="shared" ca="1" si="65"/>
        <v>39700</v>
      </c>
      <c r="W154">
        <f t="shared" ca="1" si="58"/>
        <v>0</v>
      </c>
      <c r="X154">
        <f t="shared" ca="1" si="59"/>
        <v>35</v>
      </c>
      <c r="AB154" s="176">
        <f t="shared" ca="1" si="66"/>
        <v>0</v>
      </c>
    </row>
    <row r="155" spans="1:28" ht="15" customHeight="1" x14ac:dyDescent="0.2">
      <c r="A155" s="2" t="str">
        <f t="shared" ca="1" si="52"/>
        <v>Electric</v>
      </c>
      <c r="B155" s="4">
        <f t="shared" ca="1" si="60"/>
        <v>39665</v>
      </c>
      <c r="C155" s="179" t="str">
        <f t="shared" ca="1" si="53"/>
        <v>Actual</v>
      </c>
      <c r="D155" s="17">
        <f t="shared" ca="1" si="61"/>
        <v>5135</v>
      </c>
      <c r="E155" s="17">
        <f t="shared" ca="1" si="54"/>
        <v>33</v>
      </c>
      <c r="F155" s="182">
        <f t="shared" ca="1" si="62"/>
        <v>54200</v>
      </c>
      <c r="G155" s="183">
        <f t="shared" ca="1" si="55"/>
        <v>184</v>
      </c>
      <c r="H155" s="184">
        <f ca="1">IF($A155="","",+Rates!N149)</f>
        <v>120</v>
      </c>
      <c r="I155" s="184">
        <f ca="1">IF($A155="","",+ROUND(Rates!O149,2))</f>
        <v>3506.74</v>
      </c>
      <c r="J155" s="184">
        <f ca="1">IF($A155="","",IF(F155=0,0,+ROUND(Rates!P149,2)))</f>
        <v>2233.7600000000002</v>
      </c>
      <c r="K155" s="184">
        <f ca="1">IF($A155="","",+ROUND(Rates!X149,2))</f>
        <v>1198.8499999999999</v>
      </c>
      <c r="L155" s="184">
        <f ca="1">IF($A155="","",+ROUND(Rates!Q149,2))</f>
        <v>173.44</v>
      </c>
      <c r="M155" s="185">
        <f ca="1">IF($A155="","",+ROUND(Rates!R149,2))</f>
        <v>7232.79</v>
      </c>
      <c r="N155" s="186">
        <f t="shared" ca="1" si="63"/>
        <v>68434.343434343435</v>
      </c>
      <c r="O155" s="187">
        <f t="shared" ca="1" si="56"/>
        <v>0.3719257795344752</v>
      </c>
      <c r="P155" s="188">
        <f ca="1">IFERROR(SUM(INDIRECT("'FAF &amp; DDs'!"&amp;(ADDRESS(MATCH($B155-$E155,'FAF &amp; DDs'!$Q:$Q,0),COLUMN($R$1),2,1))&amp;":"&amp;(ADDRESS(MATCH($B155-1,'FAF &amp; DDs'!$Q:$Q,0),COLUMN($R$1),1))))/E155*30,-1)</f>
        <v>-1</v>
      </c>
      <c r="Q155" s="188">
        <f ca="1">IFERROR(SUM(INDIRECT("'FAF &amp; DDs'!"&amp;(ADDRESS(MATCH($B155-$E155,'FAF &amp; DDs'!$Q:$Q,0),COLUMN($S$1),2,1))&amp;":"&amp;(ADDRESS(MATCH($B155-1,'FAF &amp; DDs'!$Q:$Q,0),COLUMN($S$1),1))))/E155*30,-1)</f>
        <v>-1</v>
      </c>
      <c r="R155" s="176">
        <f t="shared" ca="1" si="64"/>
        <v>6</v>
      </c>
      <c r="S155">
        <f ca="1">IF(ROW()&gt;MIN(($AB$8,$AB$7))+11,0,MATCH(V155,INDIRECT("'Reading History'!B"&amp;$Y$5&amp;":b"&amp;$Y$6),-1))</f>
        <v>144</v>
      </c>
      <c r="U155" s="152">
        <f t="shared" ca="1" si="57"/>
        <v>39665</v>
      </c>
      <c r="V155" s="4">
        <f t="shared" ca="1" si="65"/>
        <v>39665</v>
      </c>
      <c r="W155">
        <f t="shared" ca="1" si="58"/>
        <v>0</v>
      </c>
      <c r="X155">
        <f t="shared" ca="1" si="59"/>
        <v>33</v>
      </c>
      <c r="AB155" s="176">
        <f t="shared" ca="1" si="66"/>
        <v>0</v>
      </c>
    </row>
    <row r="156" spans="1:28" ht="15" customHeight="1" x14ac:dyDescent="0.2">
      <c r="A156" s="2" t="str">
        <f t="shared" ca="1" si="52"/>
        <v>Electric</v>
      </c>
      <c r="B156" s="4">
        <f t="shared" ca="1" si="60"/>
        <v>39632</v>
      </c>
      <c r="C156" s="179" t="str">
        <f t="shared" ca="1" si="53"/>
        <v>Actual</v>
      </c>
      <c r="D156" s="17">
        <f t="shared" ca="1" si="61"/>
        <v>4864</v>
      </c>
      <c r="E156" s="17">
        <f t="shared" ca="1" si="54"/>
        <v>30</v>
      </c>
      <c r="F156" s="182">
        <f t="shared" ca="1" si="62"/>
        <v>49400</v>
      </c>
      <c r="G156" s="183">
        <f t="shared" ca="1" si="55"/>
        <v>164</v>
      </c>
      <c r="H156" s="184">
        <f ca="1">IF($A156="","",+Rates!N150)</f>
        <v>120</v>
      </c>
      <c r="I156" s="184">
        <f ca="1">IF($A156="","",+ROUND(Rates!O150,2))</f>
        <v>3196.18</v>
      </c>
      <c r="J156" s="184">
        <f ca="1">IF($A156="","",IF(F156=0,0,+ROUND(Rates!P150,2)))</f>
        <v>1990.96</v>
      </c>
      <c r="K156" s="184">
        <f ca="1">IF($A156="","",+ROUND(Rates!X150,2))</f>
        <v>1070.45</v>
      </c>
      <c r="L156" s="184">
        <f ca="1">IF($A156="","",+ROUND(Rates!Q150,2))</f>
        <v>158.08000000000001</v>
      </c>
      <c r="M156" s="185">
        <f ca="1">IF($A156="","",+ROUND(Rates!R150,2))</f>
        <v>6535.67</v>
      </c>
      <c r="N156" s="186">
        <f t="shared" ca="1" si="63"/>
        <v>68611.111111111109</v>
      </c>
      <c r="O156" s="187">
        <f t="shared" ca="1" si="56"/>
        <v>0.41836043360433606</v>
      </c>
      <c r="P156" s="188">
        <f ca="1">IFERROR(SUM(INDIRECT("'FAF &amp; DDs'!"&amp;(ADDRESS(MATCH($B156-$E156,'FAF &amp; DDs'!$Q:$Q,0),COLUMN($R$1),2,1))&amp;":"&amp;(ADDRESS(MATCH($B156-1,'FAF &amp; DDs'!$Q:$Q,0),COLUMN($R$1),1))))/E156*30,-1)</f>
        <v>-1</v>
      </c>
      <c r="Q156" s="188">
        <f ca="1">IFERROR(SUM(INDIRECT("'FAF &amp; DDs'!"&amp;(ADDRESS(MATCH($B156-$E156,'FAF &amp; DDs'!$Q:$Q,0),COLUMN($S$1),2,1))&amp;":"&amp;(ADDRESS(MATCH($B156-1,'FAF &amp; DDs'!$Q:$Q,0),COLUMN($S$1),1))))/E156*30,-1)</f>
        <v>-1</v>
      </c>
      <c r="R156" s="176">
        <f t="shared" ca="1" si="64"/>
        <v>6</v>
      </c>
      <c r="S156">
        <f ca="1">IF(ROW()&gt;MIN(($AB$8,$AB$7))+11,0,MATCH(V156,INDIRECT("'Reading History'!B"&amp;$Y$5&amp;":b"&amp;$Y$6),-1))</f>
        <v>145</v>
      </c>
      <c r="U156" s="152">
        <f t="shared" ca="1" si="57"/>
        <v>39632</v>
      </c>
      <c r="V156" s="4">
        <f t="shared" ca="1" si="65"/>
        <v>39632</v>
      </c>
      <c r="W156">
        <f t="shared" ca="1" si="58"/>
        <v>0</v>
      </c>
      <c r="X156">
        <f t="shared" ca="1" si="59"/>
        <v>30</v>
      </c>
      <c r="AB156" s="176">
        <f t="shared" ca="1" si="66"/>
        <v>0</v>
      </c>
    </row>
    <row r="157" spans="1:28" ht="15" customHeight="1" x14ac:dyDescent="0.2">
      <c r="A157" s="2" t="str">
        <f t="shared" ca="1" si="52"/>
        <v>Electric</v>
      </c>
      <c r="B157" s="4">
        <f t="shared" ca="1" si="60"/>
        <v>39602</v>
      </c>
      <c r="C157" s="179" t="str">
        <f t="shared" ca="1" si="53"/>
        <v>Actual</v>
      </c>
      <c r="D157" s="17">
        <f t="shared" ca="1" si="61"/>
        <v>4617</v>
      </c>
      <c r="E157" s="17">
        <f t="shared" ca="1" si="54"/>
        <v>29</v>
      </c>
      <c r="F157" s="182">
        <f t="shared" ca="1" si="62"/>
        <v>37400</v>
      </c>
      <c r="G157" s="183">
        <f t="shared" ca="1" si="55"/>
        <v>156</v>
      </c>
      <c r="H157" s="184">
        <f ca="1">IF($A157="","",+Rates!N151)</f>
        <v>120</v>
      </c>
      <c r="I157" s="184">
        <f ca="1">IF($A157="","",+ROUND(Rates!O151,2))</f>
        <v>2319.1799999999998</v>
      </c>
      <c r="J157" s="184">
        <f ca="1">IF($A157="","",IF(F157=0,0,+ROUND(Rates!P151,2)))</f>
        <v>1794.86</v>
      </c>
      <c r="K157" s="184">
        <f ca="1">IF($A157="","",+ROUND(Rates!X151,2))</f>
        <v>1255.22</v>
      </c>
      <c r="L157" s="184">
        <f ca="1">IF($A157="","",+ROUND(Rates!Q151,2))</f>
        <v>119.68</v>
      </c>
      <c r="M157" s="185">
        <f ca="1">IF($A157="","",+ROUND(Rates!R151,2))</f>
        <v>5608.94</v>
      </c>
      <c r="N157" s="186">
        <f t="shared" ca="1" si="63"/>
        <v>53735.632183908048</v>
      </c>
      <c r="O157" s="187">
        <f t="shared" ca="1" si="56"/>
        <v>0.34445918066607722</v>
      </c>
      <c r="P157" s="188">
        <f ca="1">IFERROR(SUM(INDIRECT("'FAF &amp; DDs'!"&amp;(ADDRESS(MATCH($B157-$E157,'FAF &amp; DDs'!$Q:$Q,0),COLUMN($R$1),2,1))&amp;":"&amp;(ADDRESS(MATCH($B157-1,'FAF &amp; DDs'!$Q:$Q,0),COLUMN($R$1),1))))/E157*30,-1)</f>
        <v>-1</v>
      </c>
      <c r="Q157" s="188">
        <f ca="1">IFERROR(SUM(INDIRECT("'FAF &amp; DDs'!"&amp;(ADDRESS(MATCH($B157-$E157,'FAF &amp; DDs'!$Q:$Q,0),COLUMN($S$1),2,1))&amp;":"&amp;(ADDRESS(MATCH($B157-1,'FAF &amp; DDs'!$Q:$Q,0),COLUMN($S$1),1))))/E157*30,-1)</f>
        <v>-1</v>
      </c>
      <c r="R157" s="176">
        <f t="shared" ca="1" si="64"/>
        <v>6</v>
      </c>
      <c r="S157">
        <f ca="1">IF(ROW()&gt;MIN(($AB$8,$AB$7))+11,0,MATCH(V157,INDIRECT("'Reading History'!B"&amp;$Y$5&amp;":b"&amp;$Y$6),-1))</f>
        <v>146</v>
      </c>
      <c r="U157" s="152">
        <f t="shared" ca="1" si="57"/>
        <v>39602</v>
      </c>
      <c r="V157" s="4">
        <f t="shared" ca="1" si="65"/>
        <v>39602</v>
      </c>
      <c r="W157">
        <f t="shared" ca="1" si="58"/>
        <v>0</v>
      </c>
      <c r="X157">
        <f t="shared" ca="1" si="59"/>
        <v>29</v>
      </c>
      <c r="AB157" s="176">
        <f t="shared" ca="1" si="66"/>
        <v>0</v>
      </c>
    </row>
    <row r="158" spans="1:28" ht="15" customHeight="1" x14ac:dyDescent="0.2">
      <c r="A158" s="2" t="str">
        <f t="shared" ca="1" si="52"/>
        <v>Electric</v>
      </c>
      <c r="B158" s="4">
        <f t="shared" ca="1" si="60"/>
        <v>39573</v>
      </c>
      <c r="C158" s="179" t="str">
        <f t="shared" ca="1" si="53"/>
        <v>Actual</v>
      </c>
      <c r="D158" s="17">
        <f t="shared" ca="1" si="61"/>
        <v>4430</v>
      </c>
      <c r="E158" s="17">
        <f t="shared" ca="1" si="54"/>
        <v>27</v>
      </c>
      <c r="F158" s="182">
        <f t="shared" ca="1" si="62"/>
        <v>35000</v>
      </c>
      <c r="G158" s="183">
        <f t="shared" ca="1" si="55"/>
        <v>136</v>
      </c>
      <c r="H158" s="184">
        <f ca="1">IF($A158="","",+Rates!N152)</f>
        <v>120</v>
      </c>
      <c r="I158" s="184">
        <f ca="1">IF($A158="","",+ROUND(Rates!O152,2))</f>
        <v>1991.5</v>
      </c>
      <c r="J158" s="184">
        <f ca="1">IF($A158="","",IF(F158=0,0,+ROUND(Rates!P152,2)))</f>
        <v>1400.8</v>
      </c>
      <c r="K158" s="184">
        <f ca="1">IF($A158="","",+ROUND(Rates!X152,2))</f>
        <v>201.95</v>
      </c>
      <c r="L158" s="184">
        <f ca="1">IF($A158="","",+ROUND(Rates!Q152,2))</f>
        <v>112</v>
      </c>
      <c r="M158" s="185">
        <f ca="1">IF($A158="","",+ROUND(Rates!R152,2))</f>
        <v>3826.25</v>
      </c>
      <c r="N158" s="186">
        <f t="shared" ca="1" si="63"/>
        <v>54012.345679012345</v>
      </c>
      <c r="O158" s="187">
        <f t="shared" ca="1" si="56"/>
        <v>0.39714960058097315</v>
      </c>
      <c r="P158" s="188">
        <f ca="1">IFERROR(SUM(INDIRECT("'FAF &amp; DDs'!"&amp;(ADDRESS(MATCH($B158-$E158,'FAF &amp; DDs'!$Q:$Q,0),COLUMN($R$1),2,1))&amp;":"&amp;(ADDRESS(MATCH($B158-1,'FAF &amp; DDs'!$Q:$Q,0),COLUMN($R$1),1))))/E158*30,-1)</f>
        <v>-1</v>
      </c>
      <c r="Q158" s="188">
        <f ca="1">IFERROR(SUM(INDIRECT("'FAF &amp; DDs'!"&amp;(ADDRESS(MATCH($B158-$E158,'FAF &amp; DDs'!$Q:$Q,0),COLUMN($S$1),2,1))&amp;":"&amp;(ADDRESS(MATCH($B158-1,'FAF &amp; DDs'!$Q:$Q,0),COLUMN($S$1),1))))/E158*30,-1)</f>
        <v>-1</v>
      </c>
      <c r="R158" s="176">
        <f t="shared" ca="1" si="64"/>
        <v>6</v>
      </c>
      <c r="S158">
        <f ca="1">IF(ROW()&gt;MIN(($AB$8,$AB$7))+11,0,MATCH(V158,INDIRECT("'Reading History'!B"&amp;$Y$5&amp;":b"&amp;$Y$6),-1))</f>
        <v>147</v>
      </c>
      <c r="U158" s="152">
        <f t="shared" ca="1" si="57"/>
        <v>39573</v>
      </c>
      <c r="V158" s="4">
        <f t="shared" ca="1" si="65"/>
        <v>39573</v>
      </c>
      <c r="W158">
        <f t="shared" ca="1" si="58"/>
        <v>0</v>
      </c>
      <c r="X158">
        <f t="shared" ca="1" si="59"/>
        <v>27</v>
      </c>
      <c r="AB158" s="176">
        <f t="shared" ca="1" si="66"/>
        <v>0</v>
      </c>
    </row>
    <row r="159" spans="1:28" ht="15" customHeight="1" x14ac:dyDescent="0.2">
      <c r="A159" s="2" t="str">
        <f t="shared" ca="1" si="52"/>
        <v>Electric</v>
      </c>
      <c r="B159" s="4">
        <f t="shared" ca="1" si="60"/>
        <v>39546</v>
      </c>
      <c r="C159" s="179" t="str">
        <f t="shared" ca="1" si="53"/>
        <v>Actual</v>
      </c>
      <c r="D159" s="17">
        <f t="shared" ca="1" si="61"/>
        <v>4255</v>
      </c>
      <c r="E159" s="17">
        <f t="shared" ca="1" si="54"/>
        <v>32</v>
      </c>
      <c r="F159" s="182">
        <f t="shared" ca="1" si="62"/>
        <v>40600</v>
      </c>
      <c r="G159" s="183">
        <f t="shared" ca="1" si="55"/>
        <v>112</v>
      </c>
      <c r="H159" s="184">
        <f ca="1">IF($A159="","",+Rates!N153)</f>
        <v>120</v>
      </c>
      <c r="I159" s="184">
        <f ca="1">IF($A159="","",+ROUND(Rates!O153,2))</f>
        <v>2268.91</v>
      </c>
      <c r="J159" s="184">
        <f ca="1">IF($A159="","",IF(F159=0,0,+ROUND(Rates!P153,2)))</f>
        <v>1132.5999999999999</v>
      </c>
      <c r="K159" s="184">
        <f ca="1">IF($A159="","",+ROUND(Rates!X153,2))</f>
        <v>398.81</v>
      </c>
      <c r="L159" s="184">
        <f ca="1">IF($A159="","",+ROUND(Rates!Q153,2))</f>
        <v>129.91999999999999</v>
      </c>
      <c r="M159" s="185">
        <f ca="1">IF($A159="","",+ROUND(Rates!R153,2))</f>
        <v>4050.24</v>
      </c>
      <c r="N159" s="186">
        <f t="shared" ca="1" si="63"/>
        <v>52864.583333333336</v>
      </c>
      <c r="O159" s="187">
        <f t="shared" ca="1" si="56"/>
        <v>0.47200520833333331</v>
      </c>
      <c r="P159" s="188">
        <f ca="1">IFERROR(SUM(INDIRECT("'FAF &amp; DDs'!"&amp;(ADDRESS(MATCH($B159-$E159,'FAF &amp; DDs'!$Q:$Q,0),COLUMN($R$1),2,1))&amp;":"&amp;(ADDRESS(MATCH($B159-1,'FAF &amp; DDs'!$Q:$Q,0),COLUMN($R$1),1))))/E159*30,-1)</f>
        <v>-1</v>
      </c>
      <c r="Q159" s="188">
        <f ca="1">IFERROR(SUM(INDIRECT("'FAF &amp; DDs'!"&amp;(ADDRESS(MATCH($B159-$E159,'FAF &amp; DDs'!$Q:$Q,0),COLUMN($S$1),2,1))&amp;":"&amp;(ADDRESS(MATCH($B159-1,'FAF &amp; DDs'!$Q:$Q,0),COLUMN($S$1),1))))/E159*30,-1)</f>
        <v>-1</v>
      </c>
      <c r="R159" s="176">
        <f t="shared" ca="1" si="64"/>
        <v>6</v>
      </c>
      <c r="S159">
        <f ca="1">IF(ROW()&gt;MIN(($AB$8,$AB$7))+11,0,MATCH(V159,INDIRECT("'Reading History'!B"&amp;$Y$5&amp;":b"&amp;$Y$6),-1))</f>
        <v>148</v>
      </c>
      <c r="U159" s="152">
        <f t="shared" ca="1" si="57"/>
        <v>39546</v>
      </c>
      <c r="V159" s="4">
        <f t="shared" ca="1" si="65"/>
        <v>39546</v>
      </c>
      <c r="W159">
        <f t="shared" ca="1" si="58"/>
        <v>0</v>
      </c>
      <c r="X159">
        <f t="shared" ca="1" si="59"/>
        <v>32</v>
      </c>
      <c r="AB159" s="176">
        <f t="shared" ca="1" si="66"/>
        <v>0</v>
      </c>
    </row>
    <row r="160" spans="1:28" ht="15" customHeight="1" x14ac:dyDescent="0.2">
      <c r="A160" s="2" t="str">
        <f t="shared" ca="1" si="52"/>
        <v>Electric</v>
      </c>
      <c r="B160" s="4">
        <f t="shared" ca="1" si="60"/>
        <v>39514</v>
      </c>
      <c r="C160" s="179" t="str">
        <f t="shared" ca="1" si="53"/>
        <v>Actual</v>
      </c>
      <c r="D160" s="17">
        <f t="shared" ca="1" si="61"/>
        <v>4052</v>
      </c>
      <c r="E160" s="17">
        <f t="shared" ca="1" si="54"/>
        <v>28</v>
      </c>
      <c r="F160" s="182">
        <f t="shared" ca="1" si="62"/>
        <v>38200</v>
      </c>
      <c r="G160" s="183">
        <f t="shared" ca="1" si="55"/>
        <v>146</v>
      </c>
      <c r="H160" s="184">
        <f ca="1">IF($A160="","",+Rates!N154)</f>
        <v>120</v>
      </c>
      <c r="I160" s="184">
        <f ca="1">IF($A160="","",+ROUND(Rates!O154,2))</f>
        <v>2123.92</v>
      </c>
      <c r="J160" s="184">
        <f ca="1">IF($A160="","",IF(F160=0,0,+ROUND(Rates!P154,2)))</f>
        <v>1468.76</v>
      </c>
      <c r="K160" s="184">
        <f ca="1">IF($A160="","",+ROUND(Rates!X154,2))</f>
        <v>326.42</v>
      </c>
      <c r="L160" s="184">
        <f ca="1">IF($A160="","",+ROUND(Rates!Q154,2))</f>
        <v>122.24</v>
      </c>
      <c r="M160" s="185">
        <f ca="1">IF($A160="","",+ROUND(Rates!R154,2))</f>
        <v>4161.34</v>
      </c>
      <c r="N160" s="186">
        <f t="shared" ca="1" si="63"/>
        <v>56845.238095238092</v>
      </c>
      <c r="O160" s="187">
        <f t="shared" ca="1" si="56"/>
        <v>0.38935094585779517</v>
      </c>
      <c r="P160" s="188">
        <f ca="1">IFERROR(SUM(INDIRECT("'FAF &amp; DDs'!"&amp;(ADDRESS(MATCH($B160-$E160,'FAF &amp; DDs'!$Q:$Q,0),COLUMN($R$1),2,1))&amp;":"&amp;(ADDRESS(MATCH($B160-1,'FAF &amp; DDs'!$Q:$Q,0),COLUMN($R$1),1))))/E160*30,-1)</f>
        <v>-1</v>
      </c>
      <c r="Q160" s="188">
        <f ca="1">IFERROR(SUM(INDIRECT("'FAF &amp; DDs'!"&amp;(ADDRESS(MATCH($B160-$E160,'FAF &amp; DDs'!$Q:$Q,0),COLUMN($S$1),2,1))&amp;":"&amp;(ADDRESS(MATCH($B160-1,'FAF &amp; DDs'!$Q:$Q,0),COLUMN($S$1),1))))/E160*30,-1)</f>
        <v>-1</v>
      </c>
      <c r="R160" s="176">
        <f t="shared" ca="1" si="64"/>
        <v>6</v>
      </c>
      <c r="S160">
        <f ca="1">IF(ROW()&gt;MIN(($AB$8,$AB$7))+11,0,MATCH(V160,INDIRECT("'Reading History'!B"&amp;$Y$5&amp;":b"&amp;$Y$6),-1))</f>
        <v>149</v>
      </c>
      <c r="U160" s="152">
        <f t="shared" ca="1" si="57"/>
        <v>39514</v>
      </c>
      <c r="V160" s="4">
        <f t="shared" ca="1" si="65"/>
        <v>39514</v>
      </c>
      <c r="W160">
        <f t="shared" ca="1" si="58"/>
        <v>0</v>
      </c>
      <c r="X160">
        <f t="shared" ca="1" si="59"/>
        <v>28</v>
      </c>
      <c r="AB160" s="176">
        <f t="shared" ca="1" si="66"/>
        <v>0</v>
      </c>
    </row>
    <row r="161" spans="1:28" ht="15" customHeight="1" x14ac:dyDescent="0.2">
      <c r="A161" s="2" t="str">
        <f t="shared" ca="1" si="52"/>
        <v>Electric</v>
      </c>
      <c r="B161" s="4">
        <f t="shared" ca="1" si="60"/>
        <v>39486</v>
      </c>
      <c r="C161" s="179" t="str">
        <f t="shared" ca="1" si="53"/>
        <v>Actual</v>
      </c>
      <c r="D161" s="17">
        <f t="shared" ca="1" si="61"/>
        <v>3861</v>
      </c>
      <c r="E161" s="17">
        <f t="shared" ca="1" si="54"/>
        <v>31</v>
      </c>
      <c r="F161" s="182">
        <f t="shared" ca="1" si="62"/>
        <v>44400</v>
      </c>
      <c r="G161" s="183">
        <f t="shared" ca="1" si="55"/>
        <v>132</v>
      </c>
      <c r="H161" s="184">
        <f ca="1">IF($A161="","",+Rates!N155)</f>
        <v>120</v>
      </c>
      <c r="I161" s="184">
        <f ca="1">IF($A161="","",+ROUND(Rates!O155,2))</f>
        <v>2468.64</v>
      </c>
      <c r="J161" s="184">
        <f ca="1">IF($A161="","",IF(F161=0,0,+ROUND(Rates!P155,2)))</f>
        <v>1327.92</v>
      </c>
      <c r="K161" s="184">
        <f ca="1">IF($A161="","",+ROUND(Rates!X155,2))</f>
        <v>443.82</v>
      </c>
      <c r="L161" s="184">
        <f ca="1">IF($A161="","",+ROUND(Rates!Q155,2))</f>
        <v>142.08000000000001</v>
      </c>
      <c r="M161" s="185">
        <f ca="1">IF($A161="","",+ROUND(Rates!R155,2))</f>
        <v>4502.46</v>
      </c>
      <c r="N161" s="186">
        <f t="shared" ca="1" si="63"/>
        <v>59677.419354838712</v>
      </c>
      <c r="O161" s="187">
        <f t="shared" ca="1" si="56"/>
        <v>0.45210166177908112</v>
      </c>
      <c r="P161" s="188">
        <f ca="1">IFERROR(SUM(INDIRECT("'FAF &amp; DDs'!"&amp;(ADDRESS(MATCH($B161-$E161,'FAF &amp; DDs'!$Q:$Q,0),COLUMN($R$1),2,1))&amp;":"&amp;(ADDRESS(MATCH($B161-1,'FAF &amp; DDs'!$Q:$Q,0),COLUMN($R$1),1))))/E161*30,-1)</f>
        <v>-1</v>
      </c>
      <c r="Q161" s="188">
        <f ca="1">IFERROR(SUM(INDIRECT("'FAF &amp; DDs'!"&amp;(ADDRESS(MATCH($B161-$E161,'FAF &amp; DDs'!$Q:$Q,0),COLUMN($S$1),2,1))&amp;":"&amp;(ADDRESS(MATCH($B161-1,'FAF &amp; DDs'!$Q:$Q,0),COLUMN($S$1),1))))/E161*30,-1)</f>
        <v>-1</v>
      </c>
      <c r="R161" s="176">
        <f t="shared" ca="1" si="64"/>
        <v>6</v>
      </c>
      <c r="S161">
        <f ca="1">IF(ROW()&gt;MIN(($AB$8,$AB$7))+11,0,MATCH(V161,INDIRECT("'Reading History'!B"&amp;$Y$5&amp;":b"&amp;$Y$6),-1))</f>
        <v>150</v>
      </c>
      <c r="U161" s="152">
        <f t="shared" ca="1" si="57"/>
        <v>39486</v>
      </c>
      <c r="V161" s="4">
        <f t="shared" ca="1" si="65"/>
        <v>39486</v>
      </c>
      <c r="W161">
        <f t="shared" ca="1" si="58"/>
        <v>0</v>
      </c>
      <c r="X161">
        <f t="shared" ca="1" si="59"/>
        <v>31</v>
      </c>
      <c r="AB161" s="176">
        <f t="shared" ca="1" si="66"/>
        <v>0</v>
      </c>
    </row>
    <row r="162" spans="1:28" ht="15" customHeight="1" x14ac:dyDescent="0.2">
      <c r="A162" s="2" t="str">
        <f t="shared" ca="1" si="52"/>
        <v>Electric</v>
      </c>
      <c r="B162" s="4">
        <f t="shared" ca="1" si="60"/>
        <v>39455</v>
      </c>
      <c r="C162" s="179" t="str">
        <f t="shared" ca="1" si="53"/>
        <v>Actual</v>
      </c>
      <c r="D162" s="17">
        <f t="shared" ca="1" si="61"/>
        <v>3639</v>
      </c>
      <c r="E162" s="17">
        <f t="shared" ca="1" si="54"/>
        <v>34</v>
      </c>
      <c r="F162" s="182">
        <f t="shared" ca="1" si="62"/>
        <v>41000</v>
      </c>
      <c r="G162" s="183">
        <f t="shared" ca="1" si="55"/>
        <v>132</v>
      </c>
      <c r="H162" s="184">
        <f ca="1">IF($A162="","",+Rates!N156)</f>
        <v>120</v>
      </c>
      <c r="I162" s="184">
        <f ca="1">IF($A162="","",+ROUND(Rates!O156,2))</f>
        <v>2279.6</v>
      </c>
      <c r="J162" s="184">
        <f ca="1">IF($A162="","",IF(F162=0,0,+ROUND(Rates!P156,2)))</f>
        <v>1327.92</v>
      </c>
      <c r="K162" s="184">
        <f ca="1">IF($A162="","",+ROUND(Rates!X156,2))</f>
        <v>825.17</v>
      </c>
      <c r="L162" s="184">
        <f ca="1">IF($A162="","",+ROUND(Rates!Q156,2))</f>
        <v>131.19999999999999</v>
      </c>
      <c r="M162" s="185">
        <f ca="1">IF($A162="","",+ROUND(Rates!R156,2))</f>
        <v>4683.8900000000003</v>
      </c>
      <c r="N162" s="186">
        <f t="shared" ca="1" si="63"/>
        <v>50245.098039215693</v>
      </c>
      <c r="O162" s="187">
        <f t="shared" ca="1" si="56"/>
        <v>0.38064468211527036</v>
      </c>
      <c r="P162" s="188">
        <f ca="1">IFERROR(SUM(INDIRECT("'FAF &amp; DDs'!"&amp;(ADDRESS(MATCH($B162-$E162,'FAF &amp; DDs'!$Q:$Q,0),COLUMN($R$1),2,1))&amp;":"&amp;(ADDRESS(MATCH($B162-1,'FAF &amp; DDs'!$Q:$Q,0),COLUMN($R$1),1))))/E162*30,-1)</f>
        <v>-1</v>
      </c>
      <c r="Q162" s="188">
        <f ca="1">IFERROR(SUM(INDIRECT("'FAF &amp; DDs'!"&amp;(ADDRESS(MATCH($B162-$E162,'FAF &amp; DDs'!$Q:$Q,0),COLUMN($S$1),2,1))&amp;":"&amp;(ADDRESS(MATCH($B162-1,'FAF &amp; DDs'!$Q:$Q,0),COLUMN($S$1),1))))/E162*30,-1)</f>
        <v>-1</v>
      </c>
      <c r="R162" s="176">
        <f t="shared" ca="1" si="64"/>
        <v>6</v>
      </c>
      <c r="S162">
        <f ca="1">IF(ROW()&gt;MIN(($AB$8,$AB$7))+11,0,MATCH(V162,INDIRECT("'Reading History'!B"&amp;$Y$5&amp;":b"&amp;$Y$6),-1))</f>
        <v>151</v>
      </c>
      <c r="U162" s="152">
        <f t="shared" ca="1" si="57"/>
        <v>39455</v>
      </c>
      <c r="V162" s="4">
        <f t="shared" ca="1" si="65"/>
        <v>39455</v>
      </c>
      <c r="W162">
        <f t="shared" ca="1" si="58"/>
        <v>0</v>
      </c>
      <c r="X162">
        <f t="shared" ca="1" si="59"/>
        <v>34</v>
      </c>
      <c r="AB162" s="176">
        <f t="shared" ca="1" si="66"/>
        <v>0</v>
      </c>
    </row>
    <row r="163" spans="1:28" ht="15" customHeight="1" x14ac:dyDescent="0.2">
      <c r="A163" s="2" t="str">
        <f t="shared" ca="1" si="52"/>
        <v>Electric</v>
      </c>
      <c r="B163" s="4">
        <f t="shared" ca="1" si="60"/>
        <v>39421</v>
      </c>
      <c r="C163" s="179" t="str">
        <f t="shared" ca="1" si="53"/>
        <v>Actual</v>
      </c>
      <c r="D163" s="17">
        <f t="shared" ca="1" si="61"/>
        <v>3434</v>
      </c>
      <c r="E163" s="17">
        <f t="shared" ca="1" si="54"/>
        <v>33</v>
      </c>
      <c r="F163" s="182">
        <f t="shared" ca="1" si="62"/>
        <v>40000</v>
      </c>
      <c r="G163" s="183">
        <f t="shared" ca="1" si="55"/>
        <v>152</v>
      </c>
      <c r="H163" s="184">
        <f ca="1">IF($A163="","",+Rates!N157)</f>
        <v>120</v>
      </c>
      <c r="I163" s="184">
        <f ca="1">IF($A163="","",+ROUND(Rates!O157,2))</f>
        <v>2224</v>
      </c>
      <c r="J163" s="184">
        <f ca="1">IF($A163="","",IF(F163=0,0,+ROUND(Rates!P157,2)))</f>
        <v>1529.12</v>
      </c>
      <c r="K163" s="184">
        <f ca="1">IF($A163="","",+ROUND(Rates!X157,2))</f>
        <v>606.20000000000005</v>
      </c>
      <c r="L163" s="184">
        <f ca="1">IF($A163="","",+ROUND(Rates!Q157,2))</f>
        <v>128</v>
      </c>
      <c r="M163" s="185">
        <f ca="1">IF($A163="","",+ROUND(Rates!R157,2))</f>
        <v>4607.32</v>
      </c>
      <c r="N163" s="186">
        <f t="shared" ca="1" si="63"/>
        <v>56084.656084656082</v>
      </c>
      <c r="O163" s="187">
        <f t="shared" ca="1" si="56"/>
        <v>0.33227006911217438</v>
      </c>
      <c r="P163" s="188">
        <f ca="1">IFERROR(SUM(INDIRECT("'FAF &amp; DDs'!"&amp;(ADDRESS(MATCH($B163-$E163,'FAF &amp; DDs'!$Q:$Q,0),COLUMN($R$1),2,1))&amp;":"&amp;(ADDRESS(MATCH($B163-1,'FAF &amp; DDs'!$Q:$Q,0),COLUMN($R$1),1))))/E163*30,-1)</f>
        <v>-1</v>
      </c>
      <c r="Q163" s="188">
        <f ca="1">IFERROR(SUM(INDIRECT("'FAF &amp; DDs'!"&amp;(ADDRESS(MATCH($B163-$E163,'FAF &amp; DDs'!$Q:$Q,0),COLUMN($S$1),2,1))&amp;":"&amp;(ADDRESS(MATCH($B163-1,'FAF &amp; DDs'!$Q:$Q,0),COLUMN($S$1),1))))/E163*30,-1)</f>
        <v>-1</v>
      </c>
      <c r="R163" s="176">
        <f t="shared" ca="1" si="64"/>
        <v>6</v>
      </c>
      <c r="S163">
        <f ca="1">IF(ROW()&gt;MIN(($AB$8,$AB$7))+11,0,MATCH(V163,INDIRECT("'Reading History'!B"&amp;$Y$5&amp;":b"&amp;$Y$6),-1))</f>
        <v>152</v>
      </c>
      <c r="U163" s="152">
        <f t="shared" ca="1" si="57"/>
        <v>39421</v>
      </c>
      <c r="V163" s="4">
        <f t="shared" ca="1" si="65"/>
        <v>39421</v>
      </c>
      <c r="W163">
        <f t="shared" ca="1" si="58"/>
        <v>0</v>
      </c>
      <c r="X163">
        <f t="shared" ca="1" si="59"/>
        <v>33</v>
      </c>
      <c r="AB163" s="176">
        <f t="shared" ca="1" si="66"/>
        <v>0</v>
      </c>
    </row>
    <row r="164" spans="1:28" ht="15" customHeight="1" x14ac:dyDescent="0.2">
      <c r="A164" s="2" t="str">
        <f t="shared" ca="1" si="52"/>
        <v>Electric</v>
      </c>
      <c r="B164" s="4">
        <f t="shared" ca="1" si="60"/>
        <v>39388</v>
      </c>
      <c r="C164" s="179" t="str">
        <f t="shared" ca="1" si="53"/>
        <v>Estimate</v>
      </c>
      <c r="D164" s="17">
        <f t="shared" ca="1" si="61"/>
        <v>3234</v>
      </c>
      <c r="E164" s="17">
        <f t="shared" ca="1" si="54"/>
        <v>30</v>
      </c>
      <c r="F164" s="182">
        <f t="shared" ca="1" si="62"/>
        <v>44800</v>
      </c>
      <c r="G164" s="183">
        <f t="shared" ca="1" si="55"/>
        <v>132</v>
      </c>
      <c r="H164" s="184">
        <f ca="1">IF($A164="","",+Rates!N158)</f>
        <v>120</v>
      </c>
      <c r="I164" s="184">
        <f ca="1">IF($A164="","",+ROUND(Rates!O158,2))</f>
        <v>2490.88</v>
      </c>
      <c r="J164" s="184">
        <f ca="1">IF($A164="","",IF(F164=0,0,+ROUND(Rates!P158,2)))</f>
        <v>1327.92</v>
      </c>
      <c r="K164" s="184">
        <f ca="1">IF($A164="","",+ROUND(Rates!X158,2))</f>
        <v>714.43</v>
      </c>
      <c r="L164" s="184">
        <f ca="1">IF($A164="","",+ROUND(Rates!Q158,2))</f>
        <v>143.36000000000001</v>
      </c>
      <c r="M164" s="185">
        <f ca="1">IF($A164="","",+ROUND(Rates!R158,2))</f>
        <v>4796.59</v>
      </c>
      <c r="N164" s="186">
        <f t="shared" ca="1" si="63"/>
        <v>56084.656084656082</v>
      </c>
      <c r="O164" s="187">
        <f t="shared" ca="1" si="56"/>
        <v>0.4713804713804714</v>
      </c>
      <c r="P164" s="188">
        <f ca="1">IFERROR(SUM(INDIRECT("'FAF &amp; DDs'!"&amp;(ADDRESS(MATCH($B164-$E164,'FAF &amp; DDs'!$Q:$Q,0),COLUMN($R$1),2,1))&amp;":"&amp;(ADDRESS(MATCH($B164-1,'FAF &amp; DDs'!$Q:$Q,0),COLUMN($R$1),1))))/E164*30,-1)</f>
        <v>-1</v>
      </c>
      <c r="Q164" s="188">
        <f ca="1">IFERROR(SUM(INDIRECT("'FAF &amp; DDs'!"&amp;(ADDRESS(MATCH($B164-$E164,'FAF &amp; DDs'!$Q:$Q,0),COLUMN($S$1),2,1))&amp;":"&amp;(ADDRESS(MATCH($B164-1,'FAF &amp; DDs'!$Q:$Q,0),COLUMN($S$1),1))))/E164*30,-1)</f>
        <v>-1</v>
      </c>
      <c r="R164" s="176">
        <f t="shared" ca="1" si="64"/>
        <v>6</v>
      </c>
      <c r="S164">
        <f ca="1">IF(ROW()&gt;MIN(($AB$8,$AB$7))+11,0,MATCH(V164,INDIRECT("'Reading History'!B"&amp;$Y$5&amp;":b"&amp;$Y$6),-1))</f>
        <v>153</v>
      </c>
      <c r="U164" s="152">
        <f t="shared" ca="1" si="57"/>
        <v>39388</v>
      </c>
      <c r="V164" s="4">
        <f t="shared" ca="1" si="65"/>
        <v>39388</v>
      </c>
      <c r="W164">
        <f t="shared" ca="1" si="58"/>
        <v>0</v>
      </c>
      <c r="X164">
        <f t="shared" ca="1" si="59"/>
        <v>30</v>
      </c>
      <c r="AB164" s="176">
        <f t="shared" ca="1" si="66"/>
        <v>0</v>
      </c>
    </row>
    <row r="165" spans="1:28" ht="15" customHeight="1" x14ac:dyDescent="0.2">
      <c r="A165" s="2" t="str">
        <f t="shared" ca="1" si="52"/>
        <v>Electric</v>
      </c>
      <c r="B165" s="4">
        <f t="shared" ca="1" si="60"/>
        <v>39358</v>
      </c>
      <c r="C165" s="179" t="str">
        <f t="shared" ca="1" si="53"/>
        <v>Actual</v>
      </c>
      <c r="D165" s="17">
        <f t="shared" ca="1" si="61"/>
        <v>3010</v>
      </c>
      <c r="E165" s="17">
        <f t="shared" ca="1" si="54"/>
        <v>28</v>
      </c>
      <c r="F165" s="182">
        <f t="shared" ca="1" si="62"/>
        <v>51000</v>
      </c>
      <c r="G165" s="183">
        <f t="shared" ca="1" si="55"/>
        <v>158</v>
      </c>
      <c r="H165" s="184">
        <f ca="1">IF($A165="","",+Rates!N159)</f>
        <v>120</v>
      </c>
      <c r="I165" s="184">
        <f ca="1">IF($A165="","",+ROUND(Rates!O159,2))</f>
        <v>2922.27</v>
      </c>
      <c r="J165" s="184">
        <f ca="1">IF($A165="","",IF(F165=0,0,+ROUND(Rates!P159,2)))</f>
        <v>1663.7</v>
      </c>
      <c r="K165" s="184">
        <f ca="1">IF($A165="","",+ROUND(Rates!X159,2))</f>
        <v>925.45</v>
      </c>
      <c r="L165" s="184">
        <f ca="1">IF($A165="","",+ROUND(Rates!Q159,2))</f>
        <v>163.19999999999999</v>
      </c>
      <c r="M165" s="185">
        <f ca="1">IF($A165="","",+ROUND(Rates!R159,2))</f>
        <v>5794.62</v>
      </c>
      <c r="N165" s="186">
        <f t="shared" ca="1" si="63"/>
        <v>75892.857142857145</v>
      </c>
      <c r="O165" s="187">
        <f t="shared" ca="1" si="56"/>
        <v>0.4803345388788427</v>
      </c>
      <c r="P165" s="188">
        <f ca="1">IFERROR(SUM(INDIRECT("'FAF &amp; DDs'!"&amp;(ADDRESS(MATCH($B165-$E165,'FAF &amp; DDs'!$Q:$Q,0),COLUMN($R$1),2,1))&amp;":"&amp;(ADDRESS(MATCH($B165-1,'FAF &amp; DDs'!$Q:$Q,0),COLUMN($R$1),1))))/E165*30,-1)</f>
        <v>-1</v>
      </c>
      <c r="Q165" s="188">
        <f ca="1">IFERROR(SUM(INDIRECT("'FAF &amp; DDs'!"&amp;(ADDRESS(MATCH($B165-$E165,'FAF &amp; DDs'!$Q:$Q,0),COLUMN($S$1),2,1))&amp;":"&amp;(ADDRESS(MATCH($B165-1,'FAF &amp; DDs'!$Q:$Q,0),COLUMN($S$1),1))))/E165*30,-1)</f>
        <v>-1</v>
      </c>
      <c r="R165" s="176">
        <f t="shared" ca="1" si="64"/>
        <v>6</v>
      </c>
      <c r="S165">
        <f ca="1">IF(ROW()&gt;MIN(($AB$8,$AB$7))+11,0,MATCH(V165,INDIRECT("'Reading History'!B"&amp;$Y$5&amp;":b"&amp;$Y$6),-1))</f>
        <v>154</v>
      </c>
      <c r="U165" s="152">
        <f t="shared" ca="1" si="57"/>
        <v>39358</v>
      </c>
      <c r="V165" s="4">
        <f t="shared" ca="1" si="65"/>
        <v>39358</v>
      </c>
      <c r="W165">
        <f t="shared" ca="1" si="58"/>
        <v>0</v>
      </c>
      <c r="X165">
        <f t="shared" ca="1" si="59"/>
        <v>28</v>
      </c>
      <c r="AB165" s="176">
        <f t="shared" ca="1" si="66"/>
        <v>0</v>
      </c>
    </row>
    <row r="166" spans="1:28" ht="15" customHeight="1" x14ac:dyDescent="0.2">
      <c r="A166" s="2" t="str">
        <f t="shared" ca="1" si="52"/>
        <v>Electric</v>
      </c>
      <c r="B166" s="4">
        <f t="shared" ca="1" si="60"/>
        <v>39330</v>
      </c>
      <c r="C166" s="179" t="str">
        <f t="shared" ca="1" si="53"/>
        <v>Actual</v>
      </c>
      <c r="D166" s="17">
        <f t="shared" ca="1" si="61"/>
        <v>2755</v>
      </c>
      <c r="E166" s="17">
        <f t="shared" ca="1" si="54"/>
        <v>33</v>
      </c>
      <c r="F166" s="182">
        <f t="shared" ca="1" si="62"/>
        <v>72800</v>
      </c>
      <c r="G166" s="183">
        <f t="shared" ca="1" si="55"/>
        <v>182</v>
      </c>
      <c r="H166" s="184">
        <f ca="1">IF($A166="","",+Rates!N160)</f>
        <v>120</v>
      </c>
      <c r="I166" s="184">
        <f ca="1">IF($A166="","",+ROUND(Rates!O160,2))</f>
        <v>4462.6400000000003</v>
      </c>
      <c r="J166" s="184">
        <f ca="1">IF($A166="","",IF(F166=0,0,+ROUND(Rates!P160,2)))</f>
        <v>2094.8200000000002</v>
      </c>
      <c r="K166" s="184">
        <f ca="1">IF($A166="","",+ROUND(Rates!X160,2))</f>
        <v>935.77</v>
      </c>
      <c r="L166" s="184">
        <f ca="1">IF($A166="","",+ROUND(Rates!Q160,2))</f>
        <v>232.96</v>
      </c>
      <c r="M166" s="185">
        <f ca="1">IF($A166="","",+ROUND(Rates!R160,2))</f>
        <v>7846.19</v>
      </c>
      <c r="N166" s="186">
        <f t="shared" ca="1" si="63"/>
        <v>91919.191919191915</v>
      </c>
      <c r="O166" s="187">
        <f t="shared" ca="1" si="56"/>
        <v>0.50505050505050508</v>
      </c>
      <c r="P166" s="188">
        <f ca="1">IFERROR(SUM(INDIRECT("'FAF &amp; DDs'!"&amp;(ADDRESS(MATCH($B166-$E166,'FAF &amp; DDs'!$Q:$Q,0),COLUMN($R$1),2,1))&amp;":"&amp;(ADDRESS(MATCH($B166-1,'FAF &amp; DDs'!$Q:$Q,0),COLUMN($R$1),1))))/E166*30,-1)</f>
        <v>-1</v>
      </c>
      <c r="Q166" s="188">
        <f ca="1">IFERROR(SUM(INDIRECT("'FAF &amp; DDs'!"&amp;(ADDRESS(MATCH($B166-$E166,'FAF &amp; DDs'!$Q:$Q,0),COLUMN($S$1),2,1))&amp;":"&amp;(ADDRESS(MATCH($B166-1,'FAF &amp; DDs'!$Q:$Q,0),COLUMN($S$1),1))))/E166*30,-1)</f>
        <v>-1</v>
      </c>
      <c r="R166" s="176">
        <f t="shared" ca="1" si="64"/>
        <v>6</v>
      </c>
      <c r="S166">
        <f ca="1">IF(ROW()&gt;MIN(($AB$8,$AB$7))+11,0,MATCH(V166,INDIRECT("'Reading History'!B"&amp;$Y$5&amp;":b"&amp;$Y$6),-1))</f>
        <v>155</v>
      </c>
      <c r="U166" s="152">
        <f t="shared" ca="1" si="57"/>
        <v>39330</v>
      </c>
      <c r="V166" s="4">
        <f t="shared" ca="1" si="65"/>
        <v>39330</v>
      </c>
      <c r="W166">
        <f t="shared" ca="1" si="58"/>
        <v>0</v>
      </c>
      <c r="X166">
        <f t="shared" ca="1" si="59"/>
        <v>33</v>
      </c>
      <c r="AB166" s="176">
        <f t="shared" ca="1" si="66"/>
        <v>0</v>
      </c>
    </row>
    <row r="167" spans="1:28" ht="15" customHeight="1" x14ac:dyDescent="0.2">
      <c r="A167" s="2" t="str">
        <f t="shared" ca="1" si="52"/>
        <v>Electric</v>
      </c>
      <c r="B167" s="4">
        <f t="shared" ca="1" si="60"/>
        <v>39297</v>
      </c>
      <c r="C167" s="179" t="str">
        <f t="shared" ca="1" si="53"/>
        <v>Actual</v>
      </c>
      <c r="D167" s="17">
        <f t="shared" ca="1" si="61"/>
        <v>2391</v>
      </c>
      <c r="E167" s="17">
        <f t="shared" ca="1" si="54"/>
        <v>31</v>
      </c>
      <c r="F167" s="182">
        <f t="shared" ca="1" si="62"/>
        <v>54800</v>
      </c>
      <c r="G167" s="183">
        <f t="shared" ca="1" si="55"/>
        <v>166</v>
      </c>
      <c r="H167" s="184">
        <f ca="1">IF($A167="","",+Rates!N161)</f>
        <v>120</v>
      </c>
      <c r="I167" s="184">
        <f ca="1">IF($A167="","",+ROUND(Rates!O161,2))</f>
        <v>3359.24</v>
      </c>
      <c r="J167" s="184">
        <f ca="1">IF($A167="","",IF(F167=0,0,+ROUND(Rates!P161,2)))</f>
        <v>1910.66</v>
      </c>
      <c r="K167" s="184">
        <f ca="1">IF($A167="","",+ROUND(Rates!X161,2))</f>
        <v>570.74</v>
      </c>
      <c r="L167" s="184">
        <f ca="1">IF($A167="","",+ROUND(Rates!Q161,2))</f>
        <v>175.36</v>
      </c>
      <c r="M167" s="185">
        <f ca="1">IF($A167="","",+ROUND(Rates!R161,2))</f>
        <v>6136</v>
      </c>
      <c r="N167" s="186">
        <f t="shared" ca="1" si="63"/>
        <v>73655.913978494631</v>
      </c>
      <c r="O167" s="187">
        <f t="shared" ca="1" si="56"/>
        <v>0.44371032517165437</v>
      </c>
      <c r="P167" s="188">
        <f ca="1">IFERROR(SUM(INDIRECT("'FAF &amp; DDs'!"&amp;(ADDRESS(MATCH($B167-$E167,'FAF &amp; DDs'!$Q:$Q,0),COLUMN($R$1),2,1))&amp;":"&amp;(ADDRESS(MATCH($B167-1,'FAF &amp; DDs'!$Q:$Q,0),COLUMN($R$1),1))))/E167*30,-1)</f>
        <v>-1</v>
      </c>
      <c r="Q167" s="188">
        <f ca="1">IFERROR(SUM(INDIRECT("'FAF &amp; DDs'!"&amp;(ADDRESS(MATCH($B167-$E167,'FAF &amp; DDs'!$Q:$Q,0),COLUMN($S$1),2,1))&amp;":"&amp;(ADDRESS(MATCH($B167-1,'FAF &amp; DDs'!$Q:$Q,0),COLUMN($S$1),1))))/E167*30,-1)</f>
        <v>-1</v>
      </c>
      <c r="R167" s="176">
        <f t="shared" ca="1" si="64"/>
        <v>6</v>
      </c>
      <c r="S167">
        <f ca="1">IF(ROW()&gt;MIN(($AB$8,$AB$7))+11,0,MATCH(V167,INDIRECT("'Reading History'!B"&amp;$Y$5&amp;":b"&amp;$Y$6),-1))</f>
        <v>156</v>
      </c>
      <c r="U167" s="152">
        <f t="shared" ca="1" si="57"/>
        <v>39297</v>
      </c>
      <c r="V167" s="4">
        <f t="shared" ca="1" si="65"/>
        <v>39297</v>
      </c>
      <c r="W167">
        <f t="shared" ca="1" si="58"/>
        <v>0</v>
      </c>
      <c r="X167">
        <f t="shared" ca="1" si="59"/>
        <v>31</v>
      </c>
      <c r="AB167" s="176">
        <f t="shared" ca="1" si="66"/>
        <v>0</v>
      </c>
    </row>
    <row r="168" spans="1:28" ht="15" customHeight="1" x14ac:dyDescent="0.2">
      <c r="A168" s="2" t="str">
        <f t="shared" ca="1" si="52"/>
        <v>Electric</v>
      </c>
      <c r="B168" s="4">
        <f t="shared" ca="1" si="60"/>
        <v>39266</v>
      </c>
      <c r="C168" s="179" t="str">
        <f t="shared" ca="1" si="53"/>
        <v>Actual</v>
      </c>
      <c r="D168" s="17">
        <f t="shared" ca="1" si="61"/>
        <v>2117</v>
      </c>
      <c r="E168" s="17">
        <f t="shared" ca="1" si="54"/>
        <v>28</v>
      </c>
      <c r="F168" s="182">
        <f t="shared" ca="1" si="62"/>
        <v>49000</v>
      </c>
      <c r="G168" s="183">
        <f t="shared" ca="1" si="55"/>
        <v>168</v>
      </c>
      <c r="H168" s="184">
        <f ca="1">IF($A168="","",+Rates!N162)</f>
        <v>120</v>
      </c>
      <c r="I168" s="184">
        <f ca="1">IF($A168="","",+ROUND(Rates!O162,2))</f>
        <v>3003.7</v>
      </c>
      <c r="J168" s="184">
        <f ca="1">IF($A168="","",IF(F168=0,0,+ROUND(Rates!P162,2)))</f>
        <v>1933.68</v>
      </c>
      <c r="K168" s="184">
        <f ca="1">IF($A168="","",+ROUND(Rates!X162,2))</f>
        <v>243.38</v>
      </c>
      <c r="L168" s="184">
        <f ca="1">IF($A168="","",+ROUND(Rates!Q162,2))</f>
        <v>156.80000000000001</v>
      </c>
      <c r="M168" s="185">
        <f ca="1">IF($A168="","",+ROUND(Rates!R162,2))</f>
        <v>5457.56</v>
      </c>
      <c r="N168" s="186">
        <f t="shared" ca="1" si="63"/>
        <v>72916.666666666672</v>
      </c>
      <c r="O168" s="187">
        <f t="shared" ca="1" si="56"/>
        <v>0.43402777777777779</v>
      </c>
      <c r="P168" s="188">
        <f ca="1">IFERROR(SUM(INDIRECT("'FAF &amp; DDs'!"&amp;(ADDRESS(MATCH($B168-$E168,'FAF &amp; DDs'!$Q:$Q,0),COLUMN($R$1),2,1))&amp;":"&amp;(ADDRESS(MATCH($B168-1,'FAF &amp; DDs'!$Q:$Q,0),COLUMN($R$1),1))))/E168*30,-1)</f>
        <v>-1</v>
      </c>
      <c r="Q168" s="188">
        <f ca="1">IFERROR(SUM(INDIRECT("'FAF &amp; DDs'!"&amp;(ADDRESS(MATCH($B168-$E168,'FAF &amp; DDs'!$Q:$Q,0),COLUMN($S$1),2,1))&amp;":"&amp;(ADDRESS(MATCH($B168-1,'FAF &amp; DDs'!$Q:$Q,0),COLUMN($S$1),1))))/E168*30,-1)</f>
        <v>-1</v>
      </c>
      <c r="R168" s="176">
        <f t="shared" ca="1" si="64"/>
        <v>6</v>
      </c>
      <c r="S168">
        <f ca="1">IF(ROW()&gt;MIN(($AB$8,$AB$7))+11,0,MATCH(V168,INDIRECT("'Reading History'!B"&amp;$Y$5&amp;":b"&amp;$Y$6),-1))</f>
        <v>157</v>
      </c>
      <c r="U168" s="152">
        <f t="shared" ca="1" si="57"/>
        <v>39266</v>
      </c>
      <c r="V168" s="4">
        <f t="shared" ca="1" si="65"/>
        <v>39266</v>
      </c>
      <c r="W168">
        <f t="shared" ca="1" si="58"/>
        <v>0</v>
      </c>
      <c r="X168">
        <f t="shared" ca="1" si="59"/>
        <v>28</v>
      </c>
      <c r="AB168" s="176">
        <f t="shared" ca="1" si="66"/>
        <v>0</v>
      </c>
    </row>
    <row r="169" spans="1:28" ht="15" customHeight="1" x14ac:dyDescent="0.2">
      <c r="A169" s="2" t="str">
        <f t="shared" ca="1" si="52"/>
        <v>Electric</v>
      </c>
      <c r="B169" s="4">
        <f t="shared" ca="1" si="60"/>
        <v>39238</v>
      </c>
      <c r="C169" s="179" t="str">
        <f t="shared" ca="1" si="53"/>
        <v>Actual</v>
      </c>
      <c r="D169" s="17">
        <f t="shared" ca="1" si="61"/>
        <v>1872</v>
      </c>
      <c r="E169" s="17">
        <f t="shared" ca="1" si="54"/>
        <v>29</v>
      </c>
      <c r="F169" s="182">
        <f t="shared" ca="1" si="62"/>
        <v>45200</v>
      </c>
      <c r="G169" s="183">
        <f t="shared" ca="1" si="55"/>
        <v>156</v>
      </c>
      <c r="H169" s="184">
        <f ca="1">IF($A169="","",+Rates!N163)</f>
        <v>120</v>
      </c>
      <c r="I169" s="184">
        <f ca="1">IF($A169="","",+ROUND(Rates!O163,2))</f>
        <v>2678.49</v>
      </c>
      <c r="J169" s="184">
        <f ca="1">IF($A169="","",IF(F169=0,0,+ROUND(Rates!P163,2)))</f>
        <v>1720.68</v>
      </c>
      <c r="K169" s="184">
        <f ca="1">IF($A169="","",+ROUND(Rates!X163,2))</f>
        <v>652.64</v>
      </c>
      <c r="L169" s="184">
        <f ca="1">IF($A169="","",+ROUND(Rates!Q163,2))</f>
        <v>144.63999999999999</v>
      </c>
      <c r="M169" s="185">
        <f ca="1">IF($A169="","",+ROUND(Rates!R163,2))</f>
        <v>5316.45</v>
      </c>
      <c r="N169" s="186">
        <f t="shared" ca="1" si="63"/>
        <v>64942.528735632179</v>
      </c>
      <c r="O169" s="187">
        <f t="shared" ca="1" si="56"/>
        <v>0.41629826112584734</v>
      </c>
      <c r="P169" s="188">
        <f ca="1">IFERROR(SUM(INDIRECT("'FAF &amp; DDs'!"&amp;(ADDRESS(MATCH($B169-$E169,'FAF &amp; DDs'!$Q:$Q,0),COLUMN($R$1),2,1))&amp;":"&amp;(ADDRESS(MATCH($B169-1,'FAF &amp; DDs'!$Q:$Q,0),COLUMN($R$1),1))))/E169*30,-1)</f>
        <v>-1</v>
      </c>
      <c r="Q169" s="188">
        <f ca="1">IFERROR(SUM(INDIRECT("'FAF &amp; DDs'!"&amp;(ADDRESS(MATCH($B169-$E169,'FAF &amp; DDs'!$Q:$Q,0),COLUMN($S$1),2,1))&amp;":"&amp;(ADDRESS(MATCH($B169-1,'FAF &amp; DDs'!$Q:$Q,0),COLUMN($S$1),1))))/E169*30,-1)</f>
        <v>-1</v>
      </c>
      <c r="R169" s="176">
        <f t="shared" ca="1" si="64"/>
        <v>6</v>
      </c>
      <c r="S169">
        <f ca="1">IF(ROW()&gt;MIN(($AB$8,$AB$7))+11,0,MATCH(V169,INDIRECT("'Reading History'!B"&amp;$Y$5&amp;":b"&amp;$Y$6),-1))</f>
        <v>158</v>
      </c>
      <c r="U169" s="152">
        <f t="shared" ca="1" si="57"/>
        <v>39238</v>
      </c>
      <c r="V169" s="4">
        <f t="shared" ca="1" si="65"/>
        <v>39238</v>
      </c>
      <c r="W169">
        <f t="shared" ca="1" si="58"/>
        <v>0</v>
      </c>
      <c r="X169">
        <f t="shared" ca="1" si="59"/>
        <v>29</v>
      </c>
      <c r="AB169" s="176">
        <f t="shared" ca="1" si="66"/>
        <v>0</v>
      </c>
    </row>
    <row r="170" spans="1:28" ht="15" customHeight="1" x14ac:dyDescent="0.2">
      <c r="A170" s="2" t="str">
        <f t="shared" ca="1" si="52"/>
        <v>Electric</v>
      </c>
      <c r="B170" s="4">
        <f t="shared" ca="1" si="60"/>
        <v>39209</v>
      </c>
      <c r="C170" s="179" t="str">
        <f t="shared" ca="1" si="53"/>
        <v>Actual</v>
      </c>
      <c r="D170" s="17">
        <f t="shared" ca="1" si="61"/>
        <v>1646</v>
      </c>
      <c r="E170" s="17">
        <f t="shared" ca="1" si="54"/>
        <v>33</v>
      </c>
      <c r="F170" s="182">
        <f t="shared" ca="1" si="62"/>
        <v>43000</v>
      </c>
      <c r="G170" s="183">
        <f t="shared" ca="1" si="55"/>
        <v>154</v>
      </c>
      <c r="H170" s="184">
        <f ca="1">IF($A170="","",+Rates!N164)</f>
        <v>120</v>
      </c>
      <c r="I170" s="184">
        <f ca="1">IF($A170="","",+ROUND(Rates!O164,2))</f>
        <v>2317.6999999999998</v>
      </c>
      <c r="J170" s="184">
        <f ca="1">IF($A170="","",IF(F170=0,0,+ROUND(Rates!P164,2)))</f>
        <v>1504.58</v>
      </c>
      <c r="K170" s="184">
        <f ca="1">IF($A170="","",+ROUND(Rates!X164,2))</f>
        <v>275.67</v>
      </c>
      <c r="L170" s="184">
        <f ca="1">IF($A170="","",+ROUND(Rates!Q164,2))</f>
        <v>137.6</v>
      </c>
      <c r="M170" s="185">
        <f ca="1">IF($A170="","",+ROUND(Rates!R164,2))</f>
        <v>4355.55</v>
      </c>
      <c r="N170" s="186">
        <f t="shared" ca="1" si="63"/>
        <v>54292.929292929293</v>
      </c>
      <c r="O170" s="187">
        <f t="shared" ca="1" si="56"/>
        <v>0.35255148891512528</v>
      </c>
      <c r="P170" s="188">
        <f ca="1">IFERROR(SUM(INDIRECT("'FAF &amp; DDs'!"&amp;(ADDRESS(MATCH($B170-$E170,'FAF &amp; DDs'!$Q:$Q,0),COLUMN($R$1),2,1))&amp;":"&amp;(ADDRESS(MATCH($B170-1,'FAF &amp; DDs'!$Q:$Q,0),COLUMN($R$1),1))))/E170*30,-1)</f>
        <v>-1</v>
      </c>
      <c r="Q170" s="188">
        <f ca="1">IFERROR(SUM(INDIRECT("'FAF &amp; DDs'!"&amp;(ADDRESS(MATCH($B170-$E170,'FAF &amp; DDs'!$Q:$Q,0),COLUMN($S$1),2,1))&amp;":"&amp;(ADDRESS(MATCH($B170-1,'FAF &amp; DDs'!$Q:$Q,0),COLUMN($S$1),1))))/E170*30,-1)</f>
        <v>-1</v>
      </c>
      <c r="R170" s="176">
        <f t="shared" ca="1" si="64"/>
        <v>6</v>
      </c>
      <c r="S170">
        <f ca="1">IF(ROW()&gt;MIN(($AB$8,$AB$7))+11,0,MATCH(V170,INDIRECT("'Reading History'!B"&amp;$Y$5&amp;":b"&amp;$Y$6),-1))</f>
        <v>159</v>
      </c>
      <c r="U170" s="152">
        <f t="shared" ca="1" si="57"/>
        <v>39209</v>
      </c>
      <c r="V170" s="4">
        <f t="shared" ca="1" si="65"/>
        <v>39209</v>
      </c>
      <c r="W170">
        <f t="shared" ca="1" si="58"/>
        <v>0</v>
      </c>
      <c r="X170">
        <f t="shared" ca="1" si="59"/>
        <v>33</v>
      </c>
      <c r="AB170" s="176">
        <f t="shared" ca="1" si="66"/>
        <v>0</v>
      </c>
    </row>
    <row r="171" spans="1:28" ht="15" customHeight="1" x14ac:dyDescent="0.2">
      <c r="A171" s="2" t="str">
        <f t="shared" ca="1" si="52"/>
        <v>Electric</v>
      </c>
      <c r="B171" s="4">
        <f t="shared" ca="1" si="60"/>
        <v>39176</v>
      </c>
      <c r="C171" s="179" t="str">
        <f t="shared" ca="1" si="53"/>
        <v>Actual</v>
      </c>
      <c r="D171" s="17">
        <f t="shared" ca="1" si="61"/>
        <v>1431</v>
      </c>
      <c r="E171" s="17">
        <f t="shared" ca="1" si="54"/>
        <v>27</v>
      </c>
      <c r="F171" s="182">
        <f t="shared" ca="1" si="62"/>
        <v>35800</v>
      </c>
      <c r="G171" s="183">
        <f t="shared" ca="1" si="55"/>
        <v>152</v>
      </c>
      <c r="H171" s="184">
        <f ca="1">IF($A171="","",+Rates!N165)</f>
        <v>120</v>
      </c>
      <c r="I171" s="184">
        <f ca="1">IF($A171="","",+ROUND(Rates!O165,2))</f>
        <v>1881.89</v>
      </c>
      <c r="J171" s="184">
        <f ca="1">IF($A171="","",IF(F171=0,0,+ROUND(Rates!P165,2)))</f>
        <v>1447.21</v>
      </c>
      <c r="K171" s="184">
        <f ca="1">IF($A171="","",+ROUND(Rates!X165,2))</f>
        <v>94.62</v>
      </c>
      <c r="L171" s="184">
        <f ca="1">IF($A171="","",+ROUND(Rates!Q165,2))</f>
        <v>114.56</v>
      </c>
      <c r="M171" s="185">
        <f ca="1">IF($A171="","",+ROUND(Rates!R165,2))</f>
        <v>3658.28</v>
      </c>
      <c r="N171" s="186">
        <f t="shared" ca="1" si="63"/>
        <v>55246.91358024691</v>
      </c>
      <c r="O171" s="187">
        <f t="shared" ca="1" si="56"/>
        <v>0.36346653671215073</v>
      </c>
      <c r="P171" s="188">
        <f ca="1">IFERROR(SUM(INDIRECT("'FAF &amp; DDs'!"&amp;(ADDRESS(MATCH($B171-$E171,'FAF &amp; DDs'!$Q:$Q,0),COLUMN($R$1),2,1))&amp;":"&amp;(ADDRESS(MATCH($B171-1,'FAF &amp; DDs'!$Q:$Q,0),COLUMN($R$1),1))))/E171*30,-1)</f>
        <v>-1</v>
      </c>
      <c r="Q171" s="188">
        <f ca="1">IFERROR(SUM(INDIRECT("'FAF &amp; DDs'!"&amp;(ADDRESS(MATCH($B171-$E171,'FAF &amp; DDs'!$Q:$Q,0),COLUMN($S$1),2,1))&amp;":"&amp;(ADDRESS(MATCH($B171-1,'FAF &amp; DDs'!$Q:$Q,0),COLUMN($S$1),1))))/E171*30,-1)</f>
        <v>-1</v>
      </c>
      <c r="R171" s="176">
        <f t="shared" ca="1" si="64"/>
        <v>6</v>
      </c>
      <c r="S171">
        <f ca="1">IF(ROW()&gt;MIN(($AB$8,$AB$7))+11,0,MATCH(V171,INDIRECT("'Reading History'!B"&amp;$Y$5&amp;":b"&amp;$Y$6),-1))</f>
        <v>160</v>
      </c>
      <c r="U171" s="152">
        <f t="shared" ca="1" si="57"/>
        <v>39176</v>
      </c>
      <c r="V171" s="4">
        <f t="shared" ca="1" si="65"/>
        <v>39176</v>
      </c>
      <c r="W171">
        <f t="shared" ca="1" si="58"/>
        <v>0</v>
      </c>
      <c r="X171">
        <f t="shared" ca="1" si="59"/>
        <v>27</v>
      </c>
      <c r="AB171" s="176">
        <f t="shared" ca="1" si="66"/>
        <v>0</v>
      </c>
    </row>
    <row r="172" spans="1:28" ht="15" customHeight="1" x14ac:dyDescent="0.2">
      <c r="A172" s="2" t="str">
        <f t="shared" ref="A172:A203" ca="1" si="67">IF(S172=0,"",INDIRECT("'Reading History'!A"&amp;$S172+$Y$5-1))</f>
        <v>Electric</v>
      </c>
      <c r="B172" s="4">
        <f t="shared" ca="1" si="60"/>
        <v>39149</v>
      </c>
      <c r="C172" s="179" t="str">
        <f t="shared" ref="C172:C203" ca="1" si="68">IF($A172="","",IF(RIGHT(INDIRECT("'Reading History'!E"&amp;$S172+$Y$5-1),4)="Read",LEFT(INDIRECT("'Reading History'!E"&amp;$S172+$Y$5-1),LEN(INDIRECT("'Reading History'!E"&amp;$S172+$Y$5-1))-5),INDIRECT("'Reading History'!E"&amp;$S172+$Y$5-1)))</f>
        <v>Actual</v>
      </c>
      <c r="D172" s="17">
        <f t="shared" ca="1" si="61"/>
        <v>1252</v>
      </c>
      <c r="E172" s="17">
        <f t="shared" ref="E172:E203" ca="1" si="69">IF($A172="","",IF(ISNUMBER(D173),B172-B173,INDIRECT("'Reading History'!H"&amp;$S172+$Y$5-1)))</f>
        <v>29</v>
      </c>
      <c r="F172" s="182">
        <f t="shared" ca="1" si="62"/>
        <v>40000</v>
      </c>
      <c r="G172" s="183">
        <f t="shared" ref="G172:G203" ca="1" si="70">IF($A172="","",INDIRECT("'Reading History'!I"&amp;$S172+$Y$4-1))</f>
        <v>132</v>
      </c>
      <c r="H172" s="184">
        <f ca="1">IF($A172="","",+Rates!N166)</f>
        <v>120</v>
      </c>
      <c r="I172" s="184">
        <f ca="1">IF($A172="","",+ROUND(Rates!O166,2))</f>
        <v>2096</v>
      </c>
      <c r="J172" s="184">
        <f ca="1">IF($A172="","",IF(F172=0,0,+ROUND(Rates!P166,2)))</f>
        <v>1252.68</v>
      </c>
      <c r="K172" s="184">
        <f ca="1">IF($A172="","",+ROUND(Rates!X166,2))</f>
        <v>219.28</v>
      </c>
      <c r="L172" s="184">
        <f ca="1">IF($A172="","",+ROUND(Rates!Q166,2))</f>
        <v>128</v>
      </c>
      <c r="M172" s="185">
        <f ca="1">IF($A172="","",+ROUND(Rates!R166,2))</f>
        <v>3815.96</v>
      </c>
      <c r="N172" s="186">
        <f t="shared" ca="1" si="63"/>
        <v>57471.264367816097</v>
      </c>
      <c r="O172" s="187">
        <f t="shared" ca="1" si="56"/>
        <v>0.43538836642284917</v>
      </c>
      <c r="P172" s="188">
        <f ca="1">IFERROR(SUM(INDIRECT("'FAF &amp; DDs'!"&amp;(ADDRESS(MATCH($B172-$E172,'FAF &amp; DDs'!$Q:$Q,0),COLUMN($R$1),2,1))&amp;":"&amp;(ADDRESS(MATCH($B172-1,'FAF &amp; DDs'!$Q:$Q,0),COLUMN($R$1),1))))/E172*30,-1)</f>
        <v>-1</v>
      </c>
      <c r="Q172" s="188">
        <f ca="1">IFERROR(SUM(INDIRECT("'FAF &amp; DDs'!"&amp;(ADDRESS(MATCH($B172-$E172,'FAF &amp; DDs'!$Q:$Q,0),COLUMN($S$1),2,1))&amp;":"&amp;(ADDRESS(MATCH($B172-1,'FAF &amp; DDs'!$Q:$Q,0),COLUMN($S$1),1))))/E172*30,-1)</f>
        <v>-1</v>
      </c>
      <c r="R172" s="176">
        <f t="shared" ca="1" si="64"/>
        <v>6</v>
      </c>
      <c r="S172">
        <f ca="1">IF(ROW()&gt;MIN(($AB$8,$AB$7))+11,0,MATCH(V172,INDIRECT("'Reading History'!B"&amp;$Y$5&amp;":b"&amp;$Y$6),-1))</f>
        <v>161</v>
      </c>
      <c r="U172" s="152">
        <f t="shared" ref="U172:U203" ca="1" si="71">IF(VALUE(INDIRECT("'Reading History'!c"&amp;$Y$5+S171))&gt;$R$8,DATE(YEAR(V172-ABS(AB172)),MONTH(V172-ABS(AB172)),VLOOKUP(VALUE(R172),AMRReadDates,2)),V172)</f>
        <v>39149</v>
      </c>
      <c r="V172" s="4">
        <f t="shared" ca="1" si="65"/>
        <v>39149</v>
      </c>
      <c r="W172">
        <f t="shared" ca="1" si="58"/>
        <v>0</v>
      </c>
      <c r="X172">
        <f t="shared" ref="X172:X203" ca="1" si="72">+INDIRECT("'Reading History'!H"&amp;$S172+$Y$5-1)</f>
        <v>29</v>
      </c>
      <c r="AB172" s="176">
        <f t="shared" ca="1" si="66"/>
        <v>0</v>
      </c>
    </row>
    <row r="173" spans="1:28" ht="15" customHeight="1" x14ac:dyDescent="0.2">
      <c r="A173" s="2" t="str">
        <f t="shared" ca="1" si="67"/>
        <v>Electric</v>
      </c>
      <c r="B173" s="4">
        <f t="shared" ca="1" si="60"/>
        <v>39120</v>
      </c>
      <c r="C173" s="179" t="str">
        <f t="shared" ca="1" si="68"/>
        <v>Actual</v>
      </c>
      <c r="D173" s="17">
        <f t="shared" ref="D173:D204" ca="1" si="73">IF($A173="","",INDIRECT("'Reading History'!G"&amp;$S173+$Y$5-1))</f>
        <v>1052</v>
      </c>
      <c r="E173" s="17">
        <f t="shared" ca="1" si="69"/>
        <v>29</v>
      </c>
      <c r="F173" s="182">
        <f t="shared" ref="F173:F204" ca="1" si="74">IF($A173="","",INDIRECT("'Reading History'!I"&amp;$S173+$Y$5-1))</f>
        <v>41200</v>
      </c>
      <c r="G173" s="183">
        <f t="shared" ca="1" si="70"/>
        <v>144</v>
      </c>
      <c r="H173" s="184">
        <f ca="1">IF($A173="","",+Rates!N167)</f>
        <v>120</v>
      </c>
      <c r="I173" s="184">
        <f ca="1">IF($A173="","",+ROUND(Rates!O167,2))</f>
        <v>2158.88</v>
      </c>
      <c r="J173" s="184">
        <f ca="1">IF($A173="","",IF(F173=0,0,+ROUND(Rates!P167,2)))</f>
        <v>1366.56</v>
      </c>
      <c r="K173" s="184">
        <f ca="1">IF($A173="","",+ROUND(Rates!X167,2))</f>
        <v>149.93</v>
      </c>
      <c r="L173" s="184">
        <f ca="1">IF($A173="","",+ROUND(Rates!Q167,2))</f>
        <v>131.84</v>
      </c>
      <c r="M173" s="185">
        <f ca="1">IF($A173="","",+ROUND(Rates!R167,2))</f>
        <v>3927.21</v>
      </c>
      <c r="N173" s="186">
        <f t="shared" ref="N173:N204" ca="1" si="75">IFERROR(IF(C174="Estimate",+(F173+F174)/(E173+E174),IF(C173="Estimate",+(F173+F172)/(E173+E172),+F173/E173))/24*1000,-1)</f>
        <v>59195.402298850575</v>
      </c>
      <c r="O173" s="187">
        <f t="shared" ca="1" si="56"/>
        <v>0.41107918263090676</v>
      </c>
      <c r="P173" s="188">
        <f ca="1">IFERROR(SUM(INDIRECT("'FAF &amp; DDs'!"&amp;(ADDRESS(MATCH($B173-$E173,'FAF &amp; DDs'!$Q:$Q,0),COLUMN($R$1),2,1))&amp;":"&amp;(ADDRESS(MATCH($B173-1,'FAF &amp; DDs'!$Q:$Q,0),COLUMN($R$1),1))))/E173*30,-1)</f>
        <v>-1</v>
      </c>
      <c r="Q173" s="188">
        <f ca="1">IFERROR(SUM(INDIRECT("'FAF &amp; DDs'!"&amp;(ADDRESS(MATCH($B173-$E173,'FAF &amp; DDs'!$Q:$Q,0),COLUMN($S$1),2,1))&amp;":"&amp;(ADDRESS(MATCH($B173-1,'FAF &amp; DDs'!$Q:$Q,0),COLUMN($S$1),1))))/E173*30,-1)</f>
        <v>-1</v>
      </c>
      <c r="R173" s="176">
        <f t="shared" ca="1" si="64"/>
        <v>6</v>
      </c>
      <c r="S173">
        <f ca="1">IF(ROW()&gt;MIN(($AB$8,$AB$7))+11,0,MATCH(V173,INDIRECT("'Reading History'!B"&amp;$Y$5&amp;":b"&amp;$Y$6),-1))</f>
        <v>162</v>
      </c>
      <c r="U173" s="152">
        <f t="shared" ca="1" si="71"/>
        <v>39120</v>
      </c>
      <c r="V173" s="4">
        <f t="shared" ref="V173:V204" ca="1" si="76">INT(INDIRECT("'Reading History'!B"&amp;$Y$5+S172))</f>
        <v>39120</v>
      </c>
      <c r="W173">
        <f t="shared" ca="1" si="58"/>
        <v>0</v>
      </c>
      <c r="X173">
        <f t="shared" ca="1" si="72"/>
        <v>29</v>
      </c>
      <c r="AB173" s="176">
        <f t="shared" ca="1" si="66"/>
        <v>0</v>
      </c>
    </row>
    <row r="174" spans="1:28" ht="15" customHeight="1" x14ac:dyDescent="0.2">
      <c r="A174" s="2" t="str">
        <f t="shared" ca="1" si="67"/>
        <v>Electric</v>
      </c>
      <c r="B174" s="4">
        <f t="shared" ca="1" si="60"/>
        <v>39091</v>
      </c>
      <c r="C174" s="179" t="str">
        <f t="shared" ca="1" si="68"/>
        <v>Actual</v>
      </c>
      <c r="D174" s="17">
        <f t="shared" ca="1" si="73"/>
        <v>846</v>
      </c>
      <c r="E174" s="17">
        <f t="shared" ca="1" si="69"/>
        <v>35</v>
      </c>
      <c r="F174" s="182">
        <f t="shared" ca="1" si="74"/>
        <v>43600</v>
      </c>
      <c r="G174" s="183">
        <f t="shared" ca="1" si="70"/>
        <v>152</v>
      </c>
      <c r="H174" s="184">
        <f ca="1">IF($A174="","",+Rates!N168)</f>
        <v>120</v>
      </c>
      <c r="I174" s="184">
        <f ca="1">IF($A174="","",+ROUND(Rates!O168,2))</f>
        <v>2284.64</v>
      </c>
      <c r="J174" s="184">
        <f ca="1">IF($A174="","",IF(F174=0,0,+ROUND(Rates!P168,2)))</f>
        <v>1442.48</v>
      </c>
      <c r="K174" s="184">
        <f ca="1">IF($A174="","",+ROUND(Rates!X168,2))</f>
        <v>141.83000000000001</v>
      </c>
      <c r="L174" s="184">
        <f ca="1">IF($A174="","",+ROUND(Rates!Q168,2))</f>
        <v>139.52000000000001</v>
      </c>
      <c r="M174" s="185">
        <f ca="1">IF($A174="","",+ROUND(Rates!R168,2))</f>
        <v>4128.47</v>
      </c>
      <c r="N174" s="186">
        <f t="shared" ca="1" si="75"/>
        <v>51904.761904761908</v>
      </c>
      <c r="O174" s="187">
        <f t="shared" ca="1" si="56"/>
        <v>0.34147869674185466</v>
      </c>
      <c r="P174" s="188">
        <f ca="1">IFERROR(SUM(INDIRECT("'FAF &amp; DDs'!"&amp;(ADDRESS(MATCH($B174-$E174,'FAF &amp; DDs'!$Q:$Q,0),COLUMN($R$1),2,1))&amp;":"&amp;(ADDRESS(MATCH($B174-1,'FAF &amp; DDs'!$Q:$Q,0),COLUMN($R$1),1))))/E174*30,-1)</f>
        <v>-1</v>
      </c>
      <c r="Q174" s="188">
        <f ca="1">IFERROR(SUM(INDIRECT("'FAF &amp; DDs'!"&amp;(ADDRESS(MATCH($B174-$E174,'FAF &amp; DDs'!$Q:$Q,0),COLUMN($S$1),2,1))&amp;":"&amp;(ADDRESS(MATCH($B174-1,'FAF &amp; DDs'!$Q:$Q,0),COLUMN($S$1),1))))/E174*30,-1)</f>
        <v>-1</v>
      </c>
      <c r="R174" s="176">
        <f t="shared" ca="1" si="64"/>
        <v>6</v>
      </c>
      <c r="S174">
        <f ca="1">IF(ROW()&gt;MIN(($AB$8,$AB$7))+11,0,MATCH(V174,INDIRECT("'Reading History'!B"&amp;$Y$5&amp;":b"&amp;$Y$6),-1))</f>
        <v>163</v>
      </c>
      <c r="U174" s="152">
        <f t="shared" ca="1" si="71"/>
        <v>39091</v>
      </c>
      <c r="V174" s="4">
        <f t="shared" ca="1" si="76"/>
        <v>39091</v>
      </c>
      <c r="W174">
        <f t="shared" ca="1" si="58"/>
        <v>0</v>
      </c>
      <c r="X174">
        <f t="shared" ca="1" si="72"/>
        <v>35</v>
      </c>
      <c r="AB174" s="176">
        <f t="shared" ca="1" si="66"/>
        <v>0</v>
      </c>
    </row>
    <row r="175" spans="1:28" ht="15" customHeight="1" x14ac:dyDescent="0.2">
      <c r="A175" s="2" t="str">
        <f t="shared" ca="1" si="67"/>
        <v>Electric</v>
      </c>
      <c r="B175" s="4">
        <f t="shared" ca="1" si="60"/>
        <v>39056</v>
      </c>
      <c r="C175" s="179" t="str">
        <f t="shared" ca="1" si="68"/>
        <v>Actual</v>
      </c>
      <c r="D175" s="17">
        <f t="shared" ca="1" si="73"/>
        <v>628</v>
      </c>
      <c r="E175" s="17">
        <f t="shared" ca="1" si="69"/>
        <v>29</v>
      </c>
      <c r="F175" s="182">
        <f t="shared" ca="1" si="74"/>
        <v>36800</v>
      </c>
      <c r="G175" s="183">
        <f t="shared" ca="1" si="70"/>
        <v>156</v>
      </c>
      <c r="H175" s="184">
        <f ca="1">IF($A175="","",+Rates!N169)</f>
        <v>120</v>
      </c>
      <c r="I175" s="184">
        <f ca="1">IF($A175="","",+ROUND(Rates!O169,2))</f>
        <v>1928.32</v>
      </c>
      <c r="J175" s="184">
        <f ca="1">IF($A175="","",IF(F175=0,0,+ROUND(Rates!P169,2)))</f>
        <v>1480.44</v>
      </c>
      <c r="K175" s="184">
        <f ca="1">IF($A175="","",+ROUND(Rates!X169,2))</f>
        <v>195.92</v>
      </c>
      <c r="L175" s="184">
        <f ca="1">IF($A175="","",+ROUND(Rates!Q169,2))</f>
        <v>117.76</v>
      </c>
      <c r="M175" s="185">
        <f ca="1">IF($A175="","",+ROUND(Rates!R169,2))</f>
        <v>3842.44</v>
      </c>
      <c r="N175" s="186">
        <f t="shared" ca="1" si="75"/>
        <v>52873.563218390809</v>
      </c>
      <c r="O175" s="187">
        <f t="shared" ca="1" si="56"/>
        <v>0.3389330975537872</v>
      </c>
      <c r="P175" s="188">
        <f ca="1">IFERROR(SUM(INDIRECT("'FAF &amp; DDs'!"&amp;(ADDRESS(MATCH($B175-$E175,'FAF &amp; DDs'!$Q:$Q,0),COLUMN($R$1),2,1))&amp;":"&amp;(ADDRESS(MATCH($B175-1,'FAF &amp; DDs'!$Q:$Q,0),COLUMN($R$1),1))))/E175*30,-1)</f>
        <v>-1</v>
      </c>
      <c r="Q175" s="188">
        <f ca="1">IFERROR(SUM(INDIRECT("'FAF &amp; DDs'!"&amp;(ADDRESS(MATCH($B175-$E175,'FAF &amp; DDs'!$Q:$Q,0),COLUMN($S$1),2,1))&amp;":"&amp;(ADDRESS(MATCH($B175-1,'FAF &amp; DDs'!$Q:$Q,0),COLUMN($S$1),1))))/E175*30,-1)</f>
        <v>-1</v>
      </c>
      <c r="R175" s="176">
        <f t="shared" ca="1" si="64"/>
        <v>6</v>
      </c>
      <c r="S175">
        <f ca="1">IF(ROW()&gt;MIN(($AB$8,$AB$7))+11,0,MATCH(V175,INDIRECT("'Reading History'!B"&amp;$Y$5&amp;":b"&amp;$Y$6),-1))</f>
        <v>164</v>
      </c>
      <c r="U175" s="152">
        <f t="shared" ca="1" si="71"/>
        <v>39056</v>
      </c>
      <c r="V175" s="4">
        <f t="shared" ca="1" si="76"/>
        <v>39056</v>
      </c>
      <c r="W175">
        <f t="shared" ca="1" si="58"/>
        <v>0</v>
      </c>
      <c r="X175">
        <f t="shared" ca="1" si="72"/>
        <v>29</v>
      </c>
      <c r="AB175" s="176">
        <f t="shared" ca="1" si="66"/>
        <v>0</v>
      </c>
    </row>
    <row r="176" spans="1:28" ht="15" customHeight="1" x14ac:dyDescent="0.2">
      <c r="A176" s="2" t="str">
        <f t="shared" ca="1" si="67"/>
        <v>Electric</v>
      </c>
      <c r="B176" s="4">
        <f t="shared" ca="1" si="60"/>
        <v>39027</v>
      </c>
      <c r="C176" s="179" t="str">
        <f t="shared" ca="1" si="68"/>
        <v>Actual</v>
      </c>
      <c r="D176" s="17">
        <f t="shared" ca="1" si="73"/>
        <v>444</v>
      </c>
      <c r="E176" s="17">
        <f t="shared" ca="1" si="69"/>
        <v>32</v>
      </c>
      <c r="F176" s="182">
        <f t="shared" ca="1" si="74"/>
        <v>47800</v>
      </c>
      <c r="G176" s="183">
        <f t="shared" ca="1" si="70"/>
        <v>132</v>
      </c>
      <c r="H176" s="184">
        <f ca="1">IF($A176="","",+Rates!N170)</f>
        <v>120</v>
      </c>
      <c r="I176" s="184">
        <f ca="1">IF($A176="","",+ROUND(Rates!O170,2))</f>
        <v>2504.7199999999998</v>
      </c>
      <c r="J176" s="184">
        <f ca="1">IF($A176="","",IF(F176=0,0,+ROUND(Rates!P170,2)))</f>
        <v>1252.68</v>
      </c>
      <c r="K176" s="184">
        <f ca="1">IF($A176="","",+ROUND(Rates!X170,2))</f>
        <v>194.21</v>
      </c>
      <c r="L176" s="184">
        <f ca="1">IF($A176="","",+ROUND(Rates!Q170,2))</f>
        <v>152.96</v>
      </c>
      <c r="M176" s="185">
        <f ca="1">IF($A176="","",+ROUND(Rates!R170,2))</f>
        <v>4224.57</v>
      </c>
      <c r="N176" s="186">
        <f t="shared" ca="1" si="75"/>
        <v>62239.583333333336</v>
      </c>
      <c r="O176" s="187">
        <f t="shared" ca="1" si="56"/>
        <v>0.47151199494949497</v>
      </c>
      <c r="P176" s="188">
        <f ca="1">IFERROR(SUM(INDIRECT("'FAF &amp; DDs'!"&amp;(ADDRESS(MATCH($B176-$E176,'FAF &amp; DDs'!$Q:$Q,0),COLUMN($R$1),2,1))&amp;":"&amp;(ADDRESS(MATCH($B176-1,'FAF &amp; DDs'!$Q:$Q,0),COLUMN($R$1),1))))/E176*30,-1)</f>
        <v>-1</v>
      </c>
      <c r="Q176" s="188">
        <f ca="1">IFERROR(SUM(INDIRECT("'FAF &amp; DDs'!"&amp;(ADDRESS(MATCH($B176-$E176,'FAF &amp; DDs'!$Q:$Q,0),COLUMN($S$1),2,1))&amp;":"&amp;(ADDRESS(MATCH($B176-1,'FAF &amp; DDs'!$Q:$Q,0),COLUMN($S$1),1))))/E176*30,-1)</f>
        <v>-1</v>
      </c>
      <c r="R176" s="176">
        <f t="shared" ca="1" si="64"/>
        <v>6</v>
      </c>
      <c r="S176">
        <f ca="1">IF(ROW()&gt;MIN(($AB$8,$AB$7))+11,0,MATCH(V176,INDIRECT("'Reading History'!B"&amp;$Y$5&amp;":b"&amp;$Y$6),-1))</f>
        <v>165</v>
      </c>
      <c r="U176" s="152">
        <f t="shared" ca="1" si="71"/>
        <v>39027</v>
      </c>
      <c r="V176" s="4">
        <f t="shared" ca="1" si="76"/>
        <v>39027</v>
      </c>
      <c r="W176">
        <f t="shared" ca="1" si="58"/>
        <v>0</v>
      </c>
      <c r="X176">
        <f t="shared" ca="1" si="72"/>
        <v>32</v>
      </c>
      <c r="AB176" s="176">
        <f t="shared" ca="1" si="66"/>
        <v>0</v>
      </c>
    </row>
    <row r="177" spans="1:28" ht="15" customHeight="1" x14ac:dyDescent="0.2">
      <c r="A177" s="2" t="str">
        <f t="shared" ca="1" si="67"/>
        <v>Electric</v>
      </c>
      <c r="B177" s="4">
        <f t="shared" ca="1" si="60"/>
        <v>38995</v>
      </c>
      <c r="C177" s="179" t="str">
        <f t="shared" ca="1" si="68"/>
        <v>Actual</v>
      </c>
      <c r="D177" s="17">
        <f t="shared" ca="1" si="73"/>
        <v>205</v>
      </c>
      <c r="E177" s="17">
        <f t="shared" ca="1" si="69"/>
        <v>27</v>
      </c>
      <c r="F177" s="182">
        <f t="shared" ca="1" si="74"/>
        <v>44200</v>
      </c>
      <c r="G177" s="183">
        <f t="shared" ca="1" si="70"/>
        <v>160</v>
      </c>
      <c r="H177" s="184">
        <f ca="1">IF($A177="","",+Rates!N171)</f>
        <v>120</v>
      </c>
      <c r="I177" s="184">
        <f ca="1">IF($A177="","",+ROUND(Rates!O171,2))</f>
        <v>2308.19</v>
      </c>
      <c r="J177" s="184">
        <f ca="1">IF($A177="","",IF(F177=0,0,+ROUND(Rates!P171,2)))</f>
        <v>1530.54</v>
      </c>
      <c r="K177" s="184">
        <f ca="1">IF($A177="","",+ROUND(Rates!X171,2))</f>
        <v>367.26</v>
      </c>
      <c r="L177" s="184">
        <f ca="1">IF($A177="","",+ROUND(Rates!Q171,2))</f>
        <v>141.44</v>
      </c>
      <c r="M177" s="185">
        <f ca="1">IF($A177="","",+ROUND(Rates!R171,2))</f>
        <v>4467.43</v>
      </c>
      <c r="N177" s="186">
        <f t="shared" ca="1" si="75"/>
        <v>68209.876543209873</v>
      </c>
      <c r="O177" s="187">
        <f t="shared" ca="1" si="56"/>
        <v>0.42631172839506171</v>
      </c>
      <c r="P177" s="188">
        <f ca="1">IFERROR(SUM(INDIRECT("'FAF &amp; DDs'!"&amp;(ADDRESS(MATCH($B177-$E177,'FAF &amp; DDs'!$Q:$Q,0),COLUMN($R$1),2,1))&amp;":"&amp;(ADDRESS(MATCH($B177-1,'FAF &amp; DDs'!$Q:$Q,0),COLUMN($R$1),1))))/E177*30,-1)</f>
        <v>-1</v>
      </c>
      <c r="Q177" s="188">
        <f ca="1">IFERROR(SUM(INDIRECT("'FAF &amp; DDs'!"&amp;(ADDRESS(MATCH($B177-$E177,'FAF &amp; DDs'!$Q:$Q,0),COLUMN($S$1),2,1))&amp;":"&amp;(ADDRESS(MATCH($B177-1,'FAF &amp; DDs'!$Q:$Q,0),COLUMN($S$1),1))))/E177*30,-1)</f>
        <v>-1</v>
      </c>
      <c r="R177" s="176">
        <f t="shared" ca="1" si="64"/>
        <v>6</v>
      </c>
      <c r="S177">
        <f ca="1">IF(ROW()&gt;MIN(($AB$8,$AB$7))+11,0,MATCH(V177,INDIRECT("'Reading History'!B"&amp;$Y$5&amp;":b"&amp;$Y$6),-1))</f>
        <v>166</v>
      </c>
      <c r="U177" s="152">
        <f t="shared" ca="1" si="71"/>
        <v>38995</v>
      </c>
      <c r="V177" s="4">
        <f t="shared" ca="1" si="76"/>
        <v>38995</v>
      </c>
      <c r="W177">
        <f t="shared" ca="1" si="58"/>
        <v>0</v>
      </c>
      <c r="X177">
        <f t="shared" ca="1" si="72"/>
        <v>27</v>
      </c>
      <c r="AB177" s="176">
        <f t="shared" ca="1" si="66"/>
        <v>0</v>
      </c>
    </row>
    <row r="178" spans="1:28" ht="15" customHeight="1" x14ac:dyDescent="0.2">
      <c r="A178" s="2" t="str">
        <f t="shared" ca="1" si="67"/>
        <v>Electric</v>
      </c>
      <c r="B178" s="4">
        <f t="shared" ca="1" si="60"/>
        <v>38968</v>
      </c>
      <c r="C178" s="179" t="str">
        <f t="shared" ca="1" si="68"/>
        <v>Actual</v>
      </c>
      <c r="D178" s="17">
        <f t="shared" ca="1" si="73"/>
        <v>9984</v>
      </c>
      <c r="E178" s="17">
        <f t="shared" ca="1" si="69"/>
        <v>30</v>
      </c>
      <c r="F178" s="182">
        <f t="shared" ca="1" si="74"/>
        <v>55400</v>
      </c>
      <c r="G178" s="183">
        <f t="shared" ca="1" si="70"/>
        <v>200</v>
      </c>
      <c r="H178" s="184">
        <f ca="1">IF($A178="","",+Rates!N172)</f>
        <v>120</v>
      </c>
      <c r="I178" s="184">
        <f ca="1">IF($A178="","",+ROUND(Rates!O172,2))</f>
        <v>3102.4</v>
      </c>
      <c r="J178" s="184">
        <f ca="1">IF($A178="","",IF(F178=0,0,+ROUND(Rates!P172,2)))</f>
        <v>2100</v>
      </c>
      <c r="K178" s="184">
        <f ca="1">IF($A178="","",+ROUND(Rates!X172,2))</f>
        <v>583.91999999999996</v>
      </c>
      <c r="L178" s="184">
        <f ca="1">IF($A178="","",+ROUND(Rates!Q172,2))</f>
        <v>177.28</v>
      </c>
      <c r="M178" s="185">
        <f ca="1">IF($A178="","",+ROUND(Rates!R172,2))</f>
        <v>6083.6</v>
      </c>
      <c r="N178" s="186">
        <f t="shared" ca="1" si="75"/>
        <v>76944.444444444438</v>
      </c>
      <c r="O178" s="187">
        <f t="shared" ca="1" si="56"/>
        <v>0.38472222222222224</v>
      </c>
      <c r="P178" s="188">
        <f ca="1">IFERROR(SUM(INDIRECT("'FAF &amp; DDs'!"&amp;(ADDRESS(MATCH($B178-$E178,'FAF &amp; DDs'!$Q:$Q,0),COLUMN($R$1),2,1))&amp;":"&amp;(ADDRESS(MATCH($B178-1,'FAF &amp; DDs'!$Q:$Q,0),COLUMN($R$1),1))))/E178*30,-1)</f>
        <v>-1</v>
      </c>
      <c r="Q178" s="188">
        <f ca="1">IFERROR(SUM(INDIRECT("'FAF &amp; DDs'!"&amp;(ADDRESS(MATCH($B178-$E178,'FAF &amp; DDs'!$Q:$Q,0),COLUMN($S$1),2,1))&amp;":"&amp;(ADDRESS(MATCH($B178-1,'FAF &amp; DDs'!$Q:$Q,0),COLUMN($S$1),1))))/E178*30,-1)</f>
        <v>-1</v>
      </c>
      <c r="R178" s="176">
        <f t="shared" ca="1" si="64"/>
        <v>6</v>
      </c>
      <c r="S178">
        <f ca="1">IF(ROW()&gt;MIN(($AB$8,$AB$7))+11,0,MATCH(V178,INDIRECT("'Reading History'!B"&amp;$Y$5&amp;":b"&amp;$Y$6),-1))</f>
        <v>167</v>
      </c>
      <c r="U178" s="152">
        <f t="shared" ca="1" si="71"/>
        <v>38968</v>
      </c>
      <c r="V178" s="4">
        <f t="shared" ca="1" si="76"/>
        <v>38968</v>
      </c>
      <c r="W178">
        <f t="shared" ca="1" si="58"/>
        <v>0</v>
      </c>
      <c r="X178">
        <f t="shared" ca="1" si="72"/>
        <v>30</v>
      </c>
      <c r="AB178" s="176">
        <f t="shared" ca="1" si="66"/>
        <v>0</v>
      </c>
    </row>
    <row r="179" spans="1:28" ht="15" customHeight="1" x14ac:dyDescent="0.2">
      <c r="A179" s="2" t="str">
        <f t="shared" ca="1" si="67"/>
        <v>Electric</v>
      </c>
      <c r="B179" s="4">
        <f t="shared" ca="1" si="60"/>
        <v>38938</v>
      </c>
      <c r="C179" s="179" t="str">
        <f t="shared" ca="1" si="68"/>
        <v>Actual</v>
      </c>
      <c r="D179" s="17">
        <f t="shared" ca="1" si="73"/>
        <v>9707</v>
      </c>
      <c r="E179" s="17">
        <f t="shared" ca="1" si="69"/>
        <v>29</v>
      </c>
      <c r="F179" s="182">
        <f t="shared" ca="1" si="74"/>
        <v>62000</v>
      </c>
      <c r="G179" s="183">
        <f t="shared" ca="1" si="70"/>
        <v>220</v>
      </c>
      <c r="H179" s="184">
        <f ca="1">IF($A179="","",+Rates!N173)</f>
        <v>120</v>
      </c>
      <c r="I179" s="184">
        <f ca="1">IF($A179="","",+ROUND(Rates!O173,2))</f>
        <v>3472</v>
      </c>
      <c r="J179" s="184">
        <f ca="1">IF($A179="","",IF(F179=0,0,+ROUND(Rates!P173,2)))</f>
        <v>2310</v>
      </c>
      <c r="K179" s="184">
        <f ca="1">IF($A179="","",+ROUND(Rates!X173,2))</f>
        <v>516.65</v>
      </c>
      <c r="L179" s="184">
        <f ca="1">IF($A179="","",+ROUND(Rates!Q173,2))</f>
        <v>198.4</v>
      </c>
      <c r="M179" s="185">
        <f ca="1">IF($A179="","",+ROUND(Rates!R173,2))</f>
        <v>6617.05</v>
      </c>
      <c r="N179" s="186">
        <f t="shared" ca="1" si="75"/>
        <v>89080.459770114947</v>
      </c>
      <c r="O179" s="187">
        <f t="shared" ca="1" si="56"/>
        <v>0.40491118077324972</v>
      </c>
      <c r="P179" s="188">
        <f ca="1">IFERROR(SUM(INDIRECT("'FAF &amp; DDs'!"&amp;(ADDRESS(MATCH($B179-$E179,'FAF &amp; DDs'!$Q:$Q,0),COLUMN($R$1),2,1))&amp;":"&amp;(ADDRESS(MATCH($B179-1,'FAF &amp; DDs'!$Q:$Q,0),COLUMN($R$1),1))))/E179*30,-1)</f>
        <v>-1</v>
      </c>
      <c r="Q179" s="188">
        <f ca="1">IFERROR(SUM(INDIRECT("'FAF &amp; DDs'!"&amp;(ADDRESS(MATCH($B179-$E179,'FAF &amp; DDs'!$Q:$Q,0),COLUMN($S$1),2,1))&amp;":"&amp;(ADDRESS(MATCH($B179-1,'FAF &amp; DDs'!$Q:$Q,0),COLUMN($S$1),1))))/E179*30,-1)</f>
        <v>-1</v>
      </c>
      <c r="R179" s="176">
        <f t="shared" ca="1" si="64"/>
        <v>6</v>
      </c>
      <c r="S179">
        <f ca="1">IF(ROW()&gt;MIN(($AB$8,$AB$7))+11,0,MATCH(V179,INDIRECT("'Reading History'!B"&amp;$Y$5&amp;":b"&amp;$Y$6),-1))</f>
        <v>168</v>
      </c>
      <c r="U179" s="152">
        <f t="shared" ca="1" si="71"/>
        <v>38938</v>
      </c>
      <c r="V179" s="4">
        <f t="shared" ca="1" si="76"/>
        <v>38938</v>
      </c>
      <c r="W179">
        <f t="shared" ca="1" si="58"/>
        <v>0</v>
      </c>
      <c r="X179">
        <f t="shared" ca="1" si="72"/>
        <v>29</v>
      </c>
      <c r="AB179" s="176">
        <f t="shared" ca="1" si="66"/>
        <v>0</v>
      </c>
    </row>
    <row r="180" spans="1:28" ht="15" customHeight="1" x14ac:dyDescent="0.2">
      <c r="A180" s="2" t="str">
        <f t="shared" ca="1" si="67"/>
        <v>Electric</v>
      </c>
      <c r="B180" s="4">
        <f t="shared" ca="1" si="60"/>
        <v>38909</v>
      </c>
      <c r="C180" s="179" t="str">
        <f t="shared" ca="1" si="68"/>
        <v>Actual</v>
      </c>
      <c r="D180" s="17">
        <f t="shared" ca="1" si="73"/>
        <v>9397</v>
      </c>
      <c r="E180" s="17">
        <f t="shared" ca="1" si="69"/>
        <v>32</v>
      </c>
      <c r="F180" s="182">
        <f t="shared" ca="1" si="74"/>
        <v>61200</v>
      </c>
      <c r="G180" s="183">
        <f t="shared" ca="1" si="70"/>
        <v>194</v>
      </c>
      <c r="H180" s="184">
        <f ca="1">IF($A180="","",+Rates!N174)</f>
        <v>120</v>
      </c>
      <c r="I180" s="184">
        <f ca="1">IF($A180="","",+ROUND(Rates!O174,2))</f>
        <v>3427.2</v>
      </c>
      <c r="J180" s="184">
        <f ca="1">IF($A180="","",IF(F180=0,0,+ROUND(Rates!P174,2)))</f>
        <v>2037</v>
      </c>
      <c r="K180" s="184">
        <f ca="1">IF($A180="","",+ROUND(Rates!X174,2))</f>
        <v>632.44000000000005</v>
      </c>
      <c r="L180" s="184">
        <f ca="1">IF($A180="","",+ROUND(Rates!Q174,2))</f>
        <v>195.84</v>
      </c>
      <c r="M180" s="185">
        <f ca="1">IF($A180="","",+ROUND(Rates!R174,2))</f>
        <v>6412.48</v>
      </c>
      <c r="N180" s="186">
        <f t="shared" ca="1" si="75"/>
        <v>79687.5</v>
      </c>
      <c r="O180" s="187">
        <f t="shared" ca="1" si="56"/>
        <v>0.4107603092783505</v>
      </c>
      <c r="P180" s="188">
        <f ca="1">IFERROR(SUM(INDIRECT("'FAF &amp; DDs'!"&amp;(ADDRESS(MATCH($B180-$E180,'FAF &amp; DDs'!$Q:$Q,0),COLUMN($R$1),2,1))&amp;":"&amp;(ADDRESS(MATCH($B180-1,'FAF &amp; DDs'!$Q:$Q,0),COLUMN($R$1),1))))/E180*30,-1)</f>
        <v>-1</v>
      </c>
      <c r="Q180" s="188">
        <f ca="1">IFERROR(SUM(INDIRECT("'FAF &amp; DDs'!"&amp;(ADDRESS(MATCH($B180-$E180,'FAF &amp; DDs'!$Q:$Q,0),COLUMN($S$1),2,1))&amp;":"&amp;(ADDRESS(MATCH($B180-1,'FAF &amp; DDs'!$Q:$Q,0),COLUMN($S$1),1))))/E180*30,-1)</f>
        <v>-1</v>
      </c>
      <c r="R180" s="176">
        <f t="shared" ca="1" si="64"/>
        <v>6</v>
      </c>
      <c r="S180">
        <f ca="1">IF(ROW()&gt;MIN(($AB$8,$AB$7))+11,0,MATCH(V180,INDIRECT("'Reading History'!B"&amp;$Y$5&amp;":b"&amp;$Y$6),-1))</f>
        <v>169</v>
      </c>
      <c r="U180" s="152">
        <f t="shared" ca="1" si="71"/>
        <v>38909</v>
      </c>
      <c r="V180" s="4">
        <f t="shared" ca="1" si="76"/>
        <v>38909</v>
      </c>
      <c r="W180">
        <f t="shared" ca="1" si="58"/>
        <v>0</v>
      </c>
      <c r="X180">
        <f t="shared" ca="1" si="72"/>
        <v>32</v>
      </c>
      <c r="AB180" s="176">
        <f t="shared" ca="1" si="66"/>
        <v>0</v>
      </c>
    </row>
    <row r="181" spans="1:28" ht="15" customHeight="1" x14ac:dyDescent="0.2">
      <c r="A181" s="2" t="str">
        <f t="shared" ca="1" si="67"/>
        <v>Electric</v>
      </c>
      <c r="B181" s="4">
        <f t="shared" ca="1" si="60"/>
        <v>38877</v>
      </c>
      <c r="C181" s="179" t="str">
        <f t="shared" ca="1" si="68"/>
        <v>Actual</v>
      </c>
      <c r="D181" s="17">
        <f t="shared" ca="1" si="73"/>
        <v>9091</v>
      </c>
      <c r="E181" s="17">
        <f t="shared" ca="1" si="69"/>
        <v>31</v>
      </c>
      <c r="F181" s="182">
        <f t="shared" ca="1" si="74"/>
        <v>56800</v>
      </c>
      <c r="G181" s="183">
        <f t="shared" ca="1" si="70"/>
        <v>218</v>
      </c>
      <c r="H181" s="184">
        <f ca="1">IF($A181="","",+Rates!N175)</f>
        <v>120</v>
      </c>
      <c r="I181" s="184">
        <f ca="1">IF($A181="","",+ROUND(Rates!O175,2))</f>
        <v>3106.04</v>
      </c>
      <c r="J181" s="184">
        <f ca="1">IF($A181="","",IF(F181=0,0,+ROUND(Rates!P175,2)))</f>
        <v>2222.33</v>
      </c>
      <c r="K181" s="184">
        <f ca="1">IF($A181="","",+ROUND(Rates!X175,2))</f>
        <v>438.27</v>
      </c>
      <c r="L181" s="184">
        <f ca="1">IF($A181="","",+ROUND(Rates!Q175,2))</f>
        <v>181.76</v>
      </c>
      <c r="M181" s="185">
        <f ca="1">IF($A181="","",+ROUND(Rates!R175,2))</f>
        <v>6068.4</v>
      </c>
      <c r="N181" s="186">
        <f t="shared" ca="1" si="75"/>
        <v>76344.086021505369</v>
      </c>
      <c r="O181" s="187">
        <f t="shared" ca="1" si="56"/>
        <v>0.35020222945644669</v>
      </c>
      <c r="P181" s="188">
        <f ca="1">IFERROR(SUM(INDIRECT("'FAF &amp; DDs'!"&amp;(ADDRESS(MATCH($B181-$E181,'FAF &amp; DDs'!$Q:$Q,0),COLUMN($R$1),2,1))&amp;":"&amp;(ADDRESS(MATCH($B181-1,'FAF &amp; DDs'!$Q:$Q,0),COLUMN($R$1),1))))/E181*30,-1)</f>
        <v>-1</v>
      </c>
      <c r="Q181" s="188">
        <f ca="1">IFERROR(SUM(INDIRECT("'FAF &amp; DDs'!"&amp;(ADDRESS(MATCH($B181-$E181,'FAF &amp; DDs'!$Q:$Q,0),COLUMN($S$1),2,1))&amp;":"&amp;(ADDRESS(MATCH($B181-1,'FAF &amp; DDs'!$Q:$Q,0),COLUMN($S$1),1))))/E181*30,-1)</f>
        <v>-1</v>
      </c>
      <c r="R181" s="176">
        <f t="shared" ca="1" si="64"/>
        <v>6</v>
      </c>
      <c r="S181">
        <f ca="1">IF(ROW()&gt;MIN(($AB$8,$AB$7))+11,0,MATCH(V181,INDIRECT("'Reading History'!B"&amp;$Y$5&amp;":b"&amp;$Y$6),-1))</f>
        <v>170</v>
      </c>
      <c r="U181" s="152">
        <f t="shared" ca="1" si="71"/>
        <v>38877</v>
      </c>
      <c r="V181" s="4">
        <f t="shared" ca="1" si="76"/>
        <v>38877</v>
      </c>
      <c r="W181">
        <f t="shared" ca="1" si="58"/>
        <v>0</v>
      </c>
      <c r="X181">
        <f t="shared" ca="1" si="72"/>
        <v>31</v>
      </c>
      <c r="AB181" s="176">
        <f t="shared" ca="1" si="66"/>
        <v>0</v>
      </c>
    </row>
    <row r="182" spans="1:28" ht="15" customHeight="1" x14ac:dyDescent="0.2">
      <c r="A182" s="2" t="str">
        <f t="shared" ca="1" si="67"/>
        <v>Electric</v>
      </c>
      <c r="B182" s="4">
        <f t="shared" ca="1" si="60"/>
        <v>38846</v>
      </c>
      <c r="C182" s="179" t="str">
        <f t="shared" ca="1" si="68"/>
        <v>Actual</v>
      </c>
      <c r="D182" s="17">
        <f t="shared" ca="1" si="73"/>
        <v>8807</v>
      </c>
      <c r="E182" s="17">
        <f t="shared" ca="1" si="69"/>
        <v>32</v>
      </c>
      <c r="F182" s="182">
        <f t="shared" ca="1" si="74"/>
        <v>54200</v>
      </c>
      <c r="G182" s="183">
        <f t="shared" ca="1" si="70"/>
        <v>200</v>
      </c>
      <c r="H182" s="184">
        <f ca="1">IF($A182="","",+Rates!N176)</f>
        <v>120</v>
      </c>
      <c r="I182" s="184">
        <f ca="1">IF($A182="","",+ROUND(Rates!O176,2))</f>
        <v>2666.64</v>
      </c>
      <c r="J182" s="184">
        <f ca="1">IF($A182="","",IF(F182=0,0,+ROUND(Rates!P176,2)))</f>
        <v>1784</v>
      </c>
      <c r="K182" s="184">
        <f ca="1">IF($A182="","",+ROUND(Rates!X176,2))</f>
        <v>394.25</v>
      </c>
      <c r="L182" s="184">
        <f ca="1">IF($A182="","",+ROUND(Rates!Q176,2))</f>
        <v>173.44</v>
      </c>
      <c r="M182" s="185">
        <f ca="1">IF($A182="","",+ROUND(Rates!R176,2))</f>
        <v>5138.33</v>
      </c>
      <c r="N182" s="186">
        <f t="shared" ca="1" si="75"/>
        <v>70572.916666666672</v>
      </c>
      <c r="O182" s="187">
        <f t="shared" ca="1" si="56"/>
        <v>0.35286458333333331</v>
      </c>
      <c r="P182" s="188">
        <f ca="1">IFERROR(SUM(INDIRECT("'FAF &amp; DDs'!"&amp;(ADDRESS(MATCH($B182-$E182,'FAF &amp; DDs'!$Q:$Q,0),COLUMN($R$1),2,1))&amp;":"&amp;(ADDRESS(MATCH($B182-1,'FAF &amp; DDs'!$Q:$Q,0),COLUMN($R$1),1))))/E182*30,-1)</f>
        <v>-1</v>
      </c>
      <c r="Q182" s="188">
        <f ca="1">IFERROR(SUM(INDIRECT("'FAF &amp; DDs'!"&amp;(ADDRESS(MATCH($B182-$E182,'FAF &amp; DDs'!$Q:$Q,0),COLUMN($S$1),2,1))&amp;":"&amp;(ADDRESS(MATCH($B182-1,'FAF &amp; DDs'!$Q:$Q,0),COLUMN($S$1),1))))/E182*30,-1)</f>
        <v>-1</v>
      </c>
      <c r="R182" s="176">
        <f t="shared" ca="1" si="64"/>
        <v>6</v>
      </c>
      <c r="S182">
        <f ca="1">IF(ROW()&gt;MIN(($AB$8,$AB$7))+11,0,MATCH(V182,INDIRECT("'Reading History'!B"&amp;$Y$5&amp;":b"&amp;$Y$6),-1))</f>
        <v>171</v>
      </c>
      <c r="U182" s="152">
        <f t="shared" ca="1" si="71"/>
        <v>38846</v>
      </c>
      <c r="V182" s="4">
        <f t="shared" ca="1" si="76"/>
        <v>38846</v>
      </c>
      <c r="W182">
        <f t="shared" ca="1" si="58"/>
        <v>0</v>
      </c>
      <c r="X182">
        <f t="shared" ca="1" si="72"/>
        <v>32</v>
      </c>
      <c r="AB182" s="176">
        <f t="shared" ca="1" si="66"/>
        <v>0</v>
      </c>
    </row>
    <row r="183" spans="1:28" ht="15" customHeight="1" x14ac:dyDescent="0.2">
      <c r="A183" s="2" t="str">
        <f t="shared" ca="1" si="67"/>
        <v>Electric</v>
      </c>
      <c r="B183" s="4">
        <f t="shared" ca="1" si="60"/>
        <v>38814</v>
      </c>
      <c r="C183" s="179" t="str">
        <f t="shared" ca="1" si="68"/>
        <v>Actual</v>
      </c>
      <c r="D183" s="17">
        <f t="shared" ca="1" si="73"/>
        <v>8536</v>
      </c>
      <c r="E183" s="17">
        <f t="shared" ca="1" si="69"/>
        <v>34</v>
      </c>
      <c r="F183" s="182">
        <f t="shared" ca="1" si="74"/>
        <v>47400</v>
      </c>
      <c r="G183" s="183">
        <f t="shared" ca="1" si="70"/>
        <v>188</v>
      </c>
      <c r="H183" s="184">
        <f ca="1">IF($A183="","",+Rates!N177)</f>
        <v>120</v>
      </c>
      <c r="I183" s="184">
        <f ca="1">IF($A183="","",+ROUND(Rates!O177,2))</f>
        <v>2214.9699999999998</v>
      </c>
      <c r="J183" s="184">
        <f ca="1">IF($A183="","",IF(F183=0,0,+ROUND(Rates!P177,2)))</f>
        <v>1593.36</v>
      </c>
      <c r="K183" s="184">
        <f ca="1">IF($A183="","",+ROUND(Rates!X177,2))</f>
        <v>180.4</v>
      </c>
      <c r="L183" s="184">
        <f ca="1">IF($A183="","",+ROUND(Rates!Q177,2))</f>
        <v>151.68</v>
      </c>
      <c r="M183" s="185">
        <f ca="1">IF($A183="","",+ROUND(Rates!R177,2))</f>
        <v>4260.41</v>
      </c>
      <c r="N183" s="186">
        <f t="shared" ca="1" si="75"/>
        <v>67385.057471264372</v>
      </c>
      <c r="O183" s="187">
        <f t="shared" ca="1" si="56"/>
        <v>0.30897997496871088</v>
      </c>
      <c r="P183" s="188">
        <f ca="1">IFERROR(SUM(INDIRECT("'FAF &amp; DDs'!"&amp;(ADDRESS(MATCH($B183-$E183,'FAF &amp; DDs'!$Q:$Q,0),COLUMN($R$1),2,1))&amp;":"&amp;(ADDRESS(MATCH($B183-1,'FAF &amp; DDs'!$Q:$Q,0),COLUMN($R$1),1))))/E183*30,-1)</f>
        <v>-1</v>
      </c>
      <c r="Q183" s="188">
        <f ca="1">IFERROR(SUM(INDIRECT("'FAF &amp; DDs'!"&amp;(ADDRESS(MATCH($B183-$E183,'FAF &amp; DDs'!$Q:$Q,0),COLUMN($S$1),2,1))&amp;":"&amp;(ADDRESS(MATCH($B183-1,'FAF &amp; DDs'!$Q:$Q,0),COLUMN($S$1),1))))/E183*30,-1)</f>
        <v>-1</v>
      </c>
      <c r="R183" s="176">
        <f t="shared" ca="1" si="64"/>
        <v>6</v>
      </c>
      <c r="S183">
        <f ca="1">IF(ROW()&gt;MIN(($AB$8,$AB$7))+11,0,MATCH(V183,INDIRECT("'Reading History'!B"&amp;$Y$5&amp;":b"&amp;$Y$6),-1))</f>
        <v>172</v>
      </c>
      <c r="U183" s="152">
        <f t="shared" ca="1" si="71"/>
        <v>38814</v>
      </c>
      <c r="V183" s="4">
        <f t="shared" ca="1" si="76"/>
        <v>38814</v>
      </c>
      <c r="W183">
        <f t="shared" ca="1" si="58"/>
        <v>0</v>
      </c>
      <c r="X183">
        <f t="shared" ca="1" si="72"/>
        <v>34</v>
      </c>
      <c r="AB183" s="176">
        <f t="shared" ca="1" si="66"/>
        <v>0</v>
      </c>
    </row>
    <row r="184" spans="1:28" ht="15" customHeight="1" x14ac:dyDescent="0.2">
      <c r="A184" s="2" t="str">
        <f t="shared" ca="1" si="67"/>
        <v>Electric</v>
      </c>
      <c r="B184" s="4">
        <f t="shared" ca="1" si="60"/>
        <v>38780</v>
      </c>
      <c r="C184" s="179" t="str">
        <f t="shared" ca="1" si="68"/>
        <v>Estimate</v>
      </c>
      <c r="D184" s="17">
        <f t="shared" ca="1" si="73"/>
        <v>8299</v>
      </c>
      <c r="E184" s="17">
        <f t="shared" ca="1" si="69"/>
        <v>24</v>
      </c>
      <c r="F184" s="182">
        <f t="shared" ca="1" si="74"/>
        <v>46400</v>
      </c>
      <c r="G184" s="183">
        <f t="shared" ca="1" si="70"/>
        <v>200</v>
      </c>
      <c r="H184" s="184">
        <f ca="1">IF($A184="","",+Rates!N178)</f>
        <v>120</v>
      </c>
      <c r="I184" s="184">
        <f ca="1">IF($A184="","",+ROUND(Rates!O178,2))</f>
        <v>2143.6799999999998</v>
      </c>
      <c r="J184" s="184">
        <f ca="1">IF($A184="","",IF(F184=0,0,+ROUND(Rates!P178,2)))</f>
        <v>1676</v>
      </c>
      <c r="K184" s="184">
        <f ca="1">IF($A184="","",+ROUND(Rates!X178,2))</f>
        <v>128.9</v>
      </c>
      <c r="L184" s="184">
        <f ca="1">IF($A184="","",+ROUND(Rates!Q178,2))</f>
        <v>148.47999999999999</v>
      </c>
      <c r="M184" s="185">
        <f ca="1">IF($A184="","",+ROUND(Rates!R178,2))</f>
        <v>4217.0600000000004</v>
      </c>
      <c r="N184" s="186">
        <f t="shared" ca="1" si="75"/>
        <v>67385.057471264372</v>
      </c>
      <c r="O184" s="187">
        <f t="shared" ca="1" si="56"/>
        <v>0.40277777777777779</v>
      </c>
      <c r="P184" s="188">
        <f ca="1">IFERROR(SUM(INDIRECT("'FAF &amp; DDs'!"&amp;(ADDRESS(MATCH($B184-$E184,'FAF &amp; DDs'!$Q:$Q,0),COLUMN($R$1),2,1))&amp;":"&amp;(ADDRESS(MATCH($B184-1,'FAF &amp; DDs'!$Q:$Q,0),COLUMN($R$1),1))))/E184*30,-1)</f>
        <v>-1</v>
      </c>
      <c r="Q184" s="188">
        <f ca="1">IFERROR(SUM(INDIRECT("'FAF &amp; DDs'!"&amp;(ADDRESS(MATCH($B184-$E184,'FAF &amp; DDs'!$Q:$Q,0),COLUMN($S$1),2,1))&amp;":"&amp;(ADDRESS(MATCH($B184-1,'FAF &amp; DDs'!$Q:$Q,0),COLUMN($S$1),1))))/E184*30,-1)</f>
        <v>-1</v>
      </c>
      <c r="R184" s="176">
        <f t="shared" ca="1" si="64"/>
        <v>6</v>
      </c>
      <c r="S184">
        <f ca="1">IF(ROW()&gt;MIN(($AB$8,$AB$7))+11,0,MATCH(V184,INDIRECT("'Reading History'!B"&amp;$Y$5&amp;":b"&amp;$Y$6),-1))</f>
        <v>173</v>
      </c>
      <c r="U184" s="152">
        <f t="shared" ca="1" si="71"/>
        <v>38780</v>
      </c>
      <c r="V184" s="4">
        <f t="shared" ca="1" si="76"/>
        <v>38780</v>
      </c>
      <c r="W184">
        <f t="shared" ca="1" si="58"/>
        <v>0</v>
      </c>
      <c r="X184">
        <f t="shared" ca="1" si="72"/>
        <v>24</v>
      </c>
      <c r="AB184" s="176">
        <f t="shared" ca="1" si="66"/>
        <v>0</v>
      </c>
    </row>
    <row r="185" spans="1:28" ht="15" customHeight="1" x14ac:dyDescent="0.2">
      <c r="A185" s="2" t="str">
        <f t="shared" ca="1" si="67"/>
        <v>Electric</v>
      </c>
      <c r="B185" s="4">
        <f t="shared" ca="1" si="60"/>
        <v>38756</v>
      </c>
      <c r="C185" s="179" t="str">
        <f t="shared" ca="1" si="68"/>
        <v>Actual</v>
      </c>
      <c r="D185" s="17">
        <f t="shared" ca="1" si="73"/>
        <v>8067</v>
      </c>
      <c r="E185" s="17">
        <f t="shared" ca="1" si="69"/>
        <v>30</v>
      </c>
      <c r="F185" s="182">
        <f t="shared" ca="1" si="74"/>
        <v>49600</v>
      </c>
      <c r="G185" s="183">
        <f t="shared" ca="1" si="70"/>
        <v>170</v>
      </c>
      <c r="H185" s="184">
        <f ca="1">IF($A185="","",+Rates!N179)</f>
        <v>120</v>
      </c>
      <c r="I185" s="184">
        <f ca="1">IF($A185="","",+ROUND(Rates!O179,2))</f>
        <v>2291.52</v>
      </c>
      <c r="J185" s="184">
        <f ca="1">IF($A185="","",IF(F185=0,0,+ROUND(Rates!P179,2)))</f>
        <v>1424.6</v>
      </c>
      <c r="K185" s="184">
        <f ca="1">IF($A185="","",+ROUND(Rates!X179,2))</f>
        <v>126.28</v>
      </c>
      <c r="L185" s="184">
        <f ca="1">IF($A185="","",+ROUND(Rates!Q179,2))</f>
        <v>158.72</v>
      </c>
      <c r="M185" s="185">
        <f ca="1">IF($A185="","",+ROUND(Rates!R179,2))</f>
        <v>4121.12</v>
      </c>
      <c r="N185" s="186">
        <f t="shared" ca="1" si="75"/>
        <v>68888.888888888891</v>
      </c>
      <c r="O185" s="187">
        <f t="shared" ca="1" si="56"/>
        <v>0.40522875816993464</v>
      </c>
      <c r="P185" s="188">
        <f ca="1">IFERROR(SUM(INDIRECT("'FAF &amp; DDs'!"&amp;(ADDRESS(MATCH($B185-$E185,'FAF &amp; DDs'!$Q:$Q,0),COLUMN($R$1),2,1))&amp;":"&amp;(ADDRESS(MATCH($B185-1,'FAF &amp; DDs'!$Q:$Q,0),COLUMN($R$1),1))))/E185*30,-1)</f>
        <v>-1</v>
      </c>
      <c r="Q185" s="188">
        <f ca="1">IFERROR(SUM(INDIRECT("'FAF &amp; DDs'!"&amp;(ADDRESS(MATCH($B185-$E185,'FAF &amp; DDs'!$Q:$Q,0),COLUMN($S$1),2,1))&amp;":"&amp;(ADDRESS(MATCH($B185-1,'FAF &amp; DDs'!$Q:$Q,0),COLUMN($S$1),1))))/E185*30,-1)</f>
        <v>-1</v>
      </c>
      <c r="R185" s="176">
        <f t="shared" ca="1" si="64"/>
        <v>6</v>
      </c>
      <c r="S185">
        <f ca="1">IF(ROW()&gt;MIN(($AB$8,$AB$7))+11,0,MATCH(V185,INDIRECT("'Reading History'!B"&amp;$Y$5&amp;":b"&amp;$Y$6),-1))</f>
        <v>174</v>
      </c>
      <c r="U185" s="152">
        <f t="shared" ca="1" si="71"/>
        <v>38756</v>
      </c>
      <c r="V185" s="4">
        <f t="shared" ca="1" si="76"/>
        <v>38756</v>
      </c>
      <c r="W185">
        <f t="shared" ca="1" si="58"/>
        <v>0</v>
      </c>
      <c r="X185">
        <f t="shared" ca="1" si="72"/>
        <v>30</v>
      </c>
      <c r="AB185" s="176">
        <f t="shared" ca="1" si="66"/>
        <v>0</v>
      </c>
    </row>
    <row r="186" spans="1:28" ht="15" customHeight="1" x14ac:dyDescent="0.2">
      <c r="A186" s="2" t="str">
        <f t="shared" ca="1" si="67"/>
        <v>Electric</v>
      </c>
      <c r="B186" s="4">
        <f t="shared" ca="1" si="60"/>
        <v>38726</v>
      </c>
      <c r="C186" s="179" t="str">
        <f t="shared" ca="1" si="68"/>
        <v>Actual</v>
      </c>
      <c r="D186" s="17">
        <f t="shared" ca="1" si="73"/>
        <v>7819</v>
      </c>
      <c r="E186" s="17">
        <f t="shared" ca="1" si="69"/>
        <v>34</v>
      </c>
      <c r="F186" s="182">
        <f t="shared" ca="1" si="74"/>
        <v>50000</v>
      </c>
      <c r="G186" s="183">
        <f t="shared" ca="1" si="70"/>
        <v>180</v>
      </c>
      <c r="H186" s="184">
        <f ca="1">IF($A186="","",+Rates!N180)</f>
        <v>120</v>
      </c>
      <c r="I186" s="184">
        <f ca="1">IF($A186="","",+ROUND(Rates!O180,2))</f>
        <v>2310</v>
      </c>
      <c r="J186" s="184">
        <f ca="1">IF($A186="","",IF(F186=0,0,+ROUND(Rates!P180,2)))</f>
        <v>1508.4</v>
      </c>
      <c r="K186" s="184">
        <f ca="1">IF($A186="","",+ROUND(Rates!X180,2))</f>
        <v>164.3</v>
      </c>
      <c r="L186" s="184">
        <f ca="1">IF($A186="","",+ROUND(Rates!Q180,2))</f>
        <v>160</v>
      </c>
      <c r="M186" s="185">
        <f ca="1">IF($A186="","",+ROUND(Rates!R180,2))</f>
        <v>4262.7</v>
      </c>
      <c r="N186" s="186">
        <f t="shared" ca="1" si="75"/>
        <v>61274.509803921566</v>
      </c>
      <c r="O186" s="187">
        <f t="shared" ca="1" si="56"/>
        <v>0.34041394335511982</v>
      </c>
      <c r="P186" s="188">
        <f ca="1">IFERROR(SUM(INDIRECT("'FAF &amp; DDs'!"&amp;(ADDRESS(MATCH($B186-$E186,'FAF &amp; DDs'!$Q:$Q,0),COLUMN($R$1),2,1))&amp;":"&amp;(ADDRESS(MATCH($B186-1,'FAF &amp; DDs'!$Q:$Q,0),COLUMN($R$1),1))))/E186*30,-1)</f>
        <v>-1</v>
      </c>
      <c r="Q186" s="188">
        <f ca="1">IFERROR(SUM(INDIRECT("'FAF &amp; DDs'!"&amp;(ADDRESS(MATCH($B186-$E186,'FAF &amp; DDs'!$Q:$Q,0),COLUMN($S$1),2,1))&amp;":"&amp;(ADDRESS(MATCH($B186-1,'FAF &amp; DDs'!$Q:$Q,0),COLUMN($S$1),1))))/E186*30,-1)</f>
        <v>-1</v>
      </c>
      <c r="R186" s="176">
        <f t="shared" ca="1" si="64"/>
        <v>6</v>
      </c>
      <c r="S186">
        <f ca="1">IF(ROW()&gt;MIN(($AB$8,$AB$7))+11,0,MATCH(V186,INDIRECT("'Reading History'!B"&amp;$Y$5&amp;":b"&amp;$Y$6),-1))</f>
        <v>175</v>
      </c>
      <c r="U186" s="152">
        <f t="shared" ca="1" si="71"/>
        <v>38726</v>
      </c>
      <c r="V186" s="4">
        <f t="shared" ca="1" si="76"/>
        <v>38726</v>
      </c>
      <c r="W186">
        <f t="shared" ca="1" si="58"/>
        <v>0</v>
      </c>
      <c r="X186">
        <f t="shared" ca="1" si="72"/>
        <v>34</v>
      </c>
      <c r="AB186" s="176">
        <f t="shared" ca="1" si="66"/>
        <v>0</v>
      </c>
    </row>
    <row r="187" spans="1:28" ht="15" customHeight="1" x14ac:dyDescent="0.2">
      <c r="A187" s="2" t="str">
        <f t="shared" ca="1" si="67"/>
        <v>Electric</v>
      </c>
      <c r="B187" s="4">
        <f t="shared" ca="1" si="60"/>
        <v>38692</v>
      </c>
      <c r="C187" s="179" t="str">
        <f t="shared" ca="1" si="68"/>
        <v>Actual</v>
      </c>
      <c r="D187" s="17">
        <f t="shared" ca="1" si="73"/>
        <v>7569</v>
      </c>
      <c r="E187" s="17">
        <f t="shared" ca="1" si="69"/>
        <v>33</v>
      </c>
      <c r="F187" s="182">
        <f t="shared" ca="1" si="74"/>
        <v>50200</v>
      </c>
      <c r="G187" s="183">
        <f t="shared" ca="1" si="70"/>
        <v>190</v>
      </c>
      <c r="H187" s="184">
        <f ca="1">IF($A187="","",+Rates!N181)</f>
        <v>120</v>
      </c>
      <c r="I187" s="184">
        <f ca="1">IF($A187="","",+ROUND(Rates!O181,2))</f>
        <v>2319.2399999999998</v>
      </c>
      <c r="J187" s="184">
        <f ca="1">IF($A187="","",IF(F187=0,0,+ROUND(Rates!P181,2)))</f>
        <v>1592.2</v>
      </c>
      <c r="K187" s="184">
        <f ca="1">IF($A187="","",+ROUND(Rates!X181,2))</f>
        <v>438.05</v>
      </c>
      <c r="L187" s="184">
        <f ca="1">IF($A187="","",+ROUND(Rates!Q181,2))</f>
        <v>160.63999999999999</v>
      </c>
      <c r="M187" s="185">
        <f ca="1">IF($A187="","",+ROUND(Rates!R181,2))</f>
        <v>4630.13</v>
      </c>
      <c r="N187" s="186">
        <f t="shared" ca="1" si="75"/>
        <v>63383.838383838389</v>
      </c>
      <c r="O187" s="187">
        <f t="shared" ca="1" si="56"/>
        <v>0.33359914938862306</v>
      </c>
      <c r="P187" s="188">
        <f ca="1">IFERROR(SUM(INDIRECT("'FAF &amp; DDs'!"&amp;(ADDRESS(MATCH($B187-$E187,'FAF &amp; DDs'!$Q:$Q,0),COLUMN($R$1),2,1))&amp;":"&amp;(ADDRESS(MATCH($B187-1,'FAF &amp; DDs'!$Q:$Q,0),COLUMN($R$1),1))))/E187*30,-1)</f>
        <v>-1</v>
      </c>
      <c r="Q187" s="188">
        <f ca="1">IFERROR(SUM(INDIRECT("'FAF &amp; DDs'!"&amp;(ADDRESS(MATCH($B187-$E187,'FAF &amp; DDs'!$Q:$Q,0),COLUMN($S$1),2,1))&amp;":"&amp;(ADDRESS(MATCH($B187-1,'FAF &amp; DDs'!$Q:$Q,0),COLUMN($S$1),1))))/E187*30,-1)</f>
        <v>-1</v>
      </c>
      <c r="R187" s="176">
        <f t="shared" ca="1" si="64"/>
        <v>6</v>
      </c>
      <c r="S187">
        <f ca="1">IF(ROW()&gt;MIN(($AB$8,$AB$7))+11,0,MATCH(V187,INDIRECT("'Reading History'!B"&amp;$Y$5&amp;":b"&amp;$Y$6),-1))</f>
        <v>176</v>
      </c>
      <c r="U187" s="152">
        <f t="shared" ca="1" si="71"/>
        <v>38692</v>
      </c>
      <c r="V187" s="4">
        <f t="shared" ca="1" si="76"/>
        <v>38692</v>
      </c>
      <c r="W187">
        <f t="shared" ca="1" si="58"/>
        <v>0</v>
      </c>
      <c r="X187">
        <f t="shared" ca="1" si="72"/>
        <v>33</v>
      </c>
      <c r="AB187" s="176">
        <f t="shared" ca="1" si="66"/>
        <v>0</v>
      </c>
    </row>
    <row r="188" spans="1:28" ht="15" customHeight="1" x14ac:dyDescent="0.2">
      <c r="A188" s="2" t="str">
        <f t="shared" ca="1" si="67"/>
        <v>Electric</v>
      </c>
      <c r="B188" s="4">
        <f t="shared" ca="1" si="60"/>
        <v>38659</v>
      </c>
      <c r="C188" s="179" t="str">
        <f t="shared" ca="1" si="68"/>
        <v>Actual</v>
      </c>
      <c r="D188" s="17">
        <f t="shared" ca="1" si="73"/>
        <v>7318</v>
      </c>
      <c r="E188" s="17">
        <f t="shared" ca="1" si="69"/>
        <v>29</v>
      </c>
      <c r="F188" s="182">
        <f t="shared" ca="1" si="74"/>
        <v>48200</v>
      </c>
      <c r="G188" s="183">
        <f t="shared" ca="1" si="70"/>
        <v>232</v>
      </c>
      <c r="H188" s="184">
        <f ca="1">IF($A188="","",+Rates!N182)</f>
        <v>120</v>
      </c>
      <c r="I188" s="184">
        <f ca="1">IF($A188="","",+ROUND(Rates!O182,2))</f>
        <v>2056.31</v>
      </c>
      <c r="J188" s="184">
        <f ca="1">IF($A188="","",IF(F188=0,0,+ROUND(Rates!P182,2)))</f>
        <v>1795.12</v>
      </c>
      <c r="K188" s="184">
        <f ca="1">IF($A188="","",+ROUND(Rates!X182,2))</f>
        <v>189.57</v>
      </c>
      <c r="L188" s="184">
        <f ca="1">IF($A188="","",+ROUND(Rates!Q182,2))</f>
        <v>154.24</v>
      </c>
      <c r="M188" s="185">
        <f ca="1">IF($A188="","",+ROUND(Rates!R182,2))</f>
        <v>4315.24</v>
      </c>
      <c r="N188" s="186">
        <f t="shared" ca="1" si="75"/>
        <v>69252.873563218382</v>
      </c>
      <c r="O188" s="187">
        <f t="shared" ca="1" si="56"/>
        <v>0.29850376535869994</v>
      </c>
      <c r="P188" s="188">
        <f ca="1">IFERROR(SUM(INDIRECT("'FAF &amp; DDs'!"&amp;(ADDRESS(MATCH($B188-$E188,'FAF &amp; DDs'!$Q:$Q,0),COLUMN($R$1),2,1))&amp;":"&amp;(ADDRESS(MATCH($B188-1,'FAF &amp; DDs'!$Q:$Q,0),COLUMN($R$1),1))))/E188*30,-1)</f>
        <v>-1</v>
      </c>
      <c r="Q188" s="188">
        <f ca="1">IFERROR(SUM(INDIRECT("'FAF &amp; DDs'!"&amp;(ADDRESS(MATCH($B188-$E188,'FAF &amp; DDs'!$Q:$Q,0),COLUMN($S$1),2,1))&amp;":"&amp;(ADDRESS(MATCH($B188-1,'FAF &amp; DDs'!$Q:$Q,0),COLUMN($S$1),1))))/E188*30,-1)</f>
        <v>-1</v>
      </c>
      <c r="R188" s="176">
        <f t="shared" ca="1" si="64"/>
        <v>6</v>
      </c>
      <c r="S188">
        <f ca="1">IF(ROW()&gt;MIN(($AB$8,$AB$7))+11,0,MATCH(V188,INDIRECT("'Reading History'!B"&amp;$Y$5&amp;":b"&amp;$Y$6),-1))</f>
        <v>177</v>
      </c>
      <c r="U188" s="152">
        <f t="shared" ca="1" si="71"/>
        <v>38659</v>
      </c>
      <c r="V188" s="4">
        <f t="shared" ca="1" si="76"/>
        <v>38659</v>
      </c>
      <c r="W188">
        <f t="shared" ca="1" si="58"/>
        <v>0</v>
      </c>
      <c r="X188">
        <f t="shared" ca="1" si="72"/>
        <v>29</v>
      </c>
      <c r="AB188" s="176">
        <f t="shared" ca="1" si="66"/>
        <v>0</v>
      </c>
    </row>
    <row r="189" spans="1:28" ht="15" customHeight="1" x14ac:dyDescent="0.2">
      <c r="A189" s="2" t="str">
        <f t="shared" ca="1" si="67"/>
        <v>Electric</v>
      </c>
      <c r="B189" s="4">
        <f t="shared" ca="1" si="60"/>
        <v>38630</v>
      </c>
      <c r="C189" s="179" t="str">
        <f t="shared" ca="1" si="68"/>
        <v>Actual</v>
      </c>
      <c r="D189" s="17">
        <f t="shared" ca="1" si="73"/>
        <v>7077</v>
      </c>
      <c r="E189" s="17">
        <f t="shared" ca="1" si="69"/>
        <v>34</v>
      </c>
      <c r="F189" s="182">
        <f t="shared" ca="1" si="74"/>
        <v>69400</v>
      </c>
      <c r="G189" s="183">
        <f t="shared" ca="1" si="70"/>
        <v>232</v>
      </c>
      <c r="H189" s="184">
        <f ca="1">IF($A189="","",+Rates!N183)</f>
        <v>120</v>
      </c>
      <c r="I189" s="184">
        <f ca="1">IF($A189="","",+ROUND(Rates!O183,2))</f>
        <v>3108.3</v>
      </c>
      <c r="J189" s="184">
        <f ca="1">IF($A189="","",IF(F189=0,0,+ROUND(Rates!P183,2)))</f>
        <v>1914</v>
      </c>
      <c r="K189" s="184">
        <f ca="1">IF($A189="","",+ROUND(Rates!X183,2))</f>
        <v>280.17</v>
      </c>
      <c r="L189" s="184">
        <f ca="1">IF($A189="","",+ROUND(Rates!Q183,2))</f>
        <v>222.08</v>
      </c>
      <c r="M189" s="185">
        <f ca="1">IF($A189="","",+ROUND(Rates!R183,2))</f>
        <v>5644.55</v>
      </c>
      <c r="N189" s="186">
        <f t="shared" ca="1" si="75"/>
        <v>85049.019607843133</v>
      </c>
      <c r="O189" s="187">
        <f t="shared" ca="1" si="56"/>
        <v>0.36659060175794456</v>
      </c>
      <c r="P189" s="188">
        <f ca="1">IFERROR(SUM(INDIRECT("'FAF &amp; DDs'!"&amp;(ADDRESS(MATCH($B189-$E189,'FAF &amp; DDs'!$Q:$Q,0),COLUMN($R$1),2,1))&amp;":"&amp;(ADDRESS(MATCH($B189-1,'FAF &amp; DDs'!$Q:$Q,0),COLUMN($R$1),1))))/E189*30,-1)</f>
        <v>-1</v>
      </c>
      <c r="Q189" s="188">
        <f ca="1">IFERROR(SUM(INDIRECT("'FAF &amp; DDs'!"&amp;(ADDRESS(MATCH($B189-$E189,'FAF &amp; DDs'!$Q:$Q,0),COLUMN($S$1),2,1))&amp;":"&amp;(ADDRESS(MATCH($B189-1,'FAF &amp; DDs'!$Q:$Q,0),COLUMN($S$1),1))))/E189*30,-1)</f>
        <v>-1</v>
      </c>
      <c r="R189" s="176">
        <f t="shared" ca="1" si="64"/>
        <v>6</v>
      </c>
      <c r="S189">
        <f ca="1">IF(ROW()&gt;MIN(($AB$8,$AB$7))+11,0,MATCH(V189,INDIRECT("'Reading History'!B"&amp;$Y$5&amp;":b"&amp;$Y$6),-1))</f>
        <v>178</v>
      </c>
      <c r="U189" s="152">
        <f t="shared" ca="1" si="71"/>
        <v>38630</v>
      </c>
      <c r="V189" s="4">
        <f t="shared" ca="1" si="76"/>
        <v>38630</v>
      </c>
      <c r="W189">
        <f t="shared" ca="1" si="58"/>
        <v>0</v>
      </c>
      <c r="X189">
        <f t="shared" ca="1" si="72"/>
        <v>34</v>
      </c>
      <c r="AB189" s="176">
        <f t="shared" ca="1" si="66"/>
        <v>0</v>
      </c>
    </row>
    <row r="190" spans="1:28" ht="15" customHeight="1" x14ac:dyDescent="0.2">
      <c r="A190" s="2" t="str">
        <f t="shared" ca="1" si="67"/>
        <v>Electric</v>
      </c>
      <c r="B190" s="4">
        <f t="shared" ca="1" si="60"/>
        <v>38596</v>
      </c>
      <c r="C190" s="179" t="str">
        <f t="shared" ca="1" si="68"/>
        <v>Actual</v>
      </c>
      <c r="D190" s="17">
        <f t="shared" ca="1" si="73"/>
        <v>6730</v>
      </c>
      <c r="E190" s="17">
        <f t="shared" ca="1" si="69"/>
        <v>30</v>
      </c>
      <c r="F190" s="182">
        <f t="shared" ca="1" si="74"/>
        <v>68800</v>
      </c>
      <c r="G190" s="183">
        <f t="shared" ca="1" si="70"/>
        <v>240</v>
      </c>
      <c r="H190" s="184">
        <f ca="1">IF($A190="","",+Rates!N184)</f>
        <v>120</v>
      </c>
      <c r="I190" s="184">
        <f ca="1">IF($A190="","",+ROUND(Rates!O184,2))</f>
        <v>3316.16</v>
      </c>
      <c r="J190" s="184">
        <f ca="1">IF($A190="","",IF(F190=0,0,+ROUND(Rates!P184,2)))</f>
        <v>2172</v>
      </c>
      <c r="K190" s="184">
        <f ca="1">IF($A190="","",+ROUND(Rates!X184,2))</f>
        <v>266.26</v>
      </c>
      <c r="L190" s="184">
        <f ca="1">IF($A190="","",+ROUND(Rates!Q184,2))</f>
        <v>220.16</v>
      </c>
      <c r="M190" s="185">
        <f ca="1">IF($A190="","",+ROUND(Rates!R184,2))</f>
        <v>6094.58</v>
      </c>
      <c r="N190" s="186">
        <f t="shared" ca="1" si="75"/>
        <v>95555.555555555562</v>
      </c>
      <c r="O190" s="187">
        <f t="shared" ca="1" si="56"/>
        <v>0.39814814814814814</v>
      </c>
      <c r="P190" s="188">
        <f ca="1">IFERROR(SUM(INDIRECT("'FAF &amp; DDs'!"&amp;(ADDRESS(MATCH($B190-$E190,'FAF &amp; DDs'!$Q:$Q,0),COLUMN($R$1),2,1))&amp;":"&amp;(ADDRESS(MATCH($B190-1,'FAF &amp; DDs'!$Q:$Q,0),COLUMN($R$1),1))))/E190*30,-1)</f>
        <v>-1</v>
      </c>
      <c r="Q190" s="188">
        <f ca="1">IFERROR(SUM(INDIRECT("'FAF &amp; DDs'!"&amp;(ADDRESS(MATCH($B190-$E190,'FAF &amp; DDs'!$Q:$Q,0),COLUMN($S$1),2,1))&amp;":"&amp;(ADDRESS(MATCH($B190-1,'FAF &amp; DDs'!$Q:$Q,0),COLUMN($S$1),1))))/E190*30,-1)</f>
        <v>-1</v>
      </c>
      <c r="R190" s="176">
        <f t="shared" ca="1" si="64"/>
        <v>6</v>
      </c>
      <c r="S190">
        <f ca="1">IF(ROW()&gt;MIN(($AB$8,$AB$7))+11,0,MATCH(V190,INDIRECT("'Reading History'!B"&amp;$Y$5&amp;":b"&amp;$Y$6),-1))</f>
        <v>179</v>
      </c>
      <c r="U190" s="152">
        <f t="shared" ca="1" si="71"/>
        <v>38596</v>
      </c>
      <c r="V190" s="4">
        <f t="shared" ca="1" si="76"/>
        <v>38596</v>
      </c>
      <c r="W190">
        <f t="shared" ca="1" si="58"/>
        <v>0</v>
      </c>
      <c r="X190">
        <f t="shared" ca="1" si="72"/>
        <v>30</v>
      </c>
      <c r="AB190" s="176">
        <f t="shared" ca="1" si="66"/>
        <v>0</v>
      </c>
    </row>
    <row r="191" spans="1:28" ht="15" customHeight="1" x14ac:dyDescent="0.2">
      <c r="A191" s="2" t="str">
        <f t="shared" ca="1" si="67"/>
        <v>Electric</v>
      </c>
      <c r="B191" s="4">
        <f t="shared" ca="1" si="60"/>
        <v>38566</v>
      </c>
      <c r="C191" s="179" t="str">
        <f t="shared" ca="1" si="68"/>
        <v>Actual</v>
      </c>
      <c r="D191" s="17">
        <f t="shared" ca="1" si="73"/>
        <v>6386</v>
      </c>
      <c r="E191" s="17">
        <f t="shared" ca="1" si="69"/>
        <v>27</v>
      </c>
      <c r="F191" s="182">
        <f t="shared" ca="1" si="74"/>
        <v>59400</v>
      </c>
      <c r="G191" s="183">
        <f t="shared" ca="1" si="70"/>
        <v>252</v>
      </c>
      <c r="H191" s="184">
        <f ca="1">IF($A191="","",+Rates!N185)</f>
        <v>120</v>
      </c>
      <c r="I191" s="184">
        <f ca="1">IF($A191="","",+ROUND(Rates!O185,2))</f>
        <v>2863.08</v>
      </c>
      <c r="J191" s="184">
        <f ca="1">IF($A191="","",IF(F191=0,0,+ROUND(Rates!P185,2)))</f>
        <v>2280.6</v>
      </c>
      <c r="K191" s="184">
        <f ca="1">IF($A191="","",+ROUND(Rates!X185,2))</f>
        <v>266.52999999999997</v>
      </c>
      <c r="L191" s="184">
        <f ca="1">IF($A191="","",+ROUND(Rates!Q185,2))</f>
        <v>190.08</v>
      </c>
      <c r="M191" s="185">
        <f ca="1">IF($A191="","",+ROUND(Rates!R185,2))</f>
        <v>5720.29</v>
      </c>
      <c r="N191" s="186">
        <f t="shared" ca="1" si="75"/>
        <v>91666.666666666672</v>
      </c>
      <c r="O191" s="187">
        <f t="shared" ca="1" si="56"/>
        <v>0.36375661375661378</v>
      </c>
      <c r="P191" s="188">
        <f ca="1">IFERROR(SUM(INDIRECT("'FAF &amp; DDs'!"&amp;(ADDRESS(MATCH($B191-$E191,'FAF &amp; DDs'!$Q:$Q,0),COLUMN($R$1),2,1))&amp;":"&amp;(ADDRESS(MATCH($B191-1,'FAF &amp; DDs'!$Q:$Q,0),COLUMN($R$1),1))))/E191*30,-1)</f>
        <v>-1</v>
      </c>
      <c r="Q191" s="188">
        <f ca="1">IFERROR(SUM(INDIRECT("'FAF &amp; DDs'!"&amp;(ADDRESS(MATCH($B191-$E191,'FAF &amp; DDs'!$Q:$Q,0),COLUMN($S$1),2,1))&amp;":"&amp;(ADDRESS(MATCH($B191-1,'FAF &amp; DDs'!$Q:$Q,0),COLUMN($S$1),1))))/E191*30,-1)</f>
        <v>-1</v>
      </c>
      <c r="R191" s="176">
        <f t="shared" ca="1" si="64"/>
        <v>6</v>
      </c>
      <c r="S191">
        <f ca="1">IF(ROW()&gt;MIN(($AB$8,$AB$7))+11,0,MATCH(V191,INDIRECT("'Reading History'!B"&amp;$Y$5&amp;":b"&amp;$Y$6),-1))</f>
        <v>180</v>
      </c>
      <c r="U191" s="152">
        <f t="shared" ca="1" si="71"/>
        <v>38566</v>
      </c>
      <c r="V191" s="4">
        <f t="shared" ca="1" si="76"/>
        <v>38566</v>
      </c>
      <c r="W191">
        <f t="shared" ca="1" si="58"/>
        <v>0</v>
      </c>
      <c r="X191">
        <f t="shared" ca="1" si="72"/>
        <v>27</v>
      </c>
      <c r="AB191" s="176">
        <f t="shared" ca="1" si="66"/>
        <v>0</v>
      </c>
    </row>
    <row r="192" spans="1:28" ht="15" customHeight="1" x14ac:dyDescent="0.2">
      <c r="A192" s="2" t="str">
        <f t="shared" ca="1" si="67"/>
        <v>Electric</v>
      </c>
      <c r="B192" s="4">
        <f t="shared" ca="1" si="60"/>
        <v>38539</v>
      </c>
      <c r="C192" s="179" t="str">
        <f t="shared" ca="1" si="68"/>
        <v>Actual</v>
      </c>
      <c r="D192" s="17">
        <f t="shared" ca="1" si="73"/>
        <v>6089</v>
      </c>
      <c r="E192" s="17">
        <f t="shared" ca="1" si="69"/>
        <v>34</v>
      </c>
      <c r="F192" s="182">
        <f t="shared" ca="1" si="74"/>
        <v>73200</v>
      </c>
      <c r="G192" s="183">
        <f t="shared" ca="1" si="70"/>
        <v>240</v>
      </c>
      <c r="H192" s="184">
        <f ca="1">IF($A192="","",+Rates!N186)</f>
        <v>120</v>
      </c>
      <c r="I192" s="184">
        <f ca="1">IF($A192="","",+ROUND(Rates!O186,2))</f>
        <v>3528.24</v>
      </c>
      <c r="J192" s="184">
        <f ca="1">IF($A192="","",IF(F192=0,0,+ROUND(Rates!P186,2)))</f>
        <v>2172</v>
      </c>
      <c r="K192" s="184">
        <f ca="1">IF($A192="","",+ROUND(Rates!X186,2))</f>
        <v>-24.3</v>
      </c>
      <c r="L192" s="184">
        <f ca="1">IF($A192="","",+ROUND(Rates!Q186,2))</f>
        <v>234.24</v>
      </c>
      <c r="M192" s="185">
        <f ca="1">IF($A192="","",+ROUND(Rates!R186,2))</f>
        <v>6030.18</v>
      </c>
      <c r="N192" s="186">
        <f t="shared" ca="1" si="75"/>
        <v>89705.882352941175</v>
      </c>
      <c r="O192" s="187">
        <f t="shared" ca="1" si="56"/>
        <v>0.37377450980392157</v>
      </c>
      <c r="P192" s="188">
        <f ca="1">IFERROR(SUM(INDIRECT("'FAF &amp; DDs'!"&amp;(ADDRESS(MATCH($B192-$E192,'FAF &amp; DDs'!$Q:$Q,0),COLUMN($R$1),2,1))&amp;":"&amp;(ADDRESS(MATCH($B192-1,'FAF &amp; DDs'!$Q:$Q,0),COLUMN($R$1),1))))/E192*30,-1)</f>
        <v>-1</v>
      </c>
      <c r="Q192" s="188">
        <f ca="1">IFERROR(SUM(INDIRECT("'FAF &amp; DDs'!"&amp;(ADDRESS(MATCH($B192-$E192,'FAF &amp; DDs'!$Q:$Q,0),COLUMN($S$1),2,1))&amp;":"&amp;(ADDRESS(MATCH($B192-1,'FAF &amp; DDs'!$Q:$Q,0),COLUMN($S$1),1))))/E192*30,-1)</f>
        <v>-1</v>
      </c>
      <c r="R192" s="176">
        <f t="shared" ca="1" si="64"/>
        <v>6</v>
      </c>
      <c r="S192">
        <f ca="1">IF(ROW()&gt;MIN(($AB$8,$AB$7))+11,0,MATCH(V192,INDIRECT("'Reading History'!B"&amp;$Y$5&amp;":b"&amp;$Y$6),-1))</f>
        <v>181</v>
      </c>
      <c r="U192" s="152">
        <f t="shared" ca="1" si="71"/>
        <v>38539</v>
      </c>
      <c r="V192" s="4">
        <f t="shared" ca="1" si="76"/>
        <v>38539</v>
      </c>
      <c r="W192">
        <f t="shared" ca="1" si="58"/>
        <v>0</v>
      </c>
      <c r="X192">
        <f t="shared" ca="1" si="72"/>
        <v>34</v>
      </c>
      <c r="AB192" s="176">
        <f t="shared" ca="1" si="66"/>
        <v>0</v>
      </c>
    </row>
    <row r="193" spans="1:28" ht="15" customHeight="1" x14ac:dyDescent="0.2">
      <c r="A193" s="2" t="str">
        <f t="shared" ca="1" si="67"/>
        <v>Electric</v>
      </c>
      <c r="B193" s="4">
        <f t="shared" ca="1" si="60"/>
        <v>38505</v>
      </c>
      <c r="C193" s="179" t="str">
        <f t="shared" ca="1" si="68"/>
        <v>Actual</v>
      </c>
      <c r="D193" s="17">
        <f t="shared" ca="1" si="73"/>
        <v>5723</v>
      </c>
      <c r="E193" s="17">
        <f t="shared" ca="1" si="69"/>
        <v>30</v>
      </c>
      <c r="F193" s="182">
        <f t="shared" ca="1" si="74"/>
        <v>57600</v>
      </c>
      <c r="G193" s="183">
        <f t="shared" ca="1" si="70"/>
        <v>240</v>
      </c>
      <c r="H193" s="184">
        <f ca="1">IF($A193="","",+Rates!N187)</f>
        <v>120</v>
      </c>
      <c r="I193" s="184">
        <f ca="1">IF($A193="","",+ROUND(Rates!O187,2))</f>
        <v>2642.69</v>
      </c>
      <c r="J193" s="184">
        <f ca="1">IF($A193="","",IF(F193=0,0,+ROUND(Rates!P187,2)))</f>
        <v>2041.44</v>
      </c>
      <c r="K193" s="184">
        <f ca="1">IF($A193="","",+ROUND(Rates!X187,2))</f>
        <v>425.66</v>
      </c>
      <c r="L193" s="184">
        <f ca="1">IF($A193="","",+ROUND(Rates!Q187,2))</f>
        <v>184.32</v>
      </c>
      <c r="M193" s="185">
        <f ca="1">IF($A193="","",+ROUND(Rates!R187,2))</f>
        <v>5414.11</v>
      </c>
      <c r="N193" s="186">
        <f t="shared" ca="1" si="75"/>
        <v>80000</v>
      </c>
      <c r="O193" s="187">
        <f t="shared" ca="1" si="56"/>
        <v>0.33333333333333331</v>
      </c>
      <c r="P193" s="188">
        <f ca="1">IFERROR(SUM(INDIRECT("'FAF &amp; DDs'!"&amp;(ADDRESS(MATCH($B193-$E193,'FAF &amp; DDs'!$Q:$Q,0),COLUMN($R$1),2,1))&amp;":"&amp;(ADDRESS(MATCH($B193-1,'FAF &amp; DDs'!$Q:$Q,0),COLUMN($R$1),1))))/E193*30,-1)</f>
        <v>-1</v>
      </c>
      <c r="Q193" s="188">
        <f ca="1">IFERROR(SUM(INDIRECT("'FAF &amp; DDs'!"&amp;(ADDRESS(MATCH($B193-$E193,'FAF &amp; DDs'!$Q:$Q,0),COLUMN($S$1),2,1))&amp;":"&amp;(ADDRESS(MATCH($B193-1,'FAF &amp; DDs'!$Q:$Q,0),COLUMN($S$1),1))))/E193*30,-1)</f>
        <v>-1</v>
      </c>
      <c r="R193" s="176">
        <f t="shared" ca="1" si="64"/>
        <v>6</v>
      </c>
      <c r="S193">
        <f ca="1">IF(ROW()&gt;MIN(($AB$8,$AB$7))+11,0,MATCH(V193,INDIRECT("'Reading History'!B"&amp;$Y$5&amp;":b"&amp;$Y$6),-1))</f>
        <v>182</v>
      </c>
      <c r="U193" s="152">
        <f t="shared" ca="1" si="71"/>
        <v>38505</v>
      </c>
      <c r="V193" s="4">
        <f t="shared" ca="1" si="76"/>
        <v>38505</v>
      </c>
      <c r="W193">
        <f t="shared" ca="1" si="58"/>
        <v>0</v>
      </c>
      <c r="X193">
        <f t="shared" ca="1" si="72"/>
        <v>30</v>
      </c>
      <c r="AB193" s="176">
        <f t="shared" ca="1" si="66"/>
        <v>0</v>
      </c>
    </row>
    <row r="194" spans="1:28" ht="15" customHeight="1" x14ac:dyDescent="0.2">
      <c r="A194" s="2" t="str">
        <f t="shared" ca="1" si="67"/>
        <v>Electric</v>
      </c>
      <c r="B194" s="4">
        <f t="shared" ca="1" si="60"/>
        <v>38475</v>
      </c>
      <c r="C194" s="179" t="str">
        <f t="shared" ca="1" si="68"/>
        <v>Actual</v>
      </c>
      <c r="D194" s="17">
        <f t="shared" ca="1" si="73"/>
        <v>5435</v>
      </c>
      <c r="E194" s="17">
        <f t="shared" ca="1" si="69"/>
        <v>29</v>
      </c>
      <c r="F194" s="182">
        <f t="shared" ca="1" si="74"/>
        <v>52000</v>
      </c>
      <c r="G194" s="183">
        <f t="shared" ca="1" si="70"/>
        <v>200</v>
      </c>
      <c r="H194" s="184">
        <f ca="1">IF($A194="","",+Rates!N188)</f>
        <v>120</v>
      </c>
      <c r="I194" s="184">
        <f ca="1">IF($A194="","",+ROUND(Rates!O188,2))</f>
        <v>2204.8000000000002</v>
      </c>
      <c r="J194" s="184">
        <f ca="1">IF($A194="","",IF(F194=0,0,+ROUND(Rates!P188,2)))</f>
        <v>1538</v>
      </c>
      <c r="K194" s="184">
        <f ca="1">IF($A194="","",+ROUND(Rates!X188,2))</f>
        <v>229.94</v>
      </c>
      <c r="L194" s="184">
        <f ca="1">IF($A194="","",+ROUND(Rates!Q188,2))</f>
        <v>166.4</v>
      </c>
      <c r="M194" s="185">
        <f ca="1">IF($A194="","",+ROUND(Rates!R188,2))</f>
        <v>4259.1400000000003</v>
      </c>
      <c r="N194" s="186">
        <f t="shared" ca="1" si="75"/>
        <v>74712.643678160923</v>
      </c>
      <c r="O194" s="187">
        <f t="shared" ca="1" si="56"/>
        <v>0.37356321839080459</v>
      </c>
      <c r="P194" s="188">
        <f ca="1">IFERROR(SUM(INDIRECT("'FAF &amp; DDs'!"&amp;(ADDRESS(MATCH($B194-$E194,'FAF &amp; DDs'!$Q:$Q,0),COLUMN($R$1),2,1))&amp;":"&amp;(ADDRESS(MATCH($B194-1,'FAF &amp; DDs'!$Q:$Q,0),COLUMN($R$1),1))))/E194*30,-1)</f>
        <v>-1</v>
      </c>
      <c r="Q194" s="188">
        <f ca="1">IFERROR(SUM(INDIRECT("'FAF &amp; DDs'!"&amp;(ADDRESS(MATCH($B194-$E194,'FAF &amp; DDs'!$Q:$Q,0),COLUMN($S$1),2,1))&amp;":"&amp;(ADDRESS(MATCH($B194-1,'FAF &amp; DDs'!$Q:$Q,0),COLUMN($S$1),1))))/E194*30,-1)</f>
        <v>-1</v>
      </c>
      <c r="R194" s="176">
        <f t="shared" ca="1" si="64"/>
        <v>6</v>
      </c>
      <c r="S194">
        <f ca="1">IF(ROW()&gt;MIN(($AB$8,$AB$7))+11,0,MATCH(V194,INDIRECT("'Reading History'!B"&amp;$Y$5&amp;":b"&amp;$Y$6),-1))</f>
        <v>183</v>
      </c>
      <c r="U194" s="152">
        <f t="shared" ca="1" si="71"/>
        <v>38475</v>
      </c>
      <c r="V194" s="4">
        <f t="shared" ca="1" si="76"/>
        <v>38475</v>
      </c>
      <c r="W194">
        <f t="shared" ca="1" si="58"/>
        <v>0</v>
      </c>
      <c r="X194">
        <f t="shared" ca="1" si="72"/>
        <v>29</v>
      </c>
      <c r="AB194" s="176">
        <f t="shared" ca="1" si="66"/>
        <v>0</v>
      </c>
    </row>
    <row r="195" spans="1:28" ht="15" customHeight="1" x14ac:dyDescent="0.2">
      <c r="A195" s="2" t="str">
        <f t="shared" ca="1" si="67"/>
        <v>Electric</v>
      </c>
      <c r="B195" s="4">
        <f t="shared" ca="1" si="60"/>
        <v>38446</v>
      </c>
      <c r="C195" s="179" t="str">
        <f t="shared" ca="1" si="68"/>
        <v>Actual</v>
      </c>
      <c r="D195" s="17">
        <f t="shared" ca="1" si="73"/>
        <v>5175</v>
      </c>
      <c r="E195" s="17">
        <f t="shared" ca="1" si="69"/>
        <v>27</v>
      </c>
      <c r="F195" s="182">
        <f t="shared" ca="1" si="74"/>
        <v>33400</v>
      </c>
      <c r="G195" s="183">
        <f t="shared" ca="1" si="70"/>
        <v>196</v>
      </c>
      <c r="H195" s="184">
        <f ca="1">IF($A195="","",+Rates!N189)</f>
        <v>120</v>
      </c>
      <c r="I195" s="184">
        <f ca="1">IF($A195="","",+ROUND(Rates!O189,2))</f>
        <v>1416.16</v>
      </c>
      <c r="J195" s="184">
        <f ca="1">IF($A195="","",IF(F195=0,0,+ROUND(Rates!P189,2)))</f>
        <v>1507.24</v>
      </c>
      <c r="K195" s="184">
        <f ca="1">IF($A195="","",+ROUND(Rates!X189,2))</f>
        <v>55.41</v>
      </c>
      <c r="L195" s="184">
        <f ca="1">IF($A195="","",+ROUND(Rates!Q189,2))</f>
        <v>106.88</v>
      </c>
      <c r="M195" s="185">
        <f ca="1">IF($A195="","",+ROUND(Rates!R189,2))</f>
        <v>3205.69</v>
      </c>
      <c r="N195" s="186">
        <f t="shared" ca="1" si="75"/>
        <v>66517.857142857145</v>
      </c>
      <c r="O195" s="187">
        <f t="shared" ca="1" si="56"/>
        <v>0.26297556059460819</v>
      </c>
      <c r="P195" s="188">
        <f ca="1">IFERROR(SUM(INDIRECT("'FAF &amp; DDs'!"&amp;(ADDRESS(MATCH($B195-$E195,'FAF &amp; DDs'!$Q:$Q,0),COLUMN($R$1),2,1))&amp;":"&amp;(ADDRESS(MATCH($B195-1,'FAF &amp; DDs'!$Q:$Q,0),COLUMN($R$1),1))))/E195*30,-1)</f>
        <v>-1</v>
      </c>
      <c r="Q195" s="188">
        <f ca="1">IFERROR(SUM(INDIRECT("'FAF &amp; DDs'!"&amp;(ADDRESS(MATCH($B195-$E195,'FAF &amp; DDs'!$Q:$Q,0),COLUMN($S$1),2,1))&amp;":"&amp;(ADDRESS(MATCH($B195-1,'FAF &amp; DDs'!$Q:$Q,0),COLUMN($S$1),1))))/E195*30,-1)</f>
        <v>-1</v>
      </c>
      <c r="R195" s="176">
        <f t="shared" ca="1" si="64"/>
        <v>6</v>
      </c>
      <c r="S195">
        <f ca="1">IF(ROW()&gt;MIN(($AB$8,$AB$7))+11,0,MATCH(V195,INDIRECT("'Reading History'!B"&amp;$Y$5&amp;":b"&amp;$Y$6),-1))</f>
        <v>184</v>
      </c>
      <c r="U195" s="152">
        <f t="shared" ca="1" si="71"/>
        <v>38446</v>
      </c>
      <c r="V195" s="4">
        <f t="shared" ca="1" si="76"/>
        <v>38446</v>
      </c>
      <c r="W195">
        <f t="shared" ca="1" si="58"/>
        <v>0</v>
      </c>
      <c r="X195">
        <f t="shared" ca="1" si="72"/>
        <v>27</v>
      </c>
      <c r="AB195" s="176">
        <f t="shared" ca="1" si="66"/>
        <v>0</v>
      </c>
    </row>
    <row r="196" spans="1:28" ht="15" customHeight="1" x14ac:dyDescent="0.2">
      <c r="A196" s="2" t="str">
        <f t="shared" ca="1" si="67"/>
        <v>Electric</v>
      </c>
      <c r="B196" s="4">
        <f t="shared" ca="1" si="60"/>
        <v>38419</v>
      </c>
      <c r="C196" s="179" t="str">
        <f t="shared" ca="1" si="68"/>
        <v>Estimate</v>
      </c>
      <c r="D196" s="17">
        <f t="shared" ca="1" si="73"/>
        <v>5008</v>
      </c>
      <c r="E196" s="17">
        <f t="shared" ca="1" si="69"/>
        <v>29</v>
      </c>
      <c r="F196" s="182">
        <f t="shared" ca="1" si="74"/>
        <v>56000</v>
      </c>
      <c r="G196" s="183">
        <f t="shared" ca="1" si="70"/>
        <v>200</v>
      </c>
      <c r="H196" s="184">
        <f ca="1">IF($A196="","",+Rates!N190)</f>
        <v>120</v>
      </c>
      <c r="I196" s="184">
        <f ca="1">IF($A196="","",+ROUND(Rates!O190,2))</f>
        <v>2374.4</v>
      </c>
      <c r="J196" s="184">
        <f ca="1">IF($A196="","",IF(F196=0,0,+ROUND(Rates!P190,2)))</f>
        <v>1538</v>
      </c>
      <c r="K196" s="184">
        <f ca="1">IF($A196="","",+ROUND(Rates!X190,2))</f>
        <v>20.78</v>
      </c>
      <c r="L196" s="184">
        <f ca="1">IF($A196="","",+ROUND(Rates!Q190,2))</f>
        <v>179.2</v>
      </c>
      <c r="M196" s="185">
        <f ca="1">IF($A196="","",+ROUND(Rates!R190,2))</f>
        <v>4232.38</v>
      </c>
      <c r="N196" s="186">
        <f t="shared" ca="1" si="75"/>
        <v>78672.316384180784</v>
      </c>
      <c r="O196" s="187">
        <f t="shared" ca="1" si="56"/>
        <v>0.40229885057471265</v>
      </c>
      <c r="P196" s="188">
        <f ca="1">IFERROR(SUM(INDIRECT("'FAF &amp; DDs'!"&amp;(ADDRESS(MATCH($B196-$E196,'FAF &amp; DDs'!$Q:$Q,0),COLUMN($R$1),2,1))&amp;":"&amp;(ADDRESS(MATCH($B196-1,'FAF &amp; DDs'!$Q:$Q,0),COLUMN($R$1),1))))/E196*30,-1)</f>
        <v>-1</v>
      </c>
      <c r="Q196" s="188">
        <f ca="1">IFERROR(SUM(INDIRECT("'FAF &amp; DDs'!"&amp;(ADDRESS(MATCH($B196-$E196,'FAF &amp; DDs'!$Q:$Q,0),COLUMN($S$1),2,1))&amp;":"&amp;(ADDRESS(MATCH($B196-1,'FAF &amp; DDs'!$Q:$Q,0),COLUMN($S$1),1))))/E196*30,-1)</f>
        <v>-1</v>
      </c>
      <c r="R196" s="176">
        <f t="shared" ca="1" si="64"/>
        <v>6</v>
      </c>
      <c r="S196">
        <f ca="1">IF(ROW()&gt;MIN(($AB$8,$AB$7))+11,0,MATCH(V196,INDIRECT("'Reading History'!B"&amp;$Y$5&amp;":b"&amp;$Y$6),-1))</f>
        <v>185</v>
      </c>
      <c r="U196" s="152">
        <f t="shared" ca="1" si="71"/>
        <v>38419</v>
      </c>
      <c r="V196" s="4">
        <f t="shared" ca="1" si="76"/>
        <v>38419</v>
      </c>
      <c r="W196">
        <f t="shared" ca="1" si="58"/>
        <v>0</v>
      </c>
      <c r="X196">
        <f t="shared" ca="1" si="72"/>
        <v>29</v>
      </c>
      <c r="AB196" s="176">
        <f t="shared" ca="1" si="66"/>
        <v>0</v>
      </c>
    </row>
    <row r="197" spans="1:28" ht="15" customHeight="1" x14ac:dyDescent="0.2">
      <c r="A197" s="2" t="str">
        <f t="shared" ca="1" si="67"/>
        <v>Electric</v>
      </c>
      <c r="B197" s="4">
        <f t="shared" ca="1" si="60"/>
        <v>38390</v>
      </c>
      <c r="C197" s="179" t="str">
        <f t="shared" ca="1" si="68"/>
        <v>Estimate</v>
      </c>
      <c r="D197" s="17">
        <f t="shared" ca="1" si="73"/>
        <v>4728</v>
      </c>
      <c r="E197" s="17">
        <f t="shared" ca="1" si="69"/>
        <v>30</v>
      </c>
      <c r="F197" s="182">
        <f t="shared" ca="1" si="74"/>
        <v>55400</v>
      </c>
      <c r="G197" s="183">
        <f t="shared" ca="1" si="70"/>
        <v>194</v>
      </c>
      <c r="H197" s="184">
        <f ca="1">IF($A197="","",+Rates!N191)</f>
        <v>120</v>
      </c>
      <c r="I197" s="184">
        <f ca="1">IF($A197="","",+ROUND(Rates!O191,2))</f>
        <v>2348.96</v>
      </c>
      <c r="J197" s="184">
        <f ca="1">IF($A197="","",IF(F197=0,0,+ROUND(Rates!P191,2)))</f>
        <v>1491.86</v>
      </c>
      <c r="K197" s="184">
        <f ca="1">IF($A197="","",+ROUND(Rates!X191,2))</f>
        <v>51.41</v>
      </c>
      <c r="L197" s="184">
        <f ca="1">IF($A197="","",+ROUND(Rates!Q191,2))</f>
        <v>177.28</v>
      </c>
      <c r="M197" s="185">
        <f ca="1">IF($A197="","",+ROUND(Rates!R191,2))</f>
        <v>4189.51</v>
      </c>
      <c r="N197" s="186">
        <f t="shared" ca="1" si="75"/>
        <v>72043.010752688177</v>
      </c>
      <c r="O197" s="187">
        <f t="shared" ca="1" si="56"/>
        <v>0.39662084765177547</v>
      </c>
      <c r="P197" s="188">
        <f ca="1">IFERROR(SUM(INDIRECT("'FAF &amp; DDs'!"&amp;(ADDRESS(MATCH($B197-$E197,'FAF &amp; DDs'!$Q:$Q,0),COLUMN($R$1),2,1))&amp;":"&amp;(ADDRESS(MATCH($B197-1,'FAF &amp; DDs'!$Q:$Q,0),COLUMN($R$1),1))))/E197*30,-1)</f>
        <v>-1</v>
      </c>
      <c r="Q197" s="188">
        <f ca="1">IFERROR(SUM(INDIRECT("'FAF &amp; DDs'!"&amp;(ADDRESS(MATCH($B197-$E197,'FAF &amp; DDs'!$Q:$Q,0),COLUMN($S$1),2,1))&amp;":"&amp;(ADDRESS(MATCH($B197-1,'FAF &amp; DDs'!$Q:$Q,0),COLUMN($S$1),1))))/E197*30,-1)</f>
        <v>-1</v>
      </c>
      <c r="R197" s="176">
        <f t="shared" ca="1" si="64"/>
        <v>6</v>
      </c>
      <c r="S197">
        <f ca="1">IF(ROW()&gt;MIN(($AB$8,$AB$7))+11,0,MATCH(V197,INDIRECT("'Reading History'!B"&amp;$Y$5&amp;":b"&amp;$Y$6),-1))</f>
        <v>186</v>
      </c>
      <c r="U197" s="152">
        <f t="shared" ca="1" si="71"/>
        <v>38390</v>
      </c>
      <c r="V197" s="4">
        <f t="shared" ca="1" si="76"/>
        <v>38390</v>
      </c>
      <c r="W197">
        <f t="shared" ca="1" si="58"/>
        <v>0</v>
      </c>
      <c r="X197">
        <f t="shared" ca="1" si="72"/>
        <v>30</v>
      </c>
      <c r="AB197" s="176">
        <f t="shared" ca="1" si="66"/>
        <v>0</v>
      </c>
    </row>
    <row r="198" spans="1:28" ht="15" customHeight="1" x14ac:dyDescent="0.2">
      <c r="A198" s="2" t="str">
        <f t="shared" ca="1" si="67"/>
        <v>Electric</v>
      </c>
      <c r="B198" s="4">
        <f t="shared" ca="1" si="60"/>
        <v>38360</v>
      </c>
      <c r="C198" s="179" t="str">
        <f t="shared" ca="1" si="68"/>
        <v>Estimate</v>
      </c>
      <c r="D198" s="17">
        <f t="shared" ca="1" si="73"/>
        <v>4451</v>
      </c>
      <c r="E198" s="17">
        <f t="shared" ca="1" si="69"/>
        <v>32</v>
      </c>
      <c r="F198" s="182">
        <f t="shared" ca="1" si="74"/>
        <v>51800</v>
      </c>
      <c r="G198" s="183">
        <f t="shared" ca="1" si="70"/>
        <v>170</v>
      </c>
      <c r="H198" s="184">
        <f ca="1">IF($A198="","",+Rates!N192)</f>
        <v>120</v>
      </c>
      <c r="I198" s="184">
        <f ca="1">IF($A198="","",+ROUND(Rates!O192,2))</f>
        <v>2196.3200000000002</v>
      </c>
      <c r="J198" s="184">
        <f ca="1">IF($A198="","",IF(F198=0,0,+ROUND(Rates!P192,2)))</f>
        <v>1307.3</v>
      </c>
      <c r="K198" s="184">
        <f ca="1">IF($A198="","",+ROUND(Rates!X192,2))</f>
        <v>59.88</v>
      </c>
      <c r="L198" s="184">
        <f ca="1">IF($A198="","",+ROUND(Rates!Q192,2))</f>
        <v>165.76</v>
      </c>
      <c r="M198" s="185">
        <f ca="1">IF($A198="","",+ROUND(Rates!R192,2))</f>
        <v>3849.26</v>
      </c>
      <c r="N198" s="186">
        <f t="shared" ca="1" si="75"/>
        <v>72043.010752688177</v>
      </c>
      <c r="O198" s="187">
        <f t="shared" ca="1" si="56"/>
        <v>0.39675245098039214</v>
      </c>
      <c r="P198" s="188">
        <f ca="1">IFERROR(SUM(INDIRECT("'FAF &amp; DDs'!"&amp;(ADDRESS(MATCH($B198-$E198,'FAF &amp; DDs'!$Q:$Q,0),COLUMN($R$1),2,1))&amp;":"&amp;(ADDRESS(MATCH($B198-1,'FAF &amp; DDs'!$Q:$Q,0),COLUMN($R$1),1))))/E198*30,-1)</f>
        <v>-1</v>
      </c>
      <c r="Q198" s="188">
        <f ca="1">IFERROR(SUM(INDIRECT("'FAF &amp; DDs'!"&amp;(ADDRESS(MATCH($B198-$E198,'FAF &amp; DDs'!$Q:$Q,0),COLUMN($S$1),2,1))&amp;":"&amp;(ADDRESS(MATCH($B198-1,'FAF &amp; DDs'!$Q:$Q,0),COLUMN($S$1),1))))/E198*30,-1)</f>
        <v>-1</v>
      </c>
      <c r="R198" s="176">
        <f t="shared" ca="1" si="64"/>
        <v>6</v>
      </c>
      <c r="S198">
        <f ca="1">IF(ROW()&gt;MIN(($AB$8,$AB$7))+11,0,MATCH(V198,INDIRECT("'Reading History'!B"&amp;$Y$5&amp;":b"&amp;$Y$6),-1))</f>
        <v>187</v>
      </c>
      <c r="U198" s="152">
        <f t="shared" ca="1" si="71"/>
        <v>38360</v>
      </c>
      <c r="V198" s="4">
        <f t="shared" ca="1" si="76"/>
        <v>38360</v>
      </c>
      <c r="W198">
        <f t="shared" ca="1" si="58"/>
        <v>0</v>
      </c>
      <c r="X198">
        <f t="shared" ca="1" si="72"/>
        <v>32</v>
      </c>
      <c r="AB198" s="176">
        <f t="shared" ca="1" si="66"/>
        <v>0</v>
      </c>
    </row>
    <row r="199" spans="1:28" ht="15" customHeight="1" x14ac:dyDescent="0.2">
      <c r="A199" s="2" t="str">
        <f t="shared" ca="1" si="67"/>
        <v>Electric</v>
      </c>
      <c r="B199" s="4">
        <f t="shared" ca="1" si="60"/>
        <v>38328</v>
      </c>
      <c r="C199" s="179" t="str">
        <f t="shared" ca="1" si="68"/>
        <v>Actual</v>
      </c>
      <c r="D199" s="17">
        <f t="shared" ca="1" si="73"/>
        <v>4192</v>
      </c>
      <c r="E199" s="17">
        <f t="shared" ca="1" si="69"/>
        <v>20</v>
      </c>
      <c r="F199" s="182">
        <f t="shared" ca="1" si="74"/>
        <v>30200</v>
      </c>
      <c r="G199" s="183">
        <f t="shared" ca="1" si="70"/>
        <v>200</v>
      </c>
      <c r="H199" s="184">
        <f ca="1">IF($A199="","",+Rates!N193)</f>
        <v>80</v>
      </c>
      <c r="I199" s="184">
        <f ca="1">IF($A199="","",+ROUND(Rates!O193,2))</f>
        <v>1280.48</v>
      </c>
      <c r="J199" s="184">
        <f ca="1">IF($A199="","",IF(F199=0,0,+ROUND(Rates!P193,2)))</f>
        <v>1538</v>
      </c>
      <c r="K199" s="184">
        <f ca="1">IF($A199="","",+ROUND(Rates!X193,2))</f>
        <v>103.92</v>
      </c>
      <c r="L199" s="184">
        <f ca="1">IF($A199="","",+ROUND(Rates!Q193,2))</f>
        <v>96.64</v>
      </c>
      <c r="M199" s="185">
        <f ca="1">IF($A199="","",+ROUND(Rates!R193,2))</f>
        <v>3099.04</v>
      </c>
      <c r="N199" s="186">
        <f t="shared" ca="1" si="75"/>
        <v>62916.666666666664</v>
      </c>
      <c r="O199" s="187">
        <f t="shared" ca="1" si="56"/>
        <v>0.31458333333333333</v>
      </c>
      <c r="P199" s="188">
        <f ca="1">IFERROR(SUM(INDIRECT("'FAF &amp; DDs'!"&amp;(ADDRESS(MATCH($B199-$E199,'FAF &amp; DDs'!$Q:$Q,0),COLUMN($R$1),2,1))&amp;":"&amp;(ADDRESS(MATCH($B199-1,'FAF &amp; DDs'!$Q:$Q,0),COLUMN($R$1),1))))/E199*30,-1)</f>
        <v>-1</v>
      </c>
      <c r="Q199" s="188">
        <f ca="1">IFERROR(SUM(INDIRECT("'FAF &amp; DDs'!"&amp;(ADDRESS(MATCH($B199-$E199,'FAF &amp; DDs'!$Q:$Q,0),COLUMN($S$1),2,1))&amp;":"&amp;(ADDRESS(MATCH($B199-1,'FAF &amp; DDs'!$Q:$Q,0),COLUMN($S$1),1))))/E199*30,-1)</f>
        <v>-1</v>
      </c>
      <c r="R199" s="176">
        <f t="shared" ca="1" si="64"/>
        <v>6</v>
      </c>
      <c r="S199">
        <f ca="1">IF(ROW()&gt;MIN(($AB$8,$AB$7))+11,0,MATCH(V199,INDIRECT("'Reading History'!B"&amp;$Y$5&amp;":b"&amp;$Y$6),-1))</f>
        <v>188</v>
      </c>
      <c r="U199" s="152">
        <f t="shared" ca="1" si="71"/>
        <v>38328</v>
      </c>
      <c r="V199" s="4">
        <f t="shared" ca="1" si="76"/>
        <v>38328</v>
      </c>
      <c r="W199">
        <f t="shared" ca="1" si="58"/>
        <v>0</v>
      </c>
      <c r="X199">
        <f t="shared" ca="1" si="72"/>
        <v>20</v>
      </c>
      <c r="AB199" s="176">
        <f t="shared" ca="1" si="66"/>
        <v>0</v>
      </c>
    </row>
    <row r="200" spans="1:28" ht="15" customHeight="1" x14ac:dyDescent="0.2">
      <c r="A200" s="2" t="str">
        <f t="shared" ca="1" si="67"/>
        <v>Electric</v>
      </c>
      <c r="B200" s="4">
        <f t="shared" ca="1" si="60"/>
        <v>38308</v>
      </c>
      <c r="C200" s="179" t="str">
        <f t="shared" ca="1" si="68"/>
        <v>Actual</v>
      </c>
      <c r="D200" s="17">
        <f t="shared" ca="1" si="73"/>
        <v>4041</v>
      </c>
      <c r="E200" s="17">
        <f t="shared" ca="1" si="69"/>
        <v>22</v>
      </c>
      <c r="F200" s="182">
        <f t="shared" ca="1" si="74"/>
        <v>35600</v>
      </c>
      <c r="G200" s="183">
        <f t="shared" ca="1" si="70"/>
        <v>216</v>
      </c>
      <c r="H200" s="184">
        <f ca="1">IF($A200="","",+Rates!N194)</f>
        <v>120</v>
      </c>
      <c r="I200" s="184">
        <f ca="1">IF($A200="","",+ROUND(Rates!O194,2))</f>
        <v>1509.44</v>
      </c>
      <c r="J200" s="184">
        <f ca="1">IF($A200="","",IF(F200=0,0,+ROUND(Rates!P194,2)))</f>
        <v>1661.04</v>
      </c>
      <c r="K200" s="184">
        <f ca="1">IF($A200="","",+ROUND(Rates!X194,2))</f>
        <v>25.24</v>
      </c>
      <c r="L200" s="184">
        <f ca="1">IF($A200="","",+ROUND(Rates!Q194,2))</f>
        <v>113.92</v>
      </c>
      <c r="M200" s="185">
        <f ca="1">IF($A200="","",+ROUND(Rates!R194,2))</f>
        <v>3429.64</v>
      </c>
      <c r="N200" s="186">
        <f t="shared" ca="1" si="75"/>
        <v>72333.333333333328</v>
      </c>
      <c r="O200" s="187">
        <f t="shared" ca="1" si="56"/>
        <v>0.31214927048260382</v>
      </c>
      <c r="P200" s="188">
        <f ca="1">IFERROR(SUM(INDIRECT("'FAF &amp; DDs'!"&amp;(ADDRESS(MATCH($B200-$E200,'FAF &amp; DDs'!$Q:$Q,0),COLUMN($R$1),2,1))&amp;":"&amp;(ADDRESS(MATCH($B200-1,'FAF &amp; DDs'!$Q:$Q,0),COLUMN($R$1),1))))/E200*30,-1)</f>
        <v>-1</v>
      </c>
      <c r="Q200" s="188">
        <f ca="1">IFERROR(SUM(INDIRECT("'FAF &amp; DDs'!"&amp;(ADDRESS(MATCH($B200-$E200,'FAF &amp; DDs'!$Q:$Q,0),COLUMN($S$1),2,1))&amp;":"&amp;(ADDRESS(MATCH($B200-1,'FAF &amp; DDs'!$Q:$Q,0),COLUMN($S$1),1))))/E200*30,-1)</f>
        <v>-1</v>
      </c>
      <c r="R200" s="176">
        <f t="shared" ca="1" si="64"/>
        <v>6</v>
      </c>
      <c r="S200">
        <f ca="1">IF(ROW()&gt;MIN(($AB$8,$AB$7))+11,0,MATCH(V200,INDIRECT("'Reading History'!B"&amp;$Y$5&amp;":b"&amp;$Y$6),-1))</f>
        <v>189</v>
      </c>
      <c r="U200" s="152">
        <f t="shared" ca="1" si="71"/>
        <v>38308</v>
      </c>
      <c r="V200" s="4">
        <f t="shared" ca="1" si="76"/>
        <v>38308</v>
      </c>
      <c r="W200">
        <f t="shared" ca="1" si="58"/>
        <v>0</v>
      </c>
      <c r="X200">
        <f t="shared" ca="1" si="72"/>
        <v>22</v>
      </c>
      <c r="AB200" s="176">
        <f t="shared" ca="1" si="66"/>
        <v>0</v>
      </c>
    </row>
    <row r="201" spans="1:28" ht="15" customHeight="1" x14ac:dyDescent="0.2">
      <c r="A201" s="2" t="str">
        <f t="shared" ca="1" si="67"/>
        <v>Electric</v>
      </c>
      <c r="B201" s="4">
        <f t="shared" ca="1" si="60"/>
        <v>38286</v>
      </c>
      <c r="C201" s="179" t="str">
        <f t="shared" ca="1" si="68"/>
        <v>Estimate</v>
      </c>
      <c r="D201" s="17">
        <f t="shared" ca="1" si="73"/>
        <v>3863</v>
      </c>
      <c r="E201" s="17">
        <f t="shared" ca="1" si="69"/>
        <v>28</v>
      </c>
      <c r="F201" s="182">
        <f t="shared" ca="1" si="74"/>
        <v>51200</v>
      </c>
      <c r="G201" s="183">
        <f t="shared" ca="1" si="70"/>
        <v>210</v>
      </c>
      <c r="H201" s="184">
        <f ca="1">IF($A201="","",+Rates!N195)</f>
        <v>120</v>
      </c>
      <c r="I201" s="184">
        <f ca="1">IF($A201="","",+ROUND(Rates!O195,2))</f>
        <v>2170.88</v>
      </c>
      <c r="J201" s="184">
        <f ca="1">IF($A201="","",IF(F201=0,0,+ROUND(Rates!P195,2)))</f>
        <v>1614.9</v>
      </c>
      <c r="K201" s="184">
        <f ca="1">IF($A201="","",+ROUND(Rates!X195,2))</f>
        <v>115.4</v>
      </c>
      <c r="L201" s="184">
        <f ca="1">IF($A201="","",+ROUND(Rates!Q195,2))</f>
        <v>163.84</v>
      </c>
      <c r="M201" s="185">
        <f ca="1">IF($A201="","",+ROUND(Rates!R195,2))</f>
        <v>4185.0200000000004</v>
      </c>
      <c r="N201" s="186">
        <f t="shared" ca="1" si="75"/>
        <v>72333.333333333328</v>
      </c>
      <c r="O201" s="187">
        <f t="shared" ca="1" si="56"/>
        <v>0.36281179138321995</v>
      </c>
      <c r="P201" s="188">
        <f ca="1">IFERROR(SUM(INDIRECT("'FAF &amp; DDs'!"&amp;(ADDRESS(MATCH($B201-$E201,'FAF &amp; DDs'!$Q:$Q,0),COLUMN($R$1),2,1))&amp;":"&amp;(ADDRESS(MATCH($B201-1,'FAF &amp; DDs'!$Q:$Q,0),COLUMN($R$1),1))))/E201*30,-1)</f>
        <v>-1</v>
      </c>
      <c r="Q201" s="188">
        <f ca="1">IFERROR(SUM(INDIRECT("'FAF &amp; DDs'!"&amp;(ADDRESS(MATCH($B201-$E201,'FAF &amp; DDs'!$Q:$Q,0),COLUMN($S$1),2,1))&amp;":"&amp;(ADDRESS(MATCH($B201-1,'FAF &amp; DDs'!$Q:$Q,0),COLUMN($S$1),1))))/E201*30,-1)</f>
        <v>-1</v>
      </c>
      <c r="R201" s="176">
        <f t="shared" ca="1" si="64"/>
        <v>6</v>
      </c>
      <c r="S201">
        <f ca="1">IF(ROW()&gt;MIN(($AB$8,$AB$7))+11,0,MATCH(V201,INDIRECT("'Reading History'!B"&amp;$Y$5&amp;":b"&amp;$Y$6),-1))</f>
        <v>190</v>
      </c>
      <c r="U201" s="152">
        <f t="shared" ca="1" si="71"/>
        <v>38286</v>
      </c>
      <c r="V201" s="4">
        <f t="shared" ca="1" si="76"/>
        <v>38286</v>
      </c>
      <c r="W201">
        <f t="shared" ca="1" si="58"/>
        <v>0</v>
      </c>
      <c r="X201">
        <f t="shared" ca="1" si="72"/>
        <v>28</v>
      </c>
      <c r="AB201" s="176">
        <f t="shared" ca="1" si="66"/>
        <v>0</v>
      </c>
    </row>
    <row r="202" spans="1:28" ht="15" customHeight="1" x14ac:dyDescent="0.2">
      <c r="A202" s="2" t="str">
        <f t="shared" ca="1" si="67"/>
        <v>Electric</v>
      </c>
      <c r="B202" s="4">
        <f t="shared" ca="1" si="60"/>
        <v>38258</v>
      </c>
      <c r="C202" s="179" t="str">
        <f t="shared" ca="1" si="68"/>
        <v>Actual</v>
      </c>
      <c r="D202" s="17">
        <f t="shared" ca="1" si="73"/>
        <v>3607</v>
      </c>
      <c r="E202" s="17">
        <f t="shared" ca="1" si="69"/>
        <v>32</v>
      </c>
      <c r="F202" s="182">
        <f t="shared" ca="1" si="74"/>
        <v>65600</v>
      </c>
      <c r="G202" s="183">
        <f t="shared" ca="1" si="70"/>
        <v>240</v>
      </c>
      <c r="H202" s="184">
        <f ca="1">IF($A202="","",+Rates!N196)</f>
        <v>120</v>
      </c>
      <c r="I202" s="184">
        <f ca="1">IF($A202="","",+ROUND(Rates!O196,2))</f>
        <v>3007.35</v>
      </c>
      <c r="J202" s="184">
        <f ca="1">IF($A202="","",IF(F202=0,0,+ROUND(Rates!P196,2)))</f>
        <v>2039.4</v>
      </c>
      <c r="K202" s="184">
        <f ca="1">IF($A202="","",+ROUND(Rates!X196,2))</f>
        <v>117.65</v>
      </c>
      <c r="L202" s="184">
        <f ca="1">IF($A202="","",+ROUND(Rates!Q196,2))</f>
        <v>209.92</v>
      </c>
      <c r="M202" s="185">
        <f ca="1">IF($A202="","",+ROUND(Rates!R196,2))</f>
        <v>5494.32</v>
      </c>
      <c r="N202" s="186">
        <f t="shared" ca="1" si="75"/>
        <v>94758.06451612903</v>
      </c>
      <c r="O202" s="187">
        <f t="shared" ca="1" si="56"/>
        <v>0.35590277777777779</v>
      </c>
      <c r="P202" s="188">
        <f ca="1">IFERROR(SUM(INDIRECT("'FAF &amp; DDs'!"&amp;(ADDRESS(MATCH($B202-$E202,'FAF &amp; DDs'!$Q:$Q,0),COLUMN($R$1),2,1))&amp;":"&amp;(ADDRESS(MATCH($B202-1,'FAF &amp; DDs'!$Q:$Q,0),COLUMN($R$1),1))))/E202*30,-1)</f>
        <v>-1</v>
      </c>
      <c r="Q202" s="188">
        <f ca="1">IFERROR(SUM(INDIRECT("'FAF &amp; DDs'!"&amp;(ADDRESS(MATCH($B202-$E202,'FAF &amp; DDs'!$Q:$Q,0),COLUMN($S$1),2,1))&amp;":"&amp;(ADDRESS(MATCH($B202-1,'FAF &amp; DDs'!$Q:$Q,0),COLUMN($S$1),1))))/E202*30,-1)</f>
        <v>-1</v>
      </c>
      <c r="R202" s="176">
        <f t="shared" ca="1" si="64"/>
        <v>6</v>
      </c>
      <c r="S202">
        <f ca="1">IF(ROW()&gt;MIN(($AB$8,$AB$7))+11,0,MATCH(V202,INDIRECT("'Reading History'!B"&amp;$Y$5&amp;":b"&amp;$Y$6),-1))</f>
        <v>191</v>
      </c>
      <c r="U202" s="152">
        <f t="shared" ca="1" si="71"/>
        <v>38258</v>
      </c>
      <c r="V202" s="4">
        <f t="shared" ca="1" si="76"/>
        <v>38258</v>
      </c>
      <c r="W202">
        <f t="shared" ca="1" si="58"/>
        <v>0</v>
      </c>
      <c r="X202">
        <f t="shared" ca="1" si="72"/>
        <v>32</v>
      </c>
      <c r="AB202" s="176">
        <f t="shared" ca="1" si="66"/>
        <v>0</v>
      </c>
    </row>
    <row r="203" spans="1:28" ht="15" customHeight="1" x14ac:dyDescent="0.2">
      <c r="A203" s="2" t="str">
        <f t="shared" ca="1" si="67"/>
        <v>Electric</v>
      </c>
      <c r="B203" s="4">
        <f t="shared" ca="1" si="60"/>
        <v>38226</v>
      </c>
      <c r="C203" s="179" t="str">
        <f t="shared" ca="1" si="68"/>
        <v>Estimate</v>
      </c>
      <c r="D203" s="17">
        <f t="shared" ca="1" si="73"/>
        <v>3279</v>
      </c>
      <c r="E203" s="17">
        <f t="shared" ca="1" si="69"/>
        <v>30</v>
      </c>
      <c r="F203" s="182">
        <f t="shared" ca="1" si="74"/>
        <v>75400</v>
      </c>
      <c r="G203" s="183">
        <f t="shared" ca="1" si="70"/>
        <v>200</v>
      </c>
      <c r="H203" s="184">
        <f ca="1">IF($A203="","",+Rates!N197)</f>
        <v>120</v>
      </c>
      <c r="I203" s="184">
        <f ca="1">IF($A203="","",+ROUND(Rates!O197,2))</f>
        <v>3634.28</v>
      </c>
      <c r="J203" s="184">
        <f ca="1">IF($A203="","",IF(F203=0,0,+ROUND(Rates!P197,2)))</f>
        <v>1810</v>
      </c>
      <c r="K203" s="184">
        <f ca="1">IF($A203="","",+ROUND(Rates!X197,2))</f>
        <v>159.66</v>
      </c>
      <c r="L203" s="184">
        <f ca="1">IF($A203="","",+ROUND(Rates!Q197,2))</f>
        <v>241.28</v>
      </c>
      <c r="M203" s="185">
        <f ca="1">IF($A203="","",+ROUND(Rates!R197,2))</f>
        <v>5965.22</v>
      </c>
      <c r="N203" s="186">
        <f t="shared" ca="1" si="75"/>
        <v>104722.22222222223</v>
      </c>
      <c r="O203" s="187">
        <f t="shared" ca="1" si="56"/>
        <v>0.52361111111111114</v>
      </c>
      <c r="P203" s="188">
        <f ca="1">IFERROR(SUM(INDIRECT("'FAF &amp; DDs'!"&amp;(ADDRESS(MATCH($B203-$E203,'FAF &amp; DDs'!$Q:$Q,0),COLUMN($R$1),2,1))&amp;":"&amp;(ADDRESS(MATCH($B203-1,'FAF &amp; DDs'!$Q:$Q,0),COLUMN($R$1),1))))/E203*30,-1)</f>
        <v>-1</v>
      </c>
      <c r="Q203" s="188">
        <f ca="1">IFERROR(SUM(INDIRECT("'FAF &amp; DDs'!"&amp;(ADDRESS(MATCH($B203-$E203,'FAF &amp; DDs'!$Q:$Q,0),COLUMN($S$1),2,1))&amp;":"&amp;(ADDRESS(MATCH($B203-1,'FAF &amp; DDs'!$Q:$Q,0),COLUMN($S$1),1))))/E203*30,-1)</f>
        <v>-1</v>
      </c>
      <c r="R203" s="176">
        <f t="shared" ca="1" si="64"/>
        <v>6</v>
      </c>
      <c r="S203">
        <f ca="1">IF(ROW()&gt;MIN(($AB$8,$AB$7))+11,0,MATCH(V203,INDIRECT("'Reading History'!B"&amp;$Y$5&amp;":b"&amp;$Y$6),-1))</f>
        <v>192</v>
      </c>
      <c r="U203" s="152">
        <f t="shared" ca="1" si="71"/>
        <v>38226</v>
      </c>
      <c r="V203" s="4">
        <f t="shared" ca="1" si="76"/>
        <v>38226</v>
      </c>
      <c r="W203">
        <f t="shared" ca="1" si="58"/>
        <v>0</v>
      </c>
      <c r="X203">
        <f t="shared" ca="1" si="72"/>
        <v>30</v>
      </c>
      <c r="AB203" s="176">
        <f t="shared" ca="1" si="66"/>
        <v>0</v>
      </c>
    </row>
    <row r="204" spans="1:28" ht="15" customHeight="1" x14ac:dyDescent="0.2">
      <c r="A204" s="2" t="str">
        <f t="shared" ref="A204:A210" ca="1" si="77">IF(S204=0,"",INDIRECT("'Reading History'!A"&amp;$S204+$Y$5-1))</f>
        <v>Electric</v>
      </c>
      <c r="B204" s="4">
        <f t="shared" ca="1" si="60"/>
        <v>38196</v>
      </c>
      <c r="C204" s="179" t="str">
        <f t="shared" ref="C204:C210" ca="1" si="78">IF($A204="","",IF(RIGHT(INDIRECT("'Reading History'!E"&amp;$S204+$Y$5-1),4)="Read",LEFT(INDIRECT("'Reading History'!E"&amp;$S204+$Y$5-1),LEN(INDIRECT("'Reading History'!E"&amp;$S204+$Y$5-1))-5),INDIRECT("'Reading History'!E"&amp;$S204+$Y$5-1)))</f>
        <v>Estimate</v>
      </c>
      <c r="D204" s="17">
        <f t="shared" ca="1" si="73"/>
        <v>2902</v>
      </c>
      <c r="E204" s="17">
        <f t="shared" ref="E204:E210" ca="1" si="79">IF($A204="","",IF(ISNUMBER(D205),B204-B205,INDIRECT("'Reading History'!H"&amp;$S204+$Y$5-1)))</f>
        <v>30</v>
      </c>
      <c r="F204" s="182">
        <f t="shared" ca="1" si="74"/>
        <v>75400</v>
      </c>
      <c r="G204" s="183">
        <f t="shared" ref="G204:G210" ca="1" si="80">IF($A204="","",INDIRECT("'Reading History'!I"&amp;$S204+$Y$4-1))</f>
        <v>200</v>
      </c>
      <c r="H204" s="184">
        <f ca="1">IF($A204="","",+Rates!N198)</f>
        <v>120</v>
      </c>
      <c r="I204" s="184">
        <f ca="1">IF($A204="","",+ROUND(Rates!O198,2))</f>
        <v>3634.28</v>
      </c>
      <c r="J204" s="184">
        <f ca="1">IF($A204="","",IF(F204=0,0,+ROUND(Rates!P198,2)))</f>
        <v>1810</v>
      </c>
      <c r="K204" s="184">
        <f ca="1">IF($A204="","",+ROUND(Rates!X198,2))</f>
        <v>108.95</v>
      </c>
      <c r="L204" s="184">
        <f ca="1">IF($A204="","",+ROUND(Rates!Q198,2))</f>
        <v>241.28</v>
      </c>
      <c r="M204" s="185">
        <f ca="1">IF($A204="","",+ROUND(Rates!R198,2))</f>
        <v>5914.51</v>
      </c>
      <c r="N204" s="186">
        <f t="shared" ca="1" si="75"/>
        <v>104722.22222222223</v>
      </c>
      <c r="O204" s="187">
        <f t="shared" ref="O204:O210" ca="1" si="81">IF(OR($A204="",$G204=0,$E204=0),"",F204/(G204*E204*24))</f>
        <v>0.52361111111111114</v>
      </c>
      <c r="P204" s="188">
        <f ca="1">IFERROR(SUM(INDIRECT("'FAF &amp; DDs'!"&amp;(ADDRESS(MATCH($B204-$E204,'FAF &amp; DDs'!$Q:$Q,0),COLUMN($R$1),2,1))&amp;":"&amp;(ADDRESS(MATCH($B204-1,'FAF &amp; DDs'!$Q:$Q,0),COLUMN($R$1),1))))/E204*30,-1)</f>
        <v>-1</v>
      </c>
      <c r="Q204" s="188">
        <f ca="1">IFERROR(SUM(INDIRECT("'FAF &amp; DDs'!"&amp;(ADDRESS(MATCH($B204-$E204,'FAF &amp; DDs'!$Q:$Q,0),COLUMN($S$1),2,1))&amp;":"&amp;(ADDRESS(MATCH($B204-1,'FAF &amp; DDs'!$Q:$Q,0),COLUMN($S$1),1))))/E204*30,-1)</f>
        <v>-1</v>
      </c>
      <c r="R204" s="176">
        <f t="shared" ca="1" si="64"/>
        <v>6</v>
      </c>
      <c r="S204">
        <f ca="1">IF(ROW()&gt;MIN(($AB$8,$AB$7))+11,0,MATCH(V204,INDIRECT("'Reading History'!B"&amp;$Y$5&amp;":b"&amp;$Y$6),-1))</f>
        <v>193</v>
      </c>
      <c r="U204" s="152">
        <f t="shared" ref="U204:U210" ca="1" si="82">IF(VALUE(INDIRECT("'Reading History'!c"&amp;$Y$5+S203))&gt;$R$8,DATE(YEAR(V204-ABS(AB204)),MONTH(V204-ABS(AB204)),VLOOKUP(VALUE(R204),AMRReadDates,2)),V204)</f>
        <v>38196</v>
      </c>
      <c r="V204" s="4">
        <f t="shared" ca="1" si="76"/>
        <v>38196</v>
      </c>
      <c r="W204">
        <f t="shared" ref="W204:W210" ca="1" si="83">+V204-U204</f>
        <v>0</v>
      </c>
      <c r="X204">
        <f t="shared" ref="X204:X210" ca="1" si="84">+INDIRECT("'Reading History'!H"&amp;$S204+$Y$5-1)</f>
        <v>30</v>
      </c>
      <c r="AB204" s="176">
        <f t="shared" ca="1" si="66"/>
        <v>0</v>
      </c>
    </row>
    <row r="205" spans="1:28" ht="15" customHeight="1" x14ac:dyDescent="0.2">
      <c r="A205" s="2" t="str">
        <f t="shared" ca="1" si="77"/>
        <v>Electric</v>
      </c>
      <c r="B205" s="4">
        <f t="shared" ref="B205:B210" ca="1" si="85">IF(OR(W205&gt;7,W205&lt;0),V205,U205)</f>
        <v>38166</v>
      </c>
      <c r="C205" s="179" t="str">
        <f t="shared" ca="1" si="78"/>
        <v>Actual</v>
      </c>
      <c r="D205" s="17">
        <f t="shared" ref="D205:D210" ca="1" si="86">IF($A205="","",INDIRECT("'Reading History'!G"&amp;$S205+$Y$5-1))</f>
        <v>2525</v>
      </c>
      <c r="E205" s="17">
        <f t="shared" ca="1" si="79"/>
        <v>33</v>
      </c>
      <c r="F205" s="182">
        <f t="shared" ref="F205:F210" ca="1" si="87">IF($A205="","",INDIRECT("'Reading History'!I"&amp;$S205+$Y$5-1))</f>
        <v>69000</v>
      </c>
      <c r="G205" s="183">
        <f t="shared" ca="1" si="80"/>
        <v>240</v>
      </c>
      <c r="H205" s="184">
        <f ca="1">IF($A205="","",+Rates!N199)</f>
        <v>120</v>
      </c>
      <c r="I205" s="184">
        <f ca="1">IF($A205="","",+ROUND(Rates!O199,2))</f>
        <v>3325.8</v>
      </c>
      <c r="J205" s="184">
        <f ca="1">IF($A205="","",IF(F205=0,0,+ROUND(Rates!P199,2)))</f>
        <v>2172</v>
      </c>
      <c r="K205" s="184">
        <f ca="1">IF($A205="","",+ROUND(Rates!X199,2))</f>
        <v>295.39</v>
      </c>
      <c r="L205" s="184">
        <f ca="1">IF($A205="","",+ROUND(Rates!Q199,2))</f>
        <v>220.8</v>
      </c>
      <c r="M205" s="185">
        <f ca="1">IF($A205="","",+ROUND(Rates!R199,2))</f>
        <v>6133.99</v>
      </c>
      <c r="N205" s="186">
        <f t="shared" ref="N205:N210" ca="1" si="88">IFERROR(IF(C206="Estimate",+(F205+F206)/(E205+E206),IF(C205="Estimate",+(F205+F204)/(E205+E204),+F205/E205))/24*1000,-1)</f>
        <v>87121.212121212127</v>
      </c>
      <c r="O205" s="187">
        <f t="shared" ca="1" si="81"/>
        <v>0.3630050505050505</v>
      </c>
      <c r="P205" s="188">
        <f ca="1">IFERROR(SUM(INDIRECT("'FAF &amp; DDs'!"&amp;(ADDRESS(MATCH($B205-$E205,'FAF &amp; DDs'!$Q:$Q,0),COLUMN($R$1),2,1))&amp;":"&amp;(ADDRESS(MATCH($B205-1,'FAF &amp; DDs'!$Q:$Q,0),COLUMN($R$1),1))))/E205*30,-1)</f>
        <v>-1</v>
      </c>
      <c r="Q205" s="188">
        <f ca="1">IFERROR(SUM(INDIRECT("'FAF &amp; DDs'!"&amp;(ADDRESS(MATCH($B205-$E205,'FAF &amp; DDs'!$Q:$Q,0),COLUMN($S$1),2,1))&amp;":"&amp;(ADDRESS(MATCH($B205-1,'FAF &amp; DDs'!$Q:$Q,0),COLUMN($S$1),1))))/E205*30,-1)</f>
        <v>-1</v>
      </c>
      <c r="R205" s="176">
        <f t="shared" ref="R205:R210" ca="1" si="89">VLOOKUP(V205+8,$AC$12:$AD$23,2)</f>
        <v>6</v>
      </c>
      <c r="S205">
        <f ca="1">IF(ROW()&gt;MIN(($AB$8,$AB$7))+11,0,MATCH(V205,INDIRECT("'Reading History'!B"&amp;$Y$5&amp;":b"&amp;$Y$6),-1))</f>
        <v>194</v>
      </c>
      <c r="U205" s="152">
        <f t="shared" ca="1" si="82"/>
        <v>38166</v>
      </c>
      <c r="V205" s="4">
        <f t="shared" ref="V205:V210" ca="1" si="90">INT(INDIRECT("'Reading History'!B"&amp;$Y$5+S204))</f>
        <v>38166</v>
      </c>
      <c r="W205">
        <f t="shared" ca="1" si="83"/>
        <v>0</v>
      </c>
      <c r="X205">
        <f t="shared" ca="1" si="84"/>
        <v>33</v>
      </c>
      <c r="AB205" s="176">
        <f t="shared" ref="AB205:AB210" ca="1" si="91">IF(VALUE(R205)&lt;6,6,IF(AND(VALUE(R205)&gt;16,VALUE(R205)&lt;&gt;81),-6,0))</f>
        <v>0</v>
      </c>
    </row>
    <row r="206" spans="1:28" ht="15" customHeight="1" x14ac:dyDescent="0.2">
      <c r="A206" s="2" t="str">
        <f t="shared" ca="1" si="77"/>
        <v>Electric</v>
      </c>
      <c r="B206" s="4">
        <f t="shared" ca="1" si="85"/>
        <v>38133</v>
      </c>
      <c r="C206" s="179" t="str">
        <f t="shared" ca="1" si="78"/>
        <v>Actual</v>
      </c>
      <c r="D206" s="17">
        <f t="shared" ca="1" si="86"/>
        <v>2180</v>
      </c>
      <c r="E206" s="17">
        <f t="shared" ca="1" si="79"/>
        <v>28</v>
      </c>
      <c r="F206" s="182">
        <f t="shared" ca="1" si="87"/>
        <v>58600</v>
      </c>
      <c r="G206" s="183">
        <f t="shared" ca="1" si="80"/>
        <v>236</v>
      </c>
      <c r="H206" s="184">
        <f ca="1">IF($A206="","",+Rates!N200)</f>
        <v>120</v>
      </c>
      <c r="I206" s="184">
        <f ca="1">IF($A206="","",+ROUND(Rates!O200,2))</f>
        <v>2618.16</v>
      </c>
      <c r="J206" s="184">
        <f ca="1">IF($A206="","",IF(F206=0,0,+ROUND(Rates!P200,2)))</f>
        <v>1940.93</v>
      </c>
      <c r="K206" s="184">
        <f ca="1">IF($A206="","",+ROUND(Rates!X200,2))</f>
        <v>-67.8</v>
      </c>
      <c r="L206" s="184">
        <f ca="1">IF($A206="","",+ROUND(Rates!Q200,2))</f>
        <v>187.52</v>
      </c>
      <c r="M206" s="185">
        <f ca="1">IF($A206="","",+ROUND(Rates!R200,2))</f>
        <v>4798.8100000000004</v>
      </c>
      <c r="N206" s="186">
        <f t="shared" ca="1" si="88"/>
        <v>87202.380952380947</v>
      </c>
      <c r="O206" s="187">
        <f t="shared" ca="1" si="81"/>
        <v>0.36950161420500405</v>
      </c>
      <c r="P206" s="188">
        <f ca="1">IFERROR(SUM(INDIRECT("'FAF &amp; DDs'!"&amp;(ADDRESS(MATCH($B206-$E206,'FAF &amp; DDs'!$Q:$Q,0),COLUMN($R$1),2,1))&amp;":"&amp;(ADDRESS(MATCH($B206-1,'FAF &amp; DDs'!$Q:$Q,0),COLUMN($R$1),1))))/E206*30,-1)</f>
        <v>-1</v>
      </c>
      <c r="Q206" s="188">
        <f ca="1">IFERROR(SUM(INDIRECT("'FAF &amp; DDs'!"&amp;(ADDRESS(MATCH($B206-$E206,'FAF &amp; DDs'!$Q:$Q,0),COLUMN($S$1),2,1))&amp;":"&amp;(ADDRESS(MATCH($B206-1,'FAF &amp; DDs'!$Q:$Q,0),COLUMN($S$1),1))))/E206*30,-1)</f>
        <v>-1</v>
      </c>
      <c r="R206" s="176">
        <f t="shared" ca="1" si="89"/>
        <v>6</v>
      </c>
      <c r="S206">
        <f ca="1">IF(ROW()&gt;MIN(($AB$8,$AB$7))+11,0,MATCH(V206,INDIRECT("'Reading History'!B"&amp;$Y$5&amp;":b"&amp;$Y$6),-1))</f>
        <v>195</v>
      </c>
      <c r="U206" s="152">
        <f t="shared" ca="1" si="82"/>
        <v>38133</v>
      </c>
      <c r="V206" s="4">
        <f t="shared" ca="1" si="90"/>
        <v>38133</v>
      </c>
      <c r="W206">
        <f t="shared" ca="1" si="83"/>
        <v>0</v>
      </c>
      <c r="X206">
        <f t="shared" ca="1" si="84"/>
        <v>28</v>
      </c>
      <c r="AB206" s="176">
        <f t="shared" ca="1" si="91"/>
        <v>0</v>
      </c>
    </row>
    <row r="207" spans="1:28" ht="15" customHeight="1" x14ac:dyDescent="0.2">
      <c r="A207" s="2" t="str">
        <f t="shared" ca="1" si="77"/>
        <v>Electric</v>
      </c>
      <c r="B207" s="4">
        <f t="shared" ca="1" si="85"/>
        <v>38105</v>
      </c>
      <c r="C207" s="179" t="str">
        <f t="shared" ca="1" si="78"/>
        <v>Actual</v>
      </c>
      <c r="D207" s="17">
        <f t="shared" ca="1" si="86"/>
        <v>1887</v>
      </c>
      <c r="E207" s="17">
        <f t="shared" ca="1" si="79"/>
        <v>35</v>
      </c>
      <c r="F207" s="182">
        <f t="shared" ca="1" si="87"/>
        <v>62800</v>
      </c>
      <c r="G207" s="183">
        <f t="shared" ca="1" si="80"/>
        <v>210</v>
      </c>
      <c r="H207" s="184">
        <f ca="1">IF($A207="","",+Rates!N201)</f>
        <v>120</v>
      </c>
      <c r="I207" s="184">
        <f ca="1">IF($A207="","",+ROUND(Rates!O201,2))</f>
        <v>2662.72</v>
      </c>
      <c r="J207" s="184">
        <f ca="1">IF($A207="","",IF(F207=0,0,+ROUND(Rates!P201,2)))</f>
        <v>1614.9</v>
      </c>
      <c r="K207" s="184">
        <f ca="1">IF($A207="","",+ROUND(Rates!X201,2))</f>
        <v>97.03</v>
      </c>
      <c r="L207" s="184">
        <f ca="1">IF($A207="","",+ROUND(Rates!Q201,2))</f>
        <v>200.96</v>
      </c>
      <c r="M207" s="185">
        <f ca="1">IF($A207="","",+ROUND(Rates!R201,2))</f>
        <v>4695.6099999999997</v>
      </c>
      <c r="N207" s="186">
        <f t="shared" ca="1" si="88"/>
        <v>74761.904761904763</v>
      </c>
      <c r="O207" s="187">
        <f t="shared" ca="1" si="81"/>
        <v>0.35600907029478457</v>
      </c>
      <c r="P207" s="188">
        <f ca="1">IFERROR(SUM(INDIRECT("'FAF &amp; DDs'!"&amp;(ADDRESS(MATCH($B207-$E207,'FAF &amp; DDs'!$Q:$Q,0),COLUMN($R$1),2,1))&amp;":"&amp;(ADDRESS(MATCH($B207-1,'FAF &amp; DDs'!$Q:$Q,0),COLUMN($R$1),1))))/E207*30,-1)</f>
        <v>-1</v>
      </c>
      <c r="Q207" s="188">
        <f ca="1">IFERROR(SUM(INDIRECT("'FAF &amp; DDs'!"&amp;(ADDRESS(MATCH($B207-$E207,'FAF &amp; DDs'!$Q:$Q,0),COLUMN($S$1),2,1))&amp;":"&amp;(ADDRESS(MATCH($B207-1,'FAF &amp; DDs'!$Q:$Q,0),COLUMN($S$1),1))))/E207*30,-1)</f>
        <v>-1</v>
      </c>
      <c r="R207" s="176">
        <f t="shared" ca="1" si="89"/>
        <v>6</v>
      </c>
      <c r="S207">
        <f ca="1">IF(ROW()&gt;MIN(($AB$8,$AB$7))+11,0,MATCH(V207,INDIRECT("'Reading History'!B"&amp;$Y$5&amp;":b"&amp;$Y$6),-1))</f>
        <v>196</v>
      </c>
      <c r="U207" s="152">
        <f t="shared" ca="1" si="82"/>
        <v>38105</v>
      </c>
      <c r="V207" s="4">
        <f t="shared" ca="1" si="90"/>
        <v>38105</v>
      </c>
      <c r="W207">
        <f t="shared" ca="1" si="83"/>
        <v>0</v>
      </c>
      <c r="X207">
        <f t="shared" ca="1" si="84"/>
        <v>35</v>
      </c>
      <c r="AB207" s="176">
        <f t="shared" ca="1" si="91"/>
        <v>0</v>
      </c>
    </row>
    <row r="208" spans="1:28" ht="15" customHeight="1" x14ac:dyDescent="0.2">
      <c r="A208" s="2" t="str">
        <f t="shared" ca="1" si="77"/>
        <v>Electric</v>
      </c>
      <c r="B208" s="4">
        <f t="shared" ca="1" si="85"/>
        <v>38070</v>
      </c>
      <c r="C208" s="179" t="str">
        <f t="shared" ca="1" si="78"/>
        <v>Actual</v>
      </c>
      <c r="D208" s="17">
        <f t="shared" ca="1" si="86"/>
        <v>1573</v>
      </c>
      <c r="E208" s="17">
        <f t="shared" ca="1" si="79"/>
        <v>28</v>
      </c>
      <c r="F208" s="182">
        <f t="shared" ca="1" si="87"/>
        <v>50000</v>
      </c>
      <c r="G208" s="183">
        <f t="shared" ca="1" si="80"/>
        <v>180</v>
      </c>
      <c r="H208" s="184">
        <f ca="1">IF($A208="","",+Rates!N202)</f>
        <v>120</v>
      </c>
      <c r="I208" s="184">
        <f ca="1">IF($A208="","",+ROUND(Rates!O202,2))</f>
        <v>2120</v>
      </c>
      <c r="J208" s="184">
        <f ca="1">IF($A208="","",IF(F208=0,0,+ROUND(Rates!P202,2)))</f>
        <v>1384.2</v>
      </c>
      <c r="K208" s="184">
        <f ca="1">IF($A208="","",+ROUND(Rates!X202,2))</f>
        <v>14.85</v>
      </c>
      <c r="L208" s="184">
        <f ca="1">IF($A208="","",+ROUND(Rates!Q202,2))</f>
        <v>160</v>
      </c>
      <c r="M208" s="185">
        <f ca="1">IF($A208="","",+ROUND(Rates!R202,2))</f>
        <v>3799.05</v>
      </c>
      <c r="N208" s="186">
        <f t="shared" ca="1" si="88"/>
        <v>74404.761904761908</v>
      </c>
      <c r="O208" s="187">
        <f t="shared" ca="1" si="81"/>
        <v>0.41335978835978837</v>
      </c>
      <c r="P208" s="188">
        <f ca="1">IFERROR(SUM(INDIRECT("'FAF &amp; DDs'!"&amp;(ADDRESS(MATCH($B208-$E208,'FAF &amp; DDs'!$Q:$Q,0),COLUMN($R$1),2,1))&amp;":"&amp;(ADDRESS(MATCH($B208-1,'FAF &amp; DDs'!$Q:$Q,0),COLUMN($R$1),1))))/E208*30,-1)</f>
        <v>-1</v>
      </c>
      <c r="Q208" s="188">
        <f ca="1">IFERROR(SUM(INDIRECT("'FAF &amp; DDs'!"&amp;(ADDRESS(MATCH($B208-$E208,'FAF &amp; DDs'!$Q:$Q,0),COLUMN($S$1),2,1))&amp;":"&amp;(ADDRESS(MATCH($B208-1,'FAF &amp; DDs'!$Q:$Q,0),COLUMN($S$1),1))))/E208*30,-1)</f>
        <v>-1</v>
      </c>
      <c r="R208" s="176">
        <f t="shared" ca="1" si="89"/>
        <v>6</v>
      </c>
      <c r="S208">
        <f ca="1">IF(ROW()&gt;MIN(($AB$8,$AB$7))+11,0,MATCH(V208,INDIRECT("'Reading History'!B"&amp;$Y$5&amp;":b"&amp;$Y$6),-1))</f>
        <v>197</v>
      </c>
      <c r="U208" s="152">
        <f t="shared" ca="1" si="82"/>
        <v>38070</v>
      </c>
      <c r="V208" s="4">
        <f t="shared" ca="1" si="90"/>
        <v>38070</v>
      </c>
      <c r="W208">
        <f t="shared" ca="1" si="83"/>
        <v>0</v>
      </c>
      <c r="X208">
        <f t="shared" ca="1" si="84"/>
        <v>28</v>
      </c>
      <c r="AB208" s="176">
        <f t="shared" ca="1" si="91"/>
        <v>0</v>
      </c>
    </row>
    <row r="209" spans="1:28" ht="15" customHeight="1" x14ac:dyDescent="0.2">
      <c r="A209" s="2" t="str">
        <f t="shared" ca="1" si="77"/>
        <v>Electric</v>
      </c>
      <c r="B209" s="4">
        <f t="shared" ca="1" si="85"/>
        <v>38042</v>
      </c>
      <c r="C209" s="179" t="str">
        <f t="shared" ca="1" si="78"/>
        <v>Actual</v>
      </c>
      <c r="D209" s="17">
        <f t="shared" ca="1" si="86"/>
        <v>1323</v>
      </c>
      <c r="E209" s="17">
        <f t="shared" ca="1" si="79"/>
        <v>29</v>
      </c>
      <c r="F209" s="182">
        <f t="shared" ca="1" si="87"/>
        <v>56000</v>
      </c>
      <c r="G209" s="183">
        <f t="shared" ca="1" si="80"/>
        <v>200</v>
      </c>
      <c r="H209" s="184">
        <f ca="1">IF($A209="","",+Rates!N203)</f>
        <v>120</v>
      </c>
      <c r="I209" s="184">
        <f ca="1">IF($A209="","",+ROUND(Rates!O203,2))</f>
        <v>2374.4</v>
      </c>
      <c r="J209" s="184">
        <f ca="1">IF($A209="","",IF(F209=0,0,+ROUND(Rates!P203,2)))</f>
        <v>1538</v>
      </c>
      <c r="K209" s="184">
        <f ca="1">IF($A209="","",+ROUND(Rates!X203,2))</f>
        <v>36.340000000000003</v>
      </c>
      <c r="L209" s="184">
        <f ca="1">IF($A209="","",+ROUND(Rates!Q203,2))</f>
        <v>179.2</v>
      </c>
      <c r="M209" s="185">
        <f ca="1">IF($A209="","",+ROUND(Rates!R203,2))</f>
        <v>4247.9399999999996</v>
      </c>
      <c r="N209" s="186">
        <f t="shared" ca="1" si="88"/>
        <v>80459.770114942527</v>
      </c>
      <c r="O209" s="187">
        <f t="shared" ca="1" si="81"/>
        <v>0.40229885057471265</v>
      </c>
      <c r="P209" s="188">
        <f ca="1">IFERROR(SUM(INDIRECT("'FAF &amp; DDs'!"&amp;(ADDRESS(MATCH($B209-$E209,'FAF &amp; DDs'!$Q:$Q,0),COLUMN($R$1),2,1))&amp;":"&amp;(ADDRESS(MATCH($B209-1,'FAF &amp; DDs'!$Q:$Q,0),COLUMN($R$1),1))))/E209*30,-1)</f>
        <v>-1</v>
      </c>
      <c r="Q209" s="188">
        <f ca="1">IFERROR(SUM(INDIRECT("'FAF &amp; DDs'!"&amp;(ADDRESS(MATCH($B209-$E209,'FAF &amp; DDs'!$Q:$Q,0),COLUMN($S$1),2,1))&amp;":"&amp;(ADDRESS(MATCH($B209-1,'FAF &amp; DDs'!$Q:$Q,0),COLUMN($S$1),1))))/E209*30,-1)</f>
        <v>-1</v>
      </c>
      <c r="R209" s="176">
        <f t="shared" ca="1" si="89"/>
        <v>6</v>
      </c>
      <c r="S209">
        <f ca="1">IF(ROW()&gt;MIN(($AB$8,$AB$7))+11,0,MATCH(V209,INDIRECT("'Reading History'!B"&amp;$Y$5&amp;":b"&amp;$Y$6),-1))</f>
        <v>198</v>
      </c>
      <c r="U209" s="152">
        <f t="shared" ca="1" si="82"/>
        <v>38042</v>
      </c>
      <c r="V209" s="4">
        <f t="shared" ca="1" si="90"/>
        <v>38042</v>
      </c>
      <c r="W209">
        <f t="shared" ca="1" si="83"/>
        <v>0</v>
      </c>
      <c r="X209">
        <f t="shared" ca="1" si="84"/>
        <v>29</v>
      </c>
      <c r="AB209" s="176">
        <f t="shared" ca="1" si="91"/>
        <v>0</v>
      </c>
    </row>
    <row r="210" spans="1:28" ht="15" customHeight="1" x14ac:dyDescent="0.2">
      <c r="A210" s="2" t="str">
        <f t="shared" ca="1" si="77"/>
        <v>Electric</v>
      </c>
      <c r="B210" s="4">
        <f t="shared" ca="1" si="85"/>
        <v>38013</v>
      </c>
      <c r="C210" s="179" t="str">
        <f t="shared" ca="1" si="78"/>
        <v>Actual</v>
      </c>
      <c r="D210" s="17">
        <f t="shared" ca="1" si="86"/>
        <v>1043</v>
      </c>
      <c r="E210" s="17">
        <f t="shared" ca="1" si="79"/>
        <v>29</v>
      </c>
      <c r="F210" s="182">
        <f t="shared" ca="1" si="87"/>
        <v>53600</v>
      </c>
      <c r="G210" s="183">
        <f t="shared" ca="1" si="80"/>
        <v>194</v>
      </c>
      <c r="H210" s="184">
        <f ca="1">IF($A210="","",+Rates!N204)</f>
        <v>120</v>
      </c>
      <c r="I210" s="184">
        <f ca="1">IF($A210="","",+ROUND(Rates!O204,2))</f>
        <v>2272.64</v>
      </c>
      <c r="J210" s="184">
        <f ca="1">IF($A210="","",IF(F210=0,0,+ROUND(Rates!P204,2)))</f>
        <v>1491.86</v>
      </c>
      <c r="K210" s="184">
        <f ca="1">IF($A210="","",+ROUND(Rates!X204,2))</f>
        <v>28.94</v>
      </c>
      <c r="L210" s="184">
        <f ca="1">IF($A210="","",+ROUND(Rates!Q204,2))</f>
        <v>171.52</v>
      </c>
      <c r="M210" s="185">
        <f ca="1">IF($A210="","",+ROUND(Rates!R204,2))</f>
        <v>4084.96</v>
      </c>
      <c r="N210" s="186">
        <f t="shared" ca="1" si="88"/>
        <v>77011.494252873556</v>
      </c>
      <c r="O210" s="187">
        <f t="shared" ca="1" si="81"/>
        <v>0.39696646522099777</v>
      </c>
      <c r="P210" s="188">
        <f ca="1">IFERROR(SUM(INDIRECT("'FAF &amp; DDs'!"&amp;(ADDRESS(MATCH($B210-$E210,'FAF &amp; DDs'!$Q:$Q,0),COLUMN($R$1),2,1))&amp;":"&amp;(ADDRESS(MATCH($B210-1,'FAF &amp; DDs'!$Q:$Q,0),COLUMN($R$1),1))))/E210*30,-1)</f>
        <v>-1</v>
      </c>
      <c r="Q210" s="188">
        <f ca="1">IFERROR(SUM(INDIRECT("'FAF &amp; DDs'!"&amp;(ADDRESS(MATCH($B210-$E210,'FAF &amp; DDs'!$Q:$Q,0),COLUMN($S$1),2,1))&amp;":"&amp;(ADDRESS(MATCH($B210-1,'FAF &amp; DDs'!$Q:$Q,0),COLUMN($S$1),1))))/E210*30,-1)</f>
        <v>-1</v>
      </c>
      <c r="R210" s="176">
        <f t="shared" ca="1" si="89"/>
        <v>6</v>
      </c>
      <c r="S210">
        <f ca="1">IF(ROW()&gt;MIN(($AB$8,$AB$7))+11,0,MATCH(V210,INDIRECT("'Reading History'!B"&amp;$Y$5&amp;":b"&amp;$Y$6),-1))</f>
        <v>199</v>
      </c>
      <c r="U210" s="152">
        <f t="shared" ca="1" si="82"/>
        <v>38013</v>
      </c>
      <c r="V210" s="4">
        <f t="shared" ca="1" si="90"/>
        <v>38013</v>
      </c>
      <c r="W210">
        <f t="shared" ca="1" si="83"/>
        <v>0</v>
      </c>
      <c r="X210">
        <f t="shared" ca="1" si="84"/>
        <v>29</v>
      </c>
      <c r="AB210" s="176">
        <f t="shared" ca="1" si="91"/>
        <v>0</v>
      </c>
    </row>
  </sheetData>
  <phoneticPr fontId="0" type="noConversion"/>
  <conditionalFormatting sqref="S12:S210">
    <cfRule type="expression" dxfId="27" priority="48">
      <formula>+$S12=0</formula>
    </cfRule>
  </conditionalFormatting>
  <conditionalFormatting sqref="A12:Q210">
    <cfRule type="expression" dxfId="26" priority="3">
      <formula>+ABS($V12-$C$8)&lt;1</formula>
    </cfRule>
  </conditionalFormatting>
  <conditionalFormatting sqref="G12:G210">
    <cfRule type="expression" dxfId="25" priority="4">
      <formula>AND(+$G12&lt;$G13,$C13="Estimate",$C12&lt;&gt;"Estimate")</formula>
    </cfRule>
  </conditionalFormatting>
  <conditionalFormatting sqref="N12:N210 P12:Q210">
    <cfRule type="expression" dxfId="24" priority="5">
      <formula>+N12=-1</formula>
    </cfRule>
  </conditionalFormatting>
  <conditionalFormatting sqref="A12:Q210 U12:W210">
    <cfRule type="expression" dxfId="23" priority="2">
      <formula>$A12=""</formula>
    </cfRule>
  </conditionalFormatting>
  <dataValidations count="1">
    <dataValidation type="list" errorStyle="warning" allowBlank="1" showInputMessage="1" showErrorMessage="1" sqref="C7" xr:uid="{00000000-0002-0000-0200-000000000000}">
      <formula1>$AF$2:$AF$11</formula1>
    </dataValidation>
  </dataValidations>
  <pageMargins left="0.5" right="0.5" top="0.75" bottom="0.7" header="0.5" footer="0.3"/>
  <pageSetup scale="75" fitToHeight="0" orientation="landscape" r:id="rId1"/>
  <headerFooter alignWithMargins="0">
    <oddFooter>&amp;L&amp;7Charges may vary slightly from bill due to rounding errors.&amp;C&amp;7Page #&amp;P&amp;R&amp;7printed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1:Z210"/>
  <sheetViews>
    <sheetView zoomScale="110" zoomScaleNormal="110" workbookViewId="0">
      <selection activeCell="C7" sqref="C7"/>
    </sheetView>
  </sheetViews>
  <sheetFormatPr defaultRowHeight="12.75" x14ac:dyDescent="0.2"/>
  <cols>
    <col min="2" max="2" width="10.42578125" bestFit="1" customWidth="1"/>
    <col min="3" max="3" width="11.85546875" bestFit="1" customWidth="1"/>
    <col min="5" max="5" width="8.7109375" customWidth="1"/>
    <col min="6" max="6" width="11.85546875" bestFit="1" customWidth="1"/>
    <col min="7" max="7" width="10" style="5" bestFit="1" customWidth="1"/>
    <col min="8" max="8" width="10.42578125" bestFit="1" customWidth="1"/>
    <col min="9" max="9" width="10.42578125" customWidth="1"/>
    <col min="10" max="10" width="10" customWidth="1"/>
    <col min="18" max="19" width="9.7109375" bestFit="1" customWidth="1"/>
    <col min="21" max="21" width="10.7109375" customWidth="1"/>
    <col min="22" max="22" width="9.7109375" bestFit="1" customWidth="1"/>
  </cols>
  <sheetData>
    <row r="1" spans="1:24" x14ac:dyDescent="0.2">
      <c r="K1" s="1" t="s">
        <v>50</v>
      </c>
      <c r="L1" s="1"/>
      <c r="M1" s="53">
        <f>VALUE(MID(C7,2,2))</f>
        <v>1</v>
      </c>
      <c r="N1" s="53">
        <f>+M1</f>
        <v>1</v>
      </c>
      <c r="O1" s="83" t="s">
        <v>155</v>
      </c>
      <c r="W1" s="124" t="e">
        <f ca="1">+B12+Rates!$Q$1</f>
        <v>#N/A</v>
      </c>
      <c r="X1" s="165" t="s">
        <v>34</v>
      </c>
    </row>
    <row r="2" spans="1:24" x14ac:dyDescent="0.2">
      <c r="B2" t="str">
        <f>TRIM('Reading History'!A4)</f>
        <v>Account Number: 192752162</v>
      </c>
      <c r="F2" s="22" t="str">
        <f>IF(F3="","","Mailing Address")</f>
        <v/>
      </c>
      <c r="K2" s="2" t="s">
        <v>34</v>
      </c>
      <c r="L2" s="2"/>
      <c r="P2" s="2" t="s">
        <v>57</v>
      </c>
      <c r="W2" s="124" t="e">
        <f ca="1">+B13+Rates!$Q$1</f>
        <v>#N/A</v>
      </c>
      <c r="X2" s="165" t="s">
        <v>52</v>
      </c>
    </row>
    <row r="3" spans="1:24" x14ac:dyDescent="0.2">
      <c r="B3" s="1" t="str">
        <f>+'Reading History'!A7</f>
        <v>HANSON PROFESSIONAL SRVC INC</v>
      </c>
      <c r="F3" s="36" t="str">
        <f>IF(RIGHT(+'Reading History'!$A$5,LEN('Reading History'!$A$5)-17)='Reading History'!$A$8,"",'Reading History'!$A7)</f>
        <v/>
      </c>
      <c r="H3" s="18"/>
      <c r="I3" s="18"/>
      <c r="K3" s="2" t="s">
        <v>52</v>
      </c>
      <c r="L3" s="2"/>
      <c r="P3" s="2" t="s">
        <v>58</v>
      </c>
      <c r="W3" s="124" t="e">
        <f ca="1">+B14+Rates!$Q$1</f>
        <v>#N/A</v>
      </c>
      <c r="X3" s="165" t="s">
        <v>55</v>
      </c>
    </row>
    <row r="4" spans="1:24" x14ac:dyDescent="0.2">
      <c r="B4" s="1" t="str">
        <f>RIGHT(+'Reading History'!A5,LEN('Reading History'!A5)-17)</f>
        <v>1525 S 6TH ST</v>
      </c>
      <c r="F4" s="36" t="str">
        <f>IF(RIGHT(+'Reading History'!$A$5,LEN('Reading History'!$A$5)-17)='Reading History'!$A$8,"",'Reading History'!$A8)</f>
        <v/>
      </c>
      <c r="H4" s="18"/>
      <c r="I4" s="18"/>
      <c r="K4" s="2" t="s">
        <v>55</v>
      </c>
      <c r="L4" s="2"/>
      <c r="P4" s="2" t="s">
        <v>59</v>
      </c>
      <c r="W4" s="124" t="e">
        <f ca="1">+B15+Rates!$Q$1</f>
        <v>#N/A</v>
      </c>
      <c r="X4" s="165" t="s">
        <v>54</v>
      </c>
    </row>
    <row r="5" spans="1:24" x14ac:dyDescent="0.2">
      <c r="F5" s="36" t="str">
        <f>IF(RIGHT(+'Reading History'!$A$5,LEN('Reading History'!$A$5)-17)='Reading History'!$A$8,"",'Reading History'!$A9)</f>
        <v/>
      </c>
      <c r="G5" s="14"/>
      <c r="H5" s="18"/>
      <c r="I5" s="18"/>
      <c r="K5" s="2" t="s">
        <v>54</v>
      </c>
      <c r="L5" s="2"/>
      <c r="P5" s="2" t="s">
        <v>60</v>
      </c>
      <c r="W5" s="124" t="e">
        <f ca="1">+B16+Rates!$Q$1</f>
        <v>#N/A</v>
      </c>
      <c r="X5" s="165" t="s">
        <v>56</v>
      </c>
    </row>
    <row r="6" spans="1:24" x14ac:dyDescent="0.2">
      <c r="B6" s="10" t="s">
        <v>25</v>
      </c>
      <c r="C6" s="17" t="e">
        <f ca="1">VALUE(INDIRECT("'Reading History'!C"&amp;$M$14))</f>
        <v>#N/A</v>
      </c>
      <c r="F6" s="36" t="str">
        <f>IF(RIGHT(+'Reading History'!$A$5,LEN('Reading History'!$A$5)-17)='Reading History'!$A$8,"",'Reading History'!$A10)</f>
        <v/>
      </c>
      <c r="H6" s="7"/>
      <c r="I6" s="130"/>
      <c r="K6" s="2" t="s">
        <v>56</v>
      </c>
      <c r="L6" s="2"/>
      <c r="P6" s="2" t="s">
        <v>61</v>
      </c>
      <c r="W6" s="124" t="e">
        <f ca="1">+B17+Rates!$Q$1</f>
        <v>#N/A</v>
      </c>
      <c r="X6" s="165" t="s">
        <v>53</v>
      </c>
    </row>
    <row r="7" spans="1:24" x14ac:dyDescent="0.2">
      <c r="A7" s="149"/>
      <c r="B7" s="149" t="s">
        <v>30</v>
      </c>
      <c r="C7" s="2" t="s">
        <v>34</v>
      </c>
      <c r="F7" s="36"/>
      <c r="G7" s="217" t="e">
        <f ca="1">+"latest "&amp;TEXT(SUM(D12:D23)/30.4,"0")&amp;" month"</f>
        <v>#N/A</v>
      </c>
      <c r="H7" s="217"/>
      <c r="I7" s="217"/>
      <c r="K7" s="2" t="s">
        <v>53</v>
      </c>
      <c r="L7" s="2"/>
      <c r="P7" s="2" t="s">
        <v>62</v>
      </c>
      <c r="W7" s="124" t="e">
        <f ca="1">+B18+Rates!$Q$1</f>
        <v>#N/A</v>
      </c>
      <c r="X7" s="166" t="s">
        <v>51</v>
      </c>
    </row>
    <row r="8" spans="1:24" x14ac:dyDescent="0.2">
      <c r="B8" s="9" t="s">
        <v>24</v>
      </c>
      <c r="C8" s="11" t="e">
        <f t="array" aca="1" ref="C8" ca="1">MIN(IF(B12:B210&gt;0,B12:B210))-VLOOKUP(MIN(IF(B12:B210&gt;0,B12:B210)),B12:E210,3,FALSE)</f>
        <v>#N/A</v>
      </c>
      <c r="G8" s="217" t="s">
        <v>78</v>
      </c>
      <c r="H8" s="217"/>
      <c r="I8" s="217"/>
      <c r="J8" s="155" t="s">
        <v>105</v>
      </c>
      <c r="K8" t="s">
        <v>51</v>
      </c>
      <c r="P8" s="2" t="s">
        <v>63</v>
      </c>
      <c r="W8" s="124" t="e">
        <f ca="1">+B19+Rates!$Q$1</f>
        <v>#N/A</v>
      </c>
      <c r="X8" s="165" t="s">
        <v>64</v>
      </c>
    </row>
    <row r="9" spans="1:24" x14ac:dyDescent="0.2">
      <c r="D9" s="4"/>
      <c r="G9" s="56" t="e">
        <f ca="1">ROUND(SUM(G12:G23)/(SUM($D12:$D23)/30.4),2)</f>
        <v>#N/A</v>
      </c>
      <c r="H9" s="56" t="e">
        <f ca="1">ROUND(SUM(H12:H23)/(SUM($D12:$D23)/30.4),2)</f>
        <v>#N/A</v>
      </c>
      <c r="I9" s="56" t="e">
        <f ca="1">ROUND(SUM(I12:I23)/(SUM($D12:$D23)/30.4),2)</f>
        <v>#N/A</v>
      </c>
      <c r="J9" s="156" t="e">
        <f ca="1">G9+H9+I9</f>
        <v>#N/A</v>
      </c>
      <c r="K9" s="2" t="s">
        <v>64</v>
      </c>
      <c r="L9" s="2"/>
      <c r="P9" s="2" t="s">
        <v>66</v>
      </c>
      <c r="W9" s="124" t="e">
        <f ca="1">+B20+Rates!$Q$1</f>
        <v>#N/A</v>
      </c>
      <c r="X9" s="165" t="s">
        <v>65</v>
      </c>
    </row>
    <row r="10" spans="1:24" x14ac:dyDescent="0.2">
      <c r="C10" s="9" t="s">
        <v>81</v>
      </c>
      <c r="E10" s="10" t="s">
        <v>85</v>
      </c>
      <c r="H10" s="132" t="s">
        <v>194</v>
      </c>
      <c r="I10" s="131" t="s">
        <v>144</v>
      </c>
      <c r="J10" s="16" t="s">
        <v>77</v>
      </c>
      <c r="K10" s="2" t="s">
        <v>65</v>
      </c>
      <c r="L10" s="2"/>
      <c r="P10" s="2" t="s">
        <v>67</v>
      </c>
      <c r="W10" s="124" t="e">
        <f ca="1">+B21+Rates!$Q$1</f>
        <v>#N/A</v>
      </c>
      <c r="X10" s="165" t="s">
        <v>73</v>
      </c>
    </row>
    <row r="11" spans="1:24" x14ac:dyDescent="0.2">
      <c r="A11" s="1" t="s">
        <v>0</v>
      </c>
      <c r="B11" s="1" t="s">
        <v>1</v>
      </c>
      <c r="C11" s="9" t="s">
        <v>80</v>
      </c>
      <c r="D11" s="9" t="s">
        <v>6</v>
      </c>
      <c r="E11" s="9" t="s">
        <v>84</v>
      </c>
      <c r="F11" s="59" t="s">
        <v>2</v>
      </c>
      <c r="G11" s="13" t="s">
        <v>49</v>
      </c>
      <c r="H11" s="131" t="s">
        <v>193</v>
      </c>
      <c r="I11" s="131" t="s">
        <v>195</v>
      </c>
      <c r="J11" s="16" t="s">
        <v>32</v>
      </c>
      <c r="K11" s="2" t="s">
        <v>73</v>
      </c>
      <c r="L11" s="2"/>
      <c r="P11" s="2" t="s">
        <v>74</v>
      </c>
      <c r="W11" s="124" t="e">
        <f ca="1">+B22+Rates!$Q$1</f>
        <v>#N/A</v>
      </c>
      <c r="X11" s="166"/>
    </row>
    <row r="12" spans="1:24" ht="12.75" customHeight="1" x14ac:dyDescent="0.2">
      <c r="A12" s="2" t="e">
        <f ca="1">INDIRECT("'Reading History'!A"&amp;$K12+$M$14-1)</f>
        <v>#N/A</v>
      </c>
      <c r="B12" s="4" t="e">
        <f ca="1">INDIRECT("'Reading History'!B"&amp;$M$14)</f>
        <v>#N/A</v>
      </c>
      <c r="C12" s="17" t="e">
        <f ca="1">INDIRECT("'Reading History'!G"&amp;$K12+$M$14-1)</f>
        <v>#N/A</v>
      </c>
      <c r="D12" s="17" t="e">
        <f ca="1">INDIRECT("'Reading History'!H"&amp;$K12+$M$14-1)</f>
        <v>#N/A</v>
      </c>
      <c r="E12" s="47" t="e">
        <f ca="1">INDIRECT("'Reading History'!I"&amp;$K12+$M$14-1)</f>
        <v>#N/A</v>
      </c>
      <c r="F12" s="7" t="e">
        <f ca="1">IF(RIGHT(INDIRECT("'Reading History'!E"&amp;$K12+$M$14-1),4)="Read",LEFT(INDIRECT("'Reading History'!E"&amp;$K12+$M$14-1),LEN(INDIRECT("'Reading History'!E"&amp;$K12+$M$14-1))-5),INDIRECT("'Reading History'!E"&amp;$K12+$M$14-1))</f>
        <v>#N/A</v>
      </c>
      <c r="G12" s="19" t="e">
        <f ca="1">IF($A12="","",ROUND((+HLOOKUP($B12,$O$20:$W$31,$M$1+1)*IF($D12&gt;42,$D12/30,1)+HLOOKUP($B12,IF($M$1&lt;3,$O$35:$W$39,$O$43:$W$47),2)*MIN($E12,5*IF(D12&gt;42,D12/30,1))+HLOOKUP($B12,IF($M$1&lt;3,$O$35:$W$39,$O$43:$W$47),3)*MIN(5*IF(D12&gt;42,D12/30,1),MAX(0,$E12-5*IF(D12&gt;42,D12/30,1)))+HLOOKUP($B12,IF($M$1&lt;3,$O$35:$W$39,$O$43:$W$47),4)*MIN(990*IF(D12&gt;42,D12/30,1),MAX(0,$E12-10*IF(D12&gt;42,D12/30,1)))+HLOOKUP($B12,IF($M$1&lt;3,$O$35:$W$39,$O$43:$W$47),5)*MAX(0,$E12-1000*IF(D12&gt;42,D12/30,1)))*IF($M$16="O",1.3,1),2))</f>
        <v>#N/A</v>
      </c>
      <c r="H12" s="19" t="e">
        <f ca="1">IF(OR($A12="",$N$1=""),"",HLOOKUP($B12,$O$51:$Z$53,IF($M$16="C",2,3))*IF($D12&gt;42,$D12/30,1)+HLOOKUP($B12,$O$57:$Z$59,IF($M$16="C",2,3))*$J12)</f>
        <v>#N/A</v>
      </c>
      <c r="I12" s="19" t="e">
        <f ca="1">IF(OR($A12="",$N$1="",$M$16&lt;&gt;"C"),"",IFERROR(HLOOKUP($B12,$O$63:Z74,$N$1+1)*IF($D12&gt;42,$D12/30,1),0)+HLOOKUP($B12,$O$78:$Z$80,2)*MIN(3*IF($D12&gt;42,$D12/30,1),$J12)+HLOOKUP($B12,$O$78:$Z$80,3)*MAX(0,$J12-3*IF($D12&gt;42,$D12/30,1)))</f>
        <v>#N/A</v>
      </c>
      <c r="J12" s="55" t="e">
        <f ca="1">+IF(ISNUMBER($M$13),INDIRECT("'Reading History'!I"&amp;$K12+$M$13-1),E12)</f>
        <v>#N/A</v>
      </c>
      <c r="K12" t="e">
        <f t="shared" ref="K12:K75" ca="1" si="0">IF(ROW()&gt;($M$15-$M$14+12),0,MATCH(B12,INDIRECT("'Reading History'!B"&amp;$M$14&amp;":b"&amp;$M$15),-1))</f>
        <v>#N/A</v>
      </c>
      <c r="L12" s="142">
        <f t="shared" ref="L12:L75" ca="1" si="1">IFERROR(H12+I12,0)</f>
        <v>0</v>
      </c>
      <c r="Q12" s="18"/>
      <c r="W12" s="124" t="e">
        <f ca="1">+B23+Rates!$Q$1</f>
        <v>#N/A</v>
      </c>
      <c r="X12" s="165" t="s">
        <v>57</v>
      </c>
    </row>
    <row r="13" spans="1:24" ht="12.75" customHeight="1" x14ac:dyDescent="0.2">
      <c r="A13" s="2" t="e">
        <f t="shared" ref="A13:A76" ca="1" si="2">IF(ROW()&gt;($M$15-$M$14+12),"",INDIRECT("'Reading History'!A"&amp;$K13+$M$14-1))</f>
        <v>#N/A</v>
      </c>
      <c r="B13" s="4" t="e">
        <f t="shared" ref="B13:B76" ca="1" si="3">INDIRECT("'Reading History'!B"&amp;$M$14+K12)</f>
        <v>#N/A</v>
      </c>
      <c r="C13" s="17" t="e">
        <f t="shared" ref="C13:C76" ca="1" si="4">IF($A13="","",INDIRECT("'Reading History'!G"&amp;$K13+$M$14-1))</f>
        <v>#N/A</v>
      </c>
      <c r="D13" s="17" t="e">
        <f t="shared" ref="D13:D76" ca="1" si="5">IF($A13="","",INDIRECT("'Reading History'!H"&amp;$K13+$M$14-1))</f>
        <v>#N/A</v>
      </c>
      <c r="E13" s="47" t="e">
        <f t="shared" ref="E13:E76" ca="1" si="6">IF($A13="","",INDIRECT("'Reading History'!I"&amp;$K13+$M$14-1))</f>
        <v>#N/A</v>
      </c>
      <c r="F13" s="7" t="e">
        <f t="shared" ref="F13:F76" ca="1" si="7">IF($A13="","",IF(RIGHT(INDIRECT("'Reading History'!E"&amp;$K13+$M$14-1),4)="Read",LEFT(INDIRECT("'Reading History'!E"&amp;$K13+$M$14-1),LEN(INDIRECT("'Reading History'!E"&amp;$K13+$M$14-1))-5),INDIRECT("'Reading History'!E"&amp;$K13+$M$14-1)))</f>
        <v>#N/A</v>
      </c>
      <c r="G13" s="19" t="e">
        <f t="shared" ref="G13:G76" ca="1" si="8">IF($A13="","",ROUND((+HLOOKUP($B13,$O$20:$W$31,$M$1+1)*IF($D13&gt;42,$D13/30,1)+HLOOKUP($B13,IF($M$1&lt;3,$O$35:$W$39,$O$43:$W$47),2)*MIN($E13,5*IF(D13&gt;42,D13/30,1))+HLOOKUP($B13,IF($M$1&lt;3,$O$35:$W$39,$O$43:$W$47),3)*MIN(5*IF(D13&gt;42,D13/30,1),MAX(0,$E13-5*IF(D13&gt;42,D13/30,1)))+HLOOKUP($B13,IF($M$1&lt;3,$O$35:$W$39,$O$43:$W$47),4)*MIN(990*IF(D13&gt;42,D13/30,1),MAX(0,$E13-10*IF(D13&gt;42,D13/30,1)))+HLOOKUP($B13,IF($M$1&lt;3,$O$35:$W$39,$O$43:$W$47),5)*MAX(0,$E13-1000*IF(D13&gt;42,D13/30,1)))*IF($M$16="O",1.3,1),2))</f>
        <v>#N/A</v>
      </c>
      <c r="H13" s="19" t="e">
        <f t="shared" ref="H13:H76" ca="1" si="9">IF(OR($A13="",$N$1=""),"",HLOOKUP($B13,$O$51:$Z$53,IF($M$16="C",2,3))*IF($D13&gt;42,$D13/30,1)+HLOOKUP($B13,$O$57:$Z$59,IF($M$16="C",2,3))*$J13)</f>
        <v>#N/A</v>
      </c>
      <c r="I13" s="19" t="e">
        <f ca="1">IF(OR($A13="",$N$1="",$M$16&lt;&gt;"C"),"",IFERROR(HLOOKUP($B13,$O$63:Z75,$N$1+1)*IF($D13&gt;42,$D13/30,1),0)+HLOOKUP($B13,$O$78:$Z$80,2)*MIN(3*IF($D13&gt;42,$D13/30,1),$J13)+HLOOKUP($B13,$O$78:$Z$80,3)*MAX(0,$J13-3*IF($D13&gt;42,$D13/30,1)))</f>
        <v>#N/A</v>
      </c>
      <c r="J13" s="55" t="e">
        <f t="shared" ref="J13:J76" ca="1" si="10">IF($A13="","",IF(ISNA($M$13),E13,IF(M$14-$M$13&gt;=K13,INDIRECT("'Reading History'!I"&amp;$K13+$M$13-1),E13)))</f>
        <v>#N/A</v>
      </c>
      <c r="K13" t="e">
        <f t="shared" ca="1" si="0"/>
        <v>#N/A</v>
      </c>
      <c r="L13" s="142">
        <f t="shared" ca="1" si="1"/>
        <v>0</v>
      </c>
      <c r="M13" t="e">
        <f>MATCH("Sewer*",'Reading History'!$A$1:$A$931,0)</f>
        <v>#N/A</v>
      </c>
      <c r="N13" s="2" t="s">
        <v>48</v>
      </c>
      <c r="Q13" s="18"/>
      <c r="W13" s="124"/>
      <c r="X13" s="165" t="s">
        <v>58</v>
      </c>
    </row>
    <row r="14" spans="1:24" ht="12.75" customHeight="1" x14ac:dyDescent="0.2">
      <c r="A14" s="2" t="e">
        <f t="shared" ca="1" si="2"/>
        <v>#N/A</v>
      </c>
      <c r="B14" s="4" t="e">
        <f t="shared" ca="1" si="3"/>
        <v>#N/A</v>
      </c>
      <c r="C14" s="17" t="e">
        <f t="shared" ca="1" si="4"/>
        <v>#N/A</v>
      </c>
      <c r="D14" s="17" t="e">
        <f t="shared" ca="1" si="5"/>
        <v>#N/A</v>
      </c>
      <c r="E14" s="47" t="e">
        <f t="shared" ca="1" si="6"/>
        <v>#N/A</v>
      </c>
      <c r="F14" s="7" t="e">
        <f t="shared" ca="1" si="7"/>
        <v>#N/A</v>
      </c>
      <c r="G14" s="19" t="e">
        <f t="shared" ca="1" si="8"/>
        <v>#N/A</v>
      </c>
      <c r="H14" s="19" t="e">
        <f t="shared" ca="1" si="9"/>
        <v>#N/A</v>
      </c>
      <c r="I14" s="19" t="e">
        <f ca="1">IF(OR($A14="",$N$1="",$M$16&lt;&gt;"C"),"",IFERROR(HLOOKUP($B14,$O$63:Z76,$N$1+1)*IF($D14&gt;42,$D14/30,1),0)+HLOOKUP($B14,$O$78:$Z$80,2)*MIN(3*IF($D14&gt;42,$D14/30,1),$J14)+HLOOKUP($B14,$O$78:$Z$80,3)*MAX(0,$J14-3*IF($D14&gt;42,$D14/30,1)))</f>
        <v>#N/A</v>
      </c>
      <c r="J14" s="55" t="e">
        <f t="shared" ca="1" si="10"/>
        <v>#N/A</v>
      </c>
      <c r="K14" t="e">
        <f t="shared" ca="1" si="0"/>
        <v>#N/A</v>
      </c>
      <c r="L14" s="142">
        <f t="shared" ca="1" si="1"/>
        <v>0</v>
      </c>
      <c r="M14" t="e">
        <f>MATCH("Water",'Reading History'!$A$1:$A$933,0)</f>
        <v>#N/A</v>
      </c>
      <c r="N14" s="2" t="s">
        <v>35</v>
      </c>
      <c r="Q14" s="18"/>
      <c r="X14" s="165" t="s">
        <v>59</v>
      </c>
    </row>
    <row r="15" spans="1:24" ht="12.75" customHeight="1" x14ac:dyDescent="0.2">
      <c r="A15" s="2" t="e">
        <f t="shared" ca="1" si="2"/>
        <v>#N/A</v>
      </c>
      <c r="B15" s="4" t="e">
        <f t="shared" ca="1" si="3"/>
        <v>#N/A</v>
      </c>
      <c r="C15" s="17" t="e">
        <f t="shared" ca="1" si="4"/>
        <v>#N/A</v>
      </c>
      <c r="D15" s="17" t="e">
        <f t="shared" ca="1" si="5"/>
        <v>#N/A</v>
      </c>
      <c r="E15" s="47" t="e">
        <f t="shared" ca="1" si="6"/>
        <v>#N/A</v>
      </c>
      <c r="F15" s="7" t="e">
        <f t="shared" ca="1" si="7"/>
        <v>#N/A</v>
      </c>
      <c r="G15" s="19" t="e">
        <f t="shared" ca="1" si="8"/>
        <v>#N/A</v>
      </c>
      <c r="H15" s="19" t="e">
        <f t="shared" ca="1" si="9"/>
        <v>#N/A</v>
      </c>
      <c r="I15" s="19" t="e">
        <f ca="1">IF(OR($A15="",$N$1="",$M$16&lt;&gt;"C"),"",IFERROR(HLOOKUP($B15,$O$63:Z77,$N$1+1)*IF($D15&gt;42,$D15/30,1),0)+HLOOKUP($B15,$O$78:$Z$80,2)*MIN(3*IF($D15&gt;42,$D15/30,1),$J15)+HLOOKUP($B15,$O$78:$Z$80,3)*MAX(0,$J15-3*IF($D15&gt;42,$D15/30,1)))</f>
        <v>#N/A</v>
      </c>
      <c r="J15" s="55" t="e">
        <f t="shared" ca="1" si="10"/>
        <v>#N/A</v>
      </c>
      <c r="K15" t="e">
        <f t="shared" ca="1" si="0"/>
        <v>#N/A</v>
      </c>
      <c r="L15" s="142">
        <f t="shared" ca="1" si="1"/>
        <v>0</v>
      </c>
      <c r="M15">
        <f>MATCH("WaterA",'Reading History'!$A$13:$A$933,1)+12</f>
        <v>457</v>
      </c>
      <c r="N15" s="2" t="s">
        <v>69</v>
      </c>
      <c r="Q15" s="18"/>
      <c r="X15" s="165" t="s">
        <v>60</v>
      </c>
    </row>
    <row r="16" spans="1:24" ht="12.75" customHeight="1" x14ac:dyDescent="0.2">
      <c r="A16" s="2" t="e">
        <f t="shared" ca="1" si="2"/>
        <v>#N/A</v>
      </c>
      <c r="B16" s="4" t="e">
        <f t="shared" ca="1" si="3"/>
        <v>#N/A</v>
      </c>
      <c r="C16" s="17" t="e">
        <f t="shared" ca="1" si="4"/>
        <v>#N/A</v>
      </c>
      <c r="D16" s="17" t="e">
        <f t="shared" ca="1" si="5"/>
        <v>#N/A</v>
      </c>
      <c r="E16" s="47" t="e">
        <f t="shared" ca="1" si="6"/>
        <v>#N/A</v>
      </c>
      <c r="F16" s="7" t="e">
        <f t="shared" ca="1" si="7"/>
        <v>#N/A</v>
      </c>
      <c r="G16" s="19" t="e">
        <f t="shared" ca="1" si="8"/>
        <v>#N/A</v>
      </c>
      <c r="H16" s="19" t="e">
        <f t="shared" ca="1" si="9"/>
        <v>#N/A</v>
      </c>
      <c r="I16" s="19" t="e">
        <f ca="1">IF(OR($A16="",$N$1="",$M$16&lt;&gt;"C"),"",IFERROR(HLOOKUP($B16,$O$63:Z78,$N$1+1)*IF($D16&gt;42,$D16/30,1),0)+HLOOKUP($B16,$O$78:$Z$80,2)*MIN(3*IF($D16&gt;42,$D16/30,1),$J16)+HLOOKUP($B16,$O$78:$Z$80,3)*MAX(0,$J16-3*IF($D16&gt;42,$D16/30,1)))</f>
        <v>#N/A</v>
      </c>
      <c r="J16" s="55" t="e">
        <f t="shared" ca="1" si="10"/>
        <v>#N/A</v>
      </c>
      <c r="K16" t="e">
        <f t="shared" ca="1" si="0"/>
        <v>#N/A</v>
      </c>
      <c r="L16" s="142">
        <f t="shared" ca="1" si="1"/>
        <v>0</v>
      </c>
      <c r="M16" s="79" t="str">
        <f>+LEFT($C$7)</f>
        <v>C</v>
      </c>
      <c r="N16" s="83" t="s">
        <v>196</v>
      </c>
      <c r="P16" s="79"/>
      <c r="Q16" s="18"/>
      <c r="X16" s="165" t="s">
        <v>61</v>
      </c>
    </row>
    <row r="17" spans="1:24" ht="12.75" customHeight="1" x14ac:dyDescent="0.2">
      <c r="A17" s="2" t="e">
        <f t="shared" ca="1" si="2"/>
        <v>#N/A</v>
      </c>
      <c r="B17" s="4" t="e">
        <f t="shared" ca="1" si="3"/>
        <v>#N/A</v>
      </c>
      <c r="C17" s="17" t="e">
        <f t="shared" ca="1" si="4"/>
        <v>#N/A</v>
      </c>
      <c r="D17" s="17" t="e">
        <f t="shared" ca="1" si="5"/>
        <v>#N/A</v>
      </c>
      <c r="E17" s="47" t="e">
        <f t="shared" ca="1" si="6"/>
        <v>#N/A</v>
      </c>
      <c r="F17" s="7" t="e">
        <f t="shared" ca="1" si="7"/>
        <v>#N/A</v>
      </c>
      <c r="G17" s="19" t="e">
        <f t="shared" ca="1" si="8"/>
        <v>#N/A</v>
      </c>
      <c r="H17" s="19" t="e">
        <f t="shared" ca="1" si="9"/>
        <v>#N/A</v>
      </c>
      <c r="I17" s="19" t="e">
        <f ca="1">IF(OR($A17="",$N$1="",$M$16&lt;&gt;"C"),"",IFERROR(HLOOKUP($B17,$O$63:Z79,$N$1+1)*IF($D17&gt;42,$D17/30,1),0)+HLOOKUP($B17,$O$78:$Z$80,2)*MIN(3*IF($D17&gt;42,$D17/30,1),$J17)+HLOOKUP($B17,$O$78:$Z$80,3)*MAX(0,$J17-3*IF($D17&gt;42,$D17/30,1)))</f>
        <v>#N/A</v>
      </c>
      <c r="J17" s="55" t="e">
        <f t="shared" ca="1" si="10"/>
        <v>#N/A</v>
      </c>
      <c r="K17" t="e">
        <f t="shared" ca="1" si="0"/>
        <v>#N/A</v>
      </c>
      <c r="L17" s="142">
        <f t="shared" ca="1" si="1"/>
        <v>0</v>
      </c>
      <c r="X17" s="165" t="s">
        <v>62</v>
      </c>
    </row>
    <row r="18" spans="1:24" ht="12.75" customHeight="1" x14ac:dyDescent="0.2">
      <c r="A18" s="2" t="e">
        <f t="shared" ca="1" si="2"/>
        <v>#N/A</v>
      </c>
      <c r="B18" s="4" t="e">
        <f t="shared" ca="1" si="3"/>
        <v>#N/A</v>
      </c>
      <c r="C18" s="17" t="e">
        <f t="shared" ca="1" si="4"/>
        <v>#N/A</v>
      </c>
      <c r="D18" s="17" t="e">
        <f t="shared" ca="1" si="5"/>
        <v>#N/A</v>
      </c>
      <c r="E18" s="47" t="e">
        <f t="shared" ca="1" si="6"/>
        <v>#N/A</v>
      </c>
      <c r="F18" s="7" t="e">
        <f t="shared" ca="1" si="7"/>
        <v>#N/A</v>
      </c>
      <c r="G18" s="19" t="e">
        <f t="shared" ca="1" si="8"/>
        <v>#N/A</v>
      </c>
      <c r="H18" s="19" t="e">
        <f t="shared" ca="1" si="9"/>
        <v>#N/A</v>
      </c>
      <c r="I18" s="19" t="e">
        <f ca="1">IF(OR($A18="",$N$1="",$M$16&lt;&gt;"C"),"",IFERROR(HLOOKUP($B18,$O$63:Z80,$N$1+1)*IF($D18&gt;42,$D18/30,1),0)+HLOOKUP($B18,$O$78:$Z$80,2)*MIN(3*IF($D18&gt;42,$D18/30,1),$J18)+HLOOKUP($B18,$O$78:$Z$80,3)*MAX(0,$J18-3*IF($D18&gt;42,$D18/30,1)))</f>
        <v>#N/A</v>
      </c>
      <c r="J18" s="55" t="e">
        <f t="shared" ca="1" si="10"/>
        <v>#N/A</v>
      </c>
      <c r="K18" t="e">
        <f t="shared" ca="1" si="0"/>
        <v>#N/A</v>
      </c>
      <c r="L18" s="142">
        <f t="shared" ca="1" si="1"/>
        <v>0</v>
      </c>
      <c r="O18" s="82">
        <f>+ROUND((V21-O21)/O21,2)</f>
        <v>1.1000000000000001</v>
      </c>
      <c r="P18" s="82">
        <f t="shared" ref="P18:V18" si="11">+ROUND((P21-O21)/O21,2)</f>
        <v>0.14000000000000001</v>
      </c>
      <c r="Q18" s="82">
        <f t="shared" si="11"/>
        <v>0.05</v>
      </c>
      <c r="R18" s="82">
        <f t="shared" si="11"/>
        <v>0.05</v>
      </c>
      <c r="S18" s="82">
        <f t="shared" si="11"/>
        <v>0.16</v>
      </c>
      <c r="T18" s="82">
        <f t="shared" si="11"/>
        <v>0.17</v>
      </c>
      <c r="U18" s="82">
        <f t="shared" si="11"/>
        <v>0.12</v>
      </c>
      <c r="V18" s="82">
        <f t="shared" si="11"/>
        <v>0.1</v>
      </c>
      <c r="X18" s="165" t="s">
        <v>63</v>
      </c>
    </row>
    <row r="19" spans="1:24" ht="12.75" customHeight="1" x14ac:dyDescent="0.2">
      <c r="A19" s="2" t="e">
        <f t="shared" ca="1" si="2"/>
        <v>#N/A</v>
      </c>
      <c r="B19" s="4" t="e">
        <f t="shared" ca="1" si="3"/>
        <v>#N/A</v>
      </c>
      <c r="C19" s="17" t="e">
        <f t="shared" ca="1" si="4"/>
        <v>#N/A</v>
      </c>
      <c r="D19" s="17" t="e">
        <f t="shared" ca="1" si="5"/>
        <v>#N/A</v>
      </c>
      <c r="E19" s="47" t="e">
        <f t="shared" ca="1" si="6"/>
        <v>#N/A</v>
      </c>
      <c r="F19" s="7" t="e">
        <f t="shared" ca="1" si="7"/>
        <v>#N/A</v>
      </c>
      <c r="G19" s="19" t="e">
        <f t="shared" ca="1" si="8"/>
        <v>#N/A</v>
      </c>
      <c r="H19" s="19" t="e">
        <f t="shared" ca="1" si="9"/>
        <v>#N/A</v>
      </c>
      <c r="I19" s="19" t="e">
        <f ca="1">IF(OR($A19="",$N$1="",$M$16&lt;&gt;"C"),"",IFERROR(HLOOKUP($B19,$O$63:Z81,$N$1+1)*IF($D19&gt;42,$D19/30,1),0)+HLOOKUP($B19,$O$78:$Z$80,2)*MIN(3*IF($D19&gt;42,$D19/30,1),$J19)+HLOOKUP($B19,$O$78:$Z$80,3)*MAX(0,$J19-3*IF($D19&gt;42,$D19/30,1)))</f>
        <v>#N/A</v>
      </c>
      <c r="J19" s="55" t="e">
        <f t="shared" ca="1" si="10"/>
        <v>#N/A</v>
      </c>
      <c r="K19" t="e">
        <f t="shared" ca="1" si="0"/>
        <v>#N/A</v>
      </c>
      <c r="L19" s="142">
        <f t="shared" ca="1" si="1"/>
        <v>0</v>
      </c>
      <c r="M19" s="83"/>
      <c r="O19" s="1" t="s">
        <v>129</v>
      </c>
      <c r="P19" s="148" t="s">
        <v>209</v>
      </c>
      <c r="X19" s="165" t="s">
        <v>66</v>
      </c>
    </row>
    <row r="20" spans="1:24" ht="12.75" customHeight="1" x14ac:dyDescent="0.2">
      <c r="A20" s="2" t="e">
        <f t="shared" ca="1" si="2"/>
        <v>#N/A</v>
      </c>
      <c r="B20" s="4" t="e">
        <f t="shared" ca="1" si="3"/>
        <v>#N/A</v>
      </c>
      <c r="C20" s="17" t="e">
        <f t="shared" ca="1" si="4"/>
        <v>#N/A</v>
      </c>
      <c r="D20" s="17" t="e">
        <f t="shared" ca="1" si="5"/>
        <v>#N/A</v>
      </c>
      <c r="E20" s="47" t="e">
        <f t="shared" ca="1" si="6"/>
        <v>#N/A</v>
      </c>
      <c r="F20" s="7" t="e">
        <f t="shared" ca="1" si="7"/>
        <v>#N/A</v>
      </c>
      <c r="G20" s="19" t="e">
        <f t="shared" ca="1" si="8"/>
        <v>#N/A</v>
      </c>
      <c r="H20" s="19" t="e">
        <f t="shared" ca="1" si="9"/>
        <v>#N/A</v>
      </c>
      <c r="I20" s="19" t="e">
        <f ca="1">IF(OR($A20="",$N$1="",$M$16&lt;&gt;"C"),"",IFERROR(HLOOKUP($B20,$O$63:Z82,$N$1+1)*IF($D20&gt;42,$D20/30,1),0)+HLOOKUP($B20,$O$78:$Z$80,2)*MIN(3*IF($D20&gt;42,$D20/30,1),$J20)+HLOOKUP($B20,$O$78:$Z$80,3)*MAX(0,$J20-3*IF($D20&gt;42,$D20/30,1)))</f>
        <v>#N/A</v>
      </c>
      <c r="J20" s="55" t="e">
        <f t="shared" ca="1" si="10"/>
        <v>#N/A</v>
      </c>
      <c r="K20" t="e">
        <f t="shared" ca="1" si="0"/>
        <v>#N/A</v>
      </c>
      <c r="L20" s="142">
        <f t="shared" ca="1" si="1"/>
        <v>0</v>
      </c>
      <c r="N20" t="s">
        <v>47</v>
      </c>
      <c r="O20" s="84">
        <v>35217</v>
      </c>
      <c r="P20" s="84">
        <f>+DATE(2003,11,1)</f>
        <v>37926</v>
      </c>
      <c r="Q20" s="84">
        <f>+DATE(2004,4,1)</f>
        <v>38078</v>
      </c>
      <c r="R20" s="84">
        <v>38261</v>
      </c>
      <c r="S20" s="84">
        <f>DATE(2008,5,1)</f>
        <v>39569</v>
      </c>
      <c r="T20" s="84">
        <f>DATE(2009,3,1)</f>
        <v>39873</v>
      </c>
      <c r="U20" s="84">
        <f>DATE(2010,3,1)</f>
        <v>40238</v>
      </c>
      <c r="V20" s="84">
        <f>DATE(2011,3,1)</f>
        <v>40603</v>
      </c>
      <c r="W20" s="106">
        <f>DATE(2041,3,1)</f>
        <v>51561</v>
      </c>
      <c r="X20" s="165" t="s">
        <v>67</v>
      </c>
    </row>
    <row r="21" spans="1:24" ht="12.75" customHeight="1" x14ac:dyDescent="0.2">
      <c r="A21" s="2" t="e">
        <f t="shared" ca="1" si="2"/>
        <v>#N/A</v>
      </c>
      <c r="B21" s="4" t="e">
        <f t="shared" ca="1" si="3"/>
        <v>#N/A</v>
      </c>
      <c r="C21" s="17" t="e">
        <f t="shared" ca="1" si="4"/>
        <v>#N/A</v>
      </c>
      <c r="D21" s="17" t="e">
        <f t="shared" ca="1" si="5"/>
        <v>#N/A</v>
      </c>
      <c r="E21" s="47" t="e">
        <f t="shared" ca="1" si="6"/>
        <v>#N/A</v>
      </c>
      <c r="F21" s="7" t="e">
        <f t="shared" ca="1" si="7"/>
        <v>#N/A</v>
      </c>
      <c r="G21" s="19" t="e">
        <f t="shared" ca="1" si="8"/>
        <v>#N/A</v>
      </c>
      <c r="H21" s="19" t="e">
        <f t="shared" ca="1" si="9"/>
        <v>#N/A</v>
      </c>
      <c r="I21" s="19" t="e">
        <f ca="1">IF(OR($A21="",$N$1="",$M$16&lt;&gt;"C"),"",IFERROR(HLOOKUP($B21,$O$63:Z83,$N$1+1)*IF($D21&gt;42,$D21/30,1),0)+HLOOKUP($B21,$O$78:$Z$80,2)*MIN(3*IF($D21&gt;42,$D21/30,1),$J21)+HLOOKUP($B21,$O$78:$Z$80,3)*MAX(0,$J21-3*IF($D21&gt;42,$D21/30,1)))</f>
        <v>#N/A</v>
      </c>
      <c r="J21" s="55" t="e">
        <f t="shared" ca="1" si="10"/>
        <v>#N/A</v>
      </c>
      <c r="K21" t="e">
        <f t="shared" ca="1" si="0"/>
        <v>#N/A</v>
      </c>
      <c r="L21" s="142">
        <f t="shared" ca="1" si="1"/>
        <v>0</v>
      </c>
      <c r="N21">
        <v>1</v>
      </c>
      <c r="O21" s="18">
        <v>3.15</v>
      </c>
      <c r="P21" s="18">
        <v>3.59</v>
      </c>
      <c r="Q21" s="18">
        <v>3.77</v>
      </c>
      <c r="R21" s="18">
        <v>3.96</v>
      </c>
      <c r="S21" s="18">
        <v>4.58</v>
      </c>
      <c r="T21" s="18">
        <v>5.36</v>
      </c>
      <c r="U21" s="18">
        <v>6</v>
      </c>
      <c r="V21" s="18">
        <v>6.6</v>
      </c>
      <c r="X21" s="165" t="s">
        <v>74</v>
      </c>
    </row>
    <row r="22" spans="1:24" ht="12.75" customHeight="1" x14ac:dyDescent="0.2">
      <c r="A22" s="2" t="e">
        <f t="shared" ca="1" si="2"/>
        <v>#N/A</v>
      </c>
      <c r="B22" s="4" t="e">
        <f t="shared" ca="1" si="3"/>
        <v>#N/A</v>
      </c>
      <c r="C22" s="17" t="e">
        <f t="shared" ca="1" si="4"/>
        <v>#N/A</v>
      </c>
      <c r="D22" s="17" t="e">
        <f t="shared" ca="1" si="5"/>
        <v>#N/A</v>
      </c>
      <c r="E22" s="47" t="e">
        <f t="shared" ca="1" si="6"/>
        <v>#N/A</v>
      </c>
      <c r="F22" s="7" t="e">
        <f t="shared" ca="1" si="7"/>
        <v>#N/A</v>
      </c>
      <c r="G22" s="19" t="e">
        <f t="shared" ca="1" si="8"/>
        <v>#N/A</v>
      </c>
      <c r="H22" s="19" t="e">
        <f t="shared" ca="1" si="9"/>
        <v>#N/A</v>
      </c>
      <c r="I22" s="19" t="e">
        <f ca="1">IF(OR($A22="",$N$1="",$M$16&lt;&gt;"C"),"",IFERROR(HLOOKUP($B22,$O$63:Z84,$N$1+1)*IF($D22&gt;42,$D22/30,1),0)+HLOOKUP($B22,$O$78:$Z$80,2)*MIN(3*IF($D22&gt;42,$D22/30,1),$J22)+HLOOKUP($B22,$O$78:$Z$80,3)*MAX(0,$J22-3*IF($D22&gt;42,$D22/30,1)))</f>
        <v>#N/A</v>
      </c>
      <c r="J22" s="55" t="e">
        <f t="shared" ca="1" si="10"/>
        <v>#N/A</v>
      </c>
      <c r="K22" t="e">
        <f t="shared" ca="1" si="0"/>
        <v>#N/A</v>
      </c>
      <c r="L22" s="142">
        <f t="shared" ca="1" si="1"/>
        <v>0</v>
      </c>
      <c r="N22">
        <v>2</v>
      </c>
      <c r="O22" s="18">
        <v>5.51</v>
      </c>
      <c r="P22" s="18">
        <v>6.28</v>
      </c>
      <c r="Q22" s="18">
        <v>6.59</v>
      </c>
      <c r="R22" s="18">
        <v>6.92</v>
      </c>
      <c r="S22" s="18">
        <v>8.57</v>
      </c>
      <c r="T22" s="18">
        <v>10.029999999999999</v>
      </c>
      <c r="U22" s="18">
        <v>11.23</v>
      </c>
      <c r="V22" s="18">
        <v>12.35</v>
      </c>
    </row>
    <row r="23" spans="1:24" ht="12.75" customHeight="1" x14ac:dyDescent="0.2">
      <c r="A23" s="2" t="e">
        <f t="shared" ca="1" si="2"/>
        <v>#N/A</v>
      </c>
      <c r="B23" s="4" t="e">
        <f t="shared" ref="B23:B39" ca="1" si="12">INDIRECT("'Reading History'!B"&amp;$M$14+K22)</f>
        <v>#N/A</v>
      </c>
      <c r="C23" s="17" t="e">
        <f t="shared" ca="1" si="4"/>
        <v>#N/A</v>
      </c>
      <c r="D23" s="17" t="e">
        <f t="shared" ca="1" si="5"/>
        <v>#N/A</v>
      </c>
      <c r="E23" s="47" t="e">
        <f t="shared" ca="1" si="6"/>
        <v>#N/A</v>
      </c>
      <c r="F23" s="171" t="e">
        <f t="shared" ca="1" si="7"/>
        <v>#N/A</v>
      </c>
      <c r="G23" s="19" t="e">
        <f t="shared" ca="1" si="8"/>
        <v>#N/A</v>
      </c>
      <c r="H23" s="19" t="e">
        <f t="shared" ca="1" si="9"/>
        <v>#N/A</v>
      </c>
      <c r="I23" s="19" t="e">
        <f ca="1">IF(OR($A23="",$N$1="",$M$16&lt;&gt;"C"),"",IFERROR(HLOOKUP($B23,$O$63:Z85,$N$1+1)*IF($D23&gt;42,$D23/30,1),0)+HLOOKUP($B23,$O$78:$Z$80,2)*MIN(3*IF($D23&gt;42,$D23/30,1),$J23)+HLOOKUP($B23,$O$78:$Z$80,3)*MAX(0,$J23-3*IF($D23&gt;42,$D23/30,1)))</f>
        <v>#N/A</v>
      </c>
      <c r="J23" s="55" t="e">
        <f t="shared" ref="J23:J39" ca="1" si="13">IF($A23="","",IF(ISNA($M$13),E23,IF(M$14-$M$13&gt;=K23,INDIRECT("'Reading History'!I"&amp;$K23+$M$13-1),E23)))</f>
        <v>#N/A</v>
      </c>
      <c r="K23" t="e">
        <f t="shared" ca="1" si="0"/>
        <v>#N/A</v>
      </c>
      <c r="L23" s="142">
        <f t="shared" ca="1" si="1"/>
        <v>0</v>
      </c>
      <c r="N23">
        <v>3</v>
      </c>
      <c r="O23" s="18">
        <v>10.96</v>
      </c>
      <c r="P23" s="18">
        <v>12.49</v>
      </c>
      <c r="Q23" s="18">
        <v>13.11</v>
      </c>
      <c r="R23" s="18">
        <v>13.77</v>
      </c>
      <c r="S23" s="18">
        <v>18.690000000000001</v>
      </c>
      <c r="T23" s="18">
        <v>21.87</v>
      </c>
      <c r="U23" s="18">
        <v>24.49</v>
      </c>
      <c r="V23" s="18">
        <v>26.94</v>
      </c>
    </row>
    <row r="24" spans="1:24" ht="12.75" customHeight="1" x14ac:dyDescent="0.2">
      <c r="A24" s="2" t="e">
        <f t="shared" ca="1" si="2"/>
        <v>#N/A</v>
      </c>
      <c r="B24" s="4" t="e">
        <f t="shared" ca="1" si="12"/>
        <v>#N/A</v>
      </c>
      <c r="C24" s="17" t="e">
        <f t="shared" ca="1" si="4"/>
        <v>#N/A</v>
      </c>
      <c r="D24" s="17" t="e">
        <f t="shared" ca="1" si="5"/>
        <v>#N/A</v>
      </c>
      <c r="E24" s="47" t="e">
        <f t="shared" ca="1" si="6"/>
        <v>#N/A</v>
      </c>
      <c r="F24" s="171" t="e">
        <f t="shared" ca="1" si="7"/>
        <v>#N/A</v>
      </c>
      <c r="G24" s="19" t="e">
        <f t="shared" ca="1" si="8"/>
        <v>#N/A</v>
      </c>
      <c r="H24" s="19" t="e">
        <f t="shared" ca="1" si="9"/>
        <v>#N/A</v>
      </c>
      <c r="I24" s="19" t="e">
        <f ca="1">IF(OR($A24="",$N$1="",$M$16&lt;&gt;"C"),"",IFERROR(HLOOKUP($B24,$O$63:Z86,$N$1+1)*IF($D24&gt;42,$D24/30,1),0)+HLOOKUP($B24,$O$78:$Z$80,2)*MIN(3*IF($D24&gt;42,$D24/30,1),$J24)+HLOOKUP($B24,$O$78:$Z$80,3)*MAX(0,$J24-3*IF($D24&gt;42,$D24/30,1)))</f>
        <v>#N/A</v>
      </c>
      <c r="J24" s="55" t="e">
        <f t="shared" ca="1" si="13"/>
        <v>#N/A</v>
      </c>
      <c r="K24" t="e">
        <f t="shared" ca="1" si="0"/>
        <v>#N/A</v>
      </c>
      <c r="L24" s="142">
        <f t="shared" ca="1" si="1"/>
        <v>0</v>
      </c>
      <c r="N24">
        <v>4</v>
      </c>
      <c r="O24" s="18">
        <v>15.59</v>
      </c>
      <c r="P24" s="18">
        <v>17.77</v>
      </c>
      <c r="Q24" s="18">
        <v>18.66</v>
      </c>
      <c r="R24" s="18">
        <v>19.59</v>
      </c>
      <c r="S24" s="18">
        <v>26.43</v>
      </c>
      <c r="T24" s="18">
        <v>30.92</v>
      </c>
      <c r="U24" s="18">
        <v>34.630000000000003</v>
      </c>
      <c r="V24" s="18">
        <v>38.1</v>
      </c>
    </row>
    <row r="25" spans="1:24" ht="12.75" customHeight="1" x14ac:dyDescent="0.2">
      <c r="A25" s="2" t="e">
        <f t="shared" ca="1" si="2"/>
        <v>#N/A</v>
      </c>
      <c r="B25" s="4" t="e">
        <f t="shared" ca="1" si="12"/>
        <v>#N/A</v>
      </c>
      <c r="C25" s="17" t="e">
        <f t="shared" ca="1" si="4"/>
        <v>#N/A</v>
      </c>
      <c r="D25" s="17" t="e">
        <f t="shared" ca="1" si="5"/>
        <v>#N/A</v>
      </c>
      <c r="E25" s="47" t="e">
        <f t="shared" ca="1" si="6"/>
        <v>#N/A</v>
      </c>
      <c r="F25" s="171" t="e">
        <f t="shared" ca="1" si="7"/>
        <v>#N/A</v>
      </c>
      <c r="G25" s="19" t="e">
        <f t="shared" ca="1" si="8"/>
        <v>#N/A</v>
      </c>
      <c r="H25" s="19" t="e">
        <f t="shared" ca="1" si="9"/>
        <v>#N/A</v>
      </c>
      <c r="I25" s="19" t="e">
        <f ca="1">IF(OR($A25="",$N$1="",$M$16&lt;&gt;"C"),"",IFERROR(HLOOKUP($B25,$O$63:Z87,$N$1+1)*IF($D25&gt;42,$D25/30,1),0)+HLOOKUP($B25,$O$78:$Z$80,2)*MIN(3*IF($D25&gt;42,$D25/30,1),$J25)+HLOOKUP($B25,$O$78:$Z$80,3)*MAX(0,$J25-3*IF($D25&gt;42,$D25/30,1)))</f>
        <v>#N/A</v>
      </c>
      <c r="J25" s="55" t="e">
        <f t="shared" ca="1" si="13"/>
        <v>#N/A</v>
      </c>
      <c r="K25" t="e">
        <f t="shared" ca="1" si="0"/>
        <v>#N/A</v>
      </c>
      <c r="L25" s="142">
        <f t="shared" ca="1" si="1"/>
        <v>0</v>
      </c>
      <c r="N25">
        <v>5</v>
      </c>
      <c r="O25" s="18">
        <v>19.420000000000002</v>
      </c>
      <c r="P25" s="18">
        <v>22.14</v>
      </c>
      <c r="Q25" s="18">
        <v>23.25</v>
      </c>
      <c r="R25" s="18">
        <v>24.41</v>
      </c>
      <c r="S25" s="18">
        <v>33.07</v>
      </c>
      <c r="T25" s="18">
        <v>38.69</v>
      </c>
      <c r="U25" s="18">
        <v>43.33</v>
      </c>
      <c r="V25" s="18">
        <v>47.67</v>
      </c>
    </row>
    <row r="26" spans="1:24" ht="12.75" customHeight="1" x14ac:dyDescent="0.2">
      <c r="A26" s="2" t="e">
        <f t="shared" ca="1" si="2"/>
        <v>#N/A</v>
      </c>
      <c r="B26" s="4" t="e">
        <f t="shared" ca="1" si="12"/>
        <v>#N/A</v>
      </c>
      <c r="C26" s="17" t="e">
        <f t="shared" ca="1" si="4"/>
        <v>#N/A</v>
      </c>
      <c r="D26" s="17" t="e">
        <f t="shared" ca="1" si="5"/>
        <v>#N/A</v>
      </c>
      <c r="E26" s="47" t="e">
        <f t="shared" ca="1" si="6"/>
        <v>#N/A</v>
      </c>
      <c r="F26" s="171" t="e">
        <f t="shared" ca="1" si="7"/>
        <v>#N/A</v>
      </c>
      <c r="G26" s="19" t="e">
        <f t="shared" ca="1" si="8"/>
        <v>#N/A</v>
      </c>
      <c r="H26" s="19" t="e">
        <f t="shared" ca="1" si="9"/>
        <v>#N/A</v>
      </c>
      <c r="I26" s="19" t="e">
        <f ca="1">IF(OR($A26="",$N$1="",$M$16&lt;&gt;"C"),"",IFERROR(HLOOKUP($B26,$O$63:Z88,$N$1+1)*IF($D26&gt;42,$D26/30,1),0)+HLOOKUP($B26,$O$78:$Z$80,2)*MIN(3*IF($D26&gt;42,$D26/30,1),$J26)+HLOOKUP($B26,$O$78:$Z$80,3)*MAX(0,$J26-3*IF($D26&gt;42,$D26/30,1)))</f>
        <v>#N/A</v>
      </c>
      <c r="J26" s="55" t="e">
        <f t="shared" ca="1" si="13"/>
        <v>#N/A</v>
      </c>
      <c r="K26" t="e">
        <f t="shared" ca="1" si="0"/>
        <v>#N/A</v>
      </c>
      <c r="L26" s="142">
        <f t="shared" ca="1" si="1"/>
        <v>0</v>
      </c>
      <c r="N26">
        <v>6</v>
      </c>
      <c r="O26" s="18">
        <v>29.56</v>
      </c>
      <c r="P26" s="18">
        <v>33.700000000000003</v>
      </c>
      <c r="Q26" s="18">
        <v>35.39</v>
      </c>
      <c r="R26" s="18">
        <v>37.159999999999997</v>
      </c>
      <c r="S26" s="18">
        <v>50.31</v>
      </c>
      <c r="T26" s="18">
        <v>58.86</v>
      </c>
      <c r="U26" s="18">
        <v>65.930000000000007</v>
      </c>
      <c r="V26" s="18">
        <v>72.52</v>
      </c>
    </row>
    <row r="27" spans="1:24" ht="12.75" customHeight="1" x14ac:dyDescent="0.2">
      <c r="A27" s="2" t="e">
        <f t="shared" ca="1" si="2"/>
        <v>#N/A</v>
      </c>
      <c r="B27" s="4" t="e">
        <f t="shared" ca="1" si="12"/>
        <v>#N/A</v>
      </c>
      <c r="C27" s="17" t="e">
        <f t="shared" ca="1" si="4"/>
        <v>#N/A</v>
      </c>
      <c r="D27" s="17" t="e">
        <f t="shared" ca="1" si="5"/>
        <v>#N/A</v>
      </c>
      <c r="E27" s="47" t="e">
        <f t="shared" ca="1" si="6"/>
        <v>#N/A</v>
      </c>
      <c r="F27" s="171" t="e">
        <f t="shared" ca="1" si="7"/>
        <v>#N/A</v>
      </c>
      <c r="G27" s="19" t="e">
        <f t="shared" ca="1" si="8"/>
        <v>#N/A</v>
      </c>
      <c r="H27" s="19" t="e">
        <f t="shared" ca="1" si="9"/>
        <v>#N/A</v>
      </c>
      <c r="I27" s="19" t="e">
        <f ca="1">IF(OR($A27="",$N$1="",$M$16&lt;&gt;"C"),"",IFERROR(HLOOKUP($B27,$O$63:Z89,$N$1+1)*IF($D27&gt;42,$D27/30,1),0)+HLOOKUP($B27,$O$78:$Z$80,2)*MIN(3*IF($D27&gt;42,$D27/30,1),$J27)+HLOOKUP($B27,$O$78:$Z$80,3)*MAX(0,$J27-3*IF($D27&gt;42,$D27/30,1)))</f>
        <v>#N/A</v>
      </c>
      <c r="J27" s="55" t="e">
        <f t="shared" ca="1" si="13"/>
        <v>#N/A</v>
      </c>
      <c r="K27" t="e">
        <f t="shared" ca="1" si="0"/>
        <v>#N/A</v>
      </c>
      <c r="L27" s="142">
        <f t="shared" ca="1" si="1"/>
        <v>0</v>
      </c>
      <c r="N27">
        <v>7</v>
      </c>
      <c r="O27" s="18">
        <v>52.4</v>
      </c>
      <c r="P27" s="18">
        <v>59.74</v>
      </c>
      <c r="Q27" s="18">
        <v>62.73</v>
      </c>
      <c r="R27" s="18">
        <v>65.87</v>
      </c>
      <c r="S27" s="18">
        <v>89.04</v>
      </c>
      <c r="T27" s="18">
        <v>104.18</v>
      </c>
      <c r="U27" s="18">
        <v>116.68</v>
      </c>
      <c r="V27" s="18">
        <v>128.35</v>
      </c>
    </row>
    <row r="28" spans="1:24" ht="12.75" customHeight="1" x14ac:dyDescent="0.2">
      <c r="A28" s="2" t="e">
        <f t="shared" ca="1" si="2"/>
        <v>#N/A</v>
      </c>
      <c r="B28" s="4" t="e">
        <f t="shared" ca="1" si="12"/>
        <v>#N/A</v>
      </c>
      <c r="C28" s="17" t="e">
        <f t="shared" ca="1" si="4"/>
        <v>#N/A</v>
      </c>
      <c r="D28" s="17" t="e">
        <f t="shared" ca="1" si="5"/>
        <v>#N/A</v>
      </c>
      <c r="E28" s="47" t="e">
        <f t="shared" ca="1" si="6"/>
        <v>#N/A</v>
      </c>
      <c r="F28" s="171" t="e">
        <f t="shared" ca="1" si="7"/>
        <v>#N/A</v>
      </c>
      <c r="G28" s="19" t="e">
        <f t="shared" ca="1" si="8"/>
        <v>#N/A</v>
      </c>
      <c r="H28" s="19" t="e">
        <f t="shared" ca="1" si="9"/>
        <v>#N/A</v>
      </c>
      <c r="I28" s="19" t="e">
        <f ca="1">IF(OR($A28="",$N$1="",$M$16&lt;&gt;"C"),"",IFERROR(HLOOKUP($B28,$O$63:Z90,$N$1+1)*IF($D28&gt;42,$D28/30,1),0)+HLOOKUP($B28,$O$78:$Z$80,2)*MIN(3*IF($D28&gt;42,$D28/30,1),$J28)+HLOOKUP($B28,$O$78:$Z$80,3)*MAX(0,$J28-3*IF($D28&gt;42,$D28/30,1)))</f>
        <v>#N/A</v>
      </c>
      <c r="J28" s="55" t="e">
        <f t="shared" ca="1" si="13"/>
        <v>#N/A</v>
      </c>
      <c r="K28" t="e">
        <f t="shared" ca="1" si="0"/>
        <v>#N/A</v>
      </c>
      <c r="L28" s="142">
        <f t="shared" ca="1" si="1"/>
        <v>0</v>
      </c>
      <c r="N28">
        <v>8</v>
      </c>
      <c r="O28" s="18">
        <v>88.76</v>
      </c>
      <c r="P28" s="18">
        <v>101.19</v>
      </c>
      <c r="Q28" s="18">
        <v>106.25</v>
      </c>
      <c r="R28" s="18">
        <v>111.56</v>
      </c>
      <c r="S28" s="18">
        <v>150.69999999999999</v>
      </c>
      <c r="T28" s="18">
        <v>176.32</v>
      </c>
      <c r="U28" s="18">
        <v>197.48</v>
      </c>
      <c r="V28" s="18">
        <v>217.23</v>
      </c>
    </row>
    <row r="29" spans="1:24" ht="12.75" customHeight="1" x14ac:dyDescent="0.2">
      <c r="A29" s="2" t="e">
        <f t="shared" ca="1" si="2"/>
        <v>#N/A</v>
      </c>
      <c r="B29" s="4" t="e">
        <f t="shared" ca="1" si="12"/>
        <v>#N/A</v>
      </c>
      <c r="C29" s="17" t="e">
        <f t="shared" ca="1" si="4"/>
        <v>#N/A</v>
      </c>
      <c r="D29" s="17" t="e">
        <f t="shared" ca="1" si="5"/>
        <v>#N/A</v>
      </c>
      <c r="E29" s="47" t="e">
        <f t="shared" ca="1" si="6"/>
        <v>#N/A</v>
      </c>
      <c r="F29" s="171" t="e">
        <f t="shared" ca="1" si="7"/>
        <v>#N/A</v>
      </c>
      <c r="G29" s="19" t="e">
        <f t="shared" ca="1" si="8"/>
        <v>#N/A</v>
      </c>
      <c r="H29" s="19" t="e">
        <f t="shared" ca="1" si="9"/>
        <v>#N/A</v>
      </c>
      <c r="I29" s="19" t="e">
        <f ca="1">IF(OR($A29="",$N$1="",$M$16&lt;&gt;"C"),"",IFERROR(HLOOKUP($B29,$O$63:Z91,$N$1+1)*IF($D29&gt;42,$D29/30,1),0)+HLOOKUP($B29,$O$78:$Z$80,2)*MIN(3*IF($D29&gt;42,$D29/30,1),$J29)+HLOOKUP($B29,$O$78:$Z$80,3)*MAX(0,$J29-3*IF($D29&gt;42,$D29/30,1)))</f>
        <v>#N/A</v>
      </c>
      <c r="J29" s="55" t="e">
        <f t="shared" ca="1" si="13"/>
        <v>#N/A</v>
      </c>
      <c r="K29" t="e">
        <f t="shared" ca="1" si="0"/>
        <v>#N/A</v>
      </c>
      <c r="L29" s="142">
        <f t="shared" ca="1" si="1"/>
        <v>0</v>
      </c>
      <c r="N29">
        <v>9</v>
      </c>
      <c r="O29" s="18">
        <v>179.62</v>
      </c>
      <c r="P29" s="18">
        <v>204.77</v>
      </c>
      <c r="Q29" s="18">
        <v>215.01</v>
      </c>
      <c r="R29" s="18">
        <v>225.76</v>
      </c>
      <c r="S29" s="18">
        <v>305.64</v>
      </c>
      <c r="T29" s="18">
        <v>357.6</v>
      </c>
      <c r="U29" s="18">
        <v>400.51</v>
      </c>
      <c r="V29" s="18">
        <v>440.56</v>
      </c>
    </row>
    <row r="30" spans="1:24" ht="12.75" customHeight="1" x14ac:dyDescent="0.2">
      <c r="A30" s="2" t="e">
        <f t="shared" ca="1" si="2"/>
        <v>#N/A</v>
      </c>
      <c r="B30" s="4" t="e">
        <f t="shared" ca="1" si="12"/>
        <v>#N/A</v>
      </c>
      <c r="C30" s="17" t="e">
        <f t="shared" ca="1" si="4"/>
        <v>#N/A</v>
      </c>
      <c r="D30" s="17" t="e">
        <f t="shared" ca="1" si="5"/>
        <v>#N/A</v>
      </c>
      <c r="E30" s="47" t="e">
        <f t="shared" ca="1" si="6"/>
        <v>#N/A</v>
      </c>
      <c r="F30" s="171" t="e">
        <f t="shared" ca="1" si="7"/>
        <v>#N/A</v>
      </c>
      <c r="G30" s="19" t="e">
        <f t="shared" ca="1" si="8"/>
        <v>#N/A</v>
      </c>
      <c r="H30" s="19" t="e">
        <f t="shared" ca="1" si="9"/>
        <v>#N/A</v>
      </c>
      <c r="I30" s="19" t="e">
        <f ca="1">IF(OR($A30="",$N$1="",$M$16&lt;&gt;"C"),"",IFERROR(HLOOKUP($B30,$O$63:Z92,$N$1+1)*IF($D30&gt;42,$D30/30,1),0)+HLOOKUP($B30,$O$78:$Z$80,2)*MIN(3*IF($D30&gt;42,$D30/30,1),$J30)+HLOOKUP($B30,$O$78:$Z$80,3)*MAX(0,$J30-3*IF($D30&gt;42,$D30/30,1)))</f>
        <v>#N/A</v>
      </c>
      <c r="J30" s="55" t="e">
        <f t="shared" ca="1" si="13"/>
        <v>#N/A</v>
      </c>
      <c r="K30" t="e">
        <f t="shared" ca="1" si="0"/>
        <v>#N/A</v>
      </c>
      <c r="L30" s="142">
        <f t="shared" ca="1" si="1"/>
        <v>0</v>
      </c>
      <c r="N30">
        <v>10</v>
      </c>
      <c r="O30" s="18">
        <v>281.89999999999998</v>
      </c>
      <c r="P30" s="18">
        <v>321.37</v>
      </c>
      <c r="Q30" s="18">
        <v>337.44</v>
      </c>
      <c r="R30" s="18">
        <v>354.31</v>
      </c>
      <c r="S30" s="18">
        <v>479.55</v>
      </c>
      <c r="T30" s="18">
        <v>561.07000000000005</v>
      </c>
      <c r="U30" s="18">
        <v>628.4</v>
      </c>
      <c r="V30" s="18">
        <v>691.24</v>
      </c>
    </row>
    <row r="31" spans="1:24" ht="12.75" customHeight="1" x14ac:dyDescent="0.2">
      <c r="A31" s="2" t="e">
        <f t="shared" ca="1" si="2"/>
        <v>#N/A</v>
      </c>
      <c r="B31" s="4" t="e">
        <f t="shared" ca="1" si="12"/>
        <v>#N/A</v>
      </c>
      <c r="C31" s="17" t="e">
        <f t="shared" ca="1" si="4"/>
        <v>#N/A</v>
      </c>
      <c r="D31" s="17" t="e">
        <f t="shared" ca="1" si="5"/>
        <v>#N/A</v>
      </c>
      <c r="E31" s="47" t="e">
        <f t="shared" ca="1" si="6"/>
        <v>#N/A</v>
      </c>
      <c r="F31" s="171" t="e">
        <f t="shared" ca="1" si="7"/>
        <v>#N/A</v>
      </c>
      <c r="G31" s="19" t="e">
        <f t="shared" ca="1" si="8"/>
        <v>#N/A</v>
      </c>
      <c r="H31" s="19" t="e">
        <f t="shared" ca="1" si="9"/>
        <v>#N/A</v>
      </c>
      <c r="I31" s="19" t="e">
        <f ca="1">IF(OR($A31="",$N$1="",$M$16&lt;&gt;"C"),"",IFERROR(HLOOKUP($B31,$O$63:Z93,$N$1+1)*IF($D31&gt;42,$D31/30,1),0)+HLOOKUP($B31,$O$78:$Z$80,2)*MIN(3*IF($D31&gt;42,$D31/30,1),$J31)+HLOOKUP($B31,$O$78:$Z$80,3)*MAX(0,$J31-3*IF($D31&gt;42,$D31/30,1)))</f>
        <v>#N/A</v>
      </c>
      <c r="J31" s="55" t="e">
        <f t="shared" ca="1" si="13"/>
        <v>#N/A</v>
      </c>
      <c r="K31" t="e">
        <f t="shared" ca="1" si="0"/>
        <v>#N/A</v>
      </c>
      <c r="L31" s="142">
        <f t="shared" ca="1" si="1"/>
        <v>0</v>
      </c>
      <c r="N31">
        <v>11</v>
      </c>
      <c r="O31" s="18">
        <v>465.1</v>
      </c>
      <c r="P31" s="18">
        <v>530.21</v>
      </c>
      <c r="Q31" s="18">
        <v>556.72</v>
      </c>
      <c r="R31" s="18">
        <v>584.55999999999995</v>
      </c>
      <c r="S31" s="18">
        <v>791.33</v>
      </c>
      <c r="T31" s="18">
        <v>925.86</v>
      </c>
      <c r="U31" s="18">
        <v>1036.96</v>
      </c>
      <c r="V31" s="18">
        <v>1140.6500000000001</v>
      </c>
    </row>
    <row r="32" spans="1:24" ht="12.75" customHeight="1" x14ac:dyDescent="0.2">
      <c r="A32" s="2" t="e">
        <f t="shared" ca="1" si="2"/>
        <v>#N/A</v>
      </c>
      <c r="B32" s="4" t="e">
        <f t="shared" ca="1" si="12"/>
        <v>#N/A</v>
      </c>
      <c r="C32" s="17" t="e">
        <f t="shared" ca="1" si="4"/>
        <v>#N/A</v>
      </c>
      <c r="D32" s="17" t="e">
        <f t="shared" ca="1" si="5"/>
        <v>#N/A</v>
      </c>
      <c r="E32" s="47" t="e">
        <f t="shared" ca="1" si="6"/>
        <v>#N/A</v>
      </c>
      <c r="F32" s="171" t="e">
        <f t="shared" ca="1" si="7"/>
        <v>#N/A</v>
      </c>
      <c r="G32" s="19" t="e">
        <f t="shared" ca="1" si="8"/>
        <v>#N/A</v>
      </c>
      <c r="H32" s="19" t="e">
        <f t="shared" ca="1" si="9"/>
        <v>#N/A</v>
      </c>
      <c r="I32" s="19" t="e">
        <f ca="1">IF(OR($A32="",$N$1="",$M$16&lt;&gt;"C"),"",IFERROR(HLOOKUP($B32,$O$63:Z94,$N$1+1)*IF($D32&gt;42,$D32/30,1),0)+HLOOKUP($B32,$O$78:$Z$80,2)*MIN(3*IF($D32&gt;42,$D32/30,1),$J32)+HLOOKUP($B32,$O$78:$Z$80,3)*MAX(0,$J32-3*IF($D32&gt;42,$D32/30,1)))</f>
        <v>#N/A</v>
      </c>
      <c r="J32" s="55" t="e">
        <f t="shared" ca="1" si="13"/>
        <v>#N/A</v>
      </c>
      <c r="K32" t="e">
        <f t="shared" ca="1" si="0"/>
        <v>#N/A</v>
      </c>
      <c r="L32" s="142">
        <f t="shared" ca="1" si="1"/>
        <v>0</v>
      </c>
    </row>
    <row r="33" spans="1:22" ht="12.75" customHeight="1" x14ac:dyDescent="0.2">
      <c r="A33" s="2" t="e">
        <f t="shared" ca="1" si="2"/>
        <v>#N/A</v>
      </c>
      <c r="B33" s="4" t="e">
        <f t="shared" ca="1" si="12"/>
        <v>#N/A</v>
      </c>
      <c r="C33" s="17" t="e">
        <f t="shared" ca="1" si="4"/>
        <v>#N/A</v>
      </c>
      <c r="D33" s="17" t="e">
        <f t="shared" ca="1" si="5"/>
        <v>#N/A</v>
      </c>
      <c r="E33" s="47" t="e">
        <f t="shared" ca="1" si="6"/>
        <v>#N/A</v>
      </c>
      <c r="F33" s="171" t="e">
        <f t="shared" ca="1" si="7"/>
        <v>#N/A</v>
      </c>
      <c r="G33" s="19" t="e">
        <f t="shared" ca="1" si="8"/>
        <v>#N/A</v>
      </c>
      <c r="H33" s="19" t="e">
        <f t="shared" ca="1" si="9"/>
        <v>#N/A</v>
      </c>
      <c r="I33" s="19" t="e">
        <f ca="1">IF(OR($A33="",$N$1="",$M$16&lt;&gt;"C"),"",IFERROR(HLOOKUP($B33,$O$63:Z95,$N$1+1)*IF($D33&gt;42,$D33/30,1),0)+HLOOKUP($B33,$O$78:$Z$80,2)*MIN(3*IF($D33&gt;42,$D33/30,1),$J33)+HLOOKUP($B33,$O$78:$Z$80,3)*MAX(0,$J33-3*IF($D33&gt;42,$D33/30,1)))</f>
        <v>#N/A</v>
      </c>
      <c r="J33" s="55" t="e">
        <f t="shared" ca="1" si="13"/>
        <v>#N/A</v>
      </c>
      <c r="K33" t="e">
        <f t="shared" ca="1" si="0"/>
        <v>#N/A</v>
      </c>
      <c r="L33" s="142">
        <f t="shared" ca="1" si="1"/>
        <v>0</v>
      </c>
      <c r="O33" s="82">
        <f>+ROUND((V36-O36)/O36,2)</f>
        <v>0.98</v>
      </c>
      <c r="P33" s="82">
        <f t="shared" ref="P33" si="14">+ROUND((P36-O36)/O36,2)</f>
        <v>0.14000000000000001</v>
      </c>
      <c r="Q33" s="82">
        <f t="shared" ref="Q33:V33" si="15">+ROUND((Q36-P36)/P36,2)</f>
        <v>0.05</v>
      </c>
      <c r="R33" s="82">
        <f t="shared" si="15"/>
        <v>0.06</v>
      </c>
      <c r="S33" s="82">
        <f t="shared" si="15"/>
        <v>0.09</v>
      </c>
      <c r="T33" s="82">
        <f t="shared" si="15"/>
        <v>0.17</v>
      </c>
      <c r="U33" s="82">
        <f t="shared" si="15"/>
        <v>0.12</v>
      </c>
      <c r="V33" s="82">
        <f t="shared" si="15"/>
        <v>0.1</v>
      </c>
    </row>
    <row r="34" spans="1:22" ht="12.75" customHeight="1" x14ac:dyDescent="0.2">
      <c r="A34" s="2" t="e">
        <f t="shared" ca="1" si="2"/>
        <v>#N/A</v>
      </c>
      <c r="B34" s="4" t="e">
        <f t="shared" ca="1" si="12"/>
        <v>#N/A</v>
      </c>
      <c r="C34" s="17" t="e">
        <f t="shared" ca="1" si="4"/>
        <v>#N/A</v>
      </c>
      <c r="D34" s="17" t="e">
        <f t="shared" ca="1" si="5"/>
        <v>#N/A</v>
      </c>
      <c r="E34" s="47" t="e">
        <f t="shared" ca="1" si="6"/>
        <v>#N/A</v>
      </c>
      <c r="F34" s="171" t="e">
        <f t="shared" ca="1" si="7"/>
        <v>#N/A</v>
      </c>
      <c r="G34" s="19" t="e">
        <f t="shared" ca="1" si="8"/>
        <v>#N/A</v>
      </c>
      <c r="H34" s="19" t="e">
        <f t="shared" ca="1" si="9"/>
        <v>#N/A</v>
      </c>
      <c r="I34" s="19" t="e">
        <f ca="1">IF(OR($A34="",$N$1="",$M$16&lt;&gt;"C"),"",IFERROR(HLOOKUP($B34,$O$63:Z96,$N$1+1)*IF($D34&gt;42,$D34/30,1),0)+HLOOKUP($B34,$O$78:$Z$80,2)*MIN(3*IF($D34&gt;42,$D34/30,1),$J34)+HLOOKUP($B34,$O$78:$Z$80,3)*MAX(0,$J34-3*IF($D34&gt;42,$D34/30,1)))</f>
        <v>#N/A</v>
      </c>
      <c r="J34" s="55" t="e">
        <f t="shared" ca="1" si="13"/>
        <v>#N/A</v>
      </c>
      <c r="K34" t="e">
        <f t="shared" ca="1" si="0"/>
        <v>#N/A</v>
      </c>
      <c r="L34" s="142">
        <f t="shared" ca="1" si="1"/>
        <v>0</v>
      </c>
      <c r="N34" s="1" t="s">
        <v>129</v>
      </c>
      <c r="P34" s="148" t="s">
        <v>214</v>
      </c>
    </row>
    <row r="35" spans="1:22" ht="12.75" customHeight="1" x14ac:dyDescent="0.2">
      <c r="A35" s="2" t="e">
        <f t="shared" ca="1" si="2"/>
        <v>#N/A</v>
      </c>
      <c r="B35" s="4" t="e">
        <f t="shared" ca="1" si="12"/>
        <v>#N/A</v>
      </c>
      <c r="C35" s="17" t="e">
        <f t="shared" ca="1" si="4"/>
        <v>#N/A</v>
      </c>
      <c r="D35" s="17" t="e">
        <f t="shared" ca="1" si="5"/>
        <v>#N/A</v>
      </c>
      <c r="E35" s="47" t="e">
        <f t="shared" ca="1" si="6"/>
        <v>#N/A</v>
      </c>
      <c r="F35" s="171" t="e">
        <f t="shared" ca="1" si="7"/>
        <v>#N/A</v>
      </c>
      <c r="G35" s="19" t="e">
        <f t="shared" ca="1" si="8"/>
        <v>#N/A</v>
      </c>
      <c r="H35" s="19" t="e">
        <f t="shared" ca="1" si="9"/>
        <v>#N/A</v>
      </c>
      <c r="I35" s="19" t="e">
        <f ca="1">IF(OR($A35="",$N$1="",$M$16&lt;&gt;"C"),"",IFERROR(HLOOKUP($B35,$O$63:Z97,$N$1+1)*IF($D35&gt;42,$D35/30,1),0)+HLOOKUP($B35,$O$78:$Z$80,2)*MIN(3*IF($D35&gt;42,$D35/30,1),$J35)+HLOOKUP($B35,$O$78:$Z$80,3)*MAX(0,$J35-3*IF($D35&gt;42,$D35/30,1)))</f>
        <v>#N/A</v>
      </c>
      <c r="J35" s="55" t="e">
        <f t="shared" ca="1" si="13"/>
        <v>#N/A</v>
      </c>
      <c r="K35" t="e">
        <f t="shared" ca="1" si="0"/>
        <v>#N/A</v>
      </c>
      <c r="L35" s="142">
        <f t="shared" ca="1" si="1"/>
        <v>0</v>
      </c>
      <c r="O35" s="84">
        <v>35217</v>
      </c>
      <c r="P35" s="84">
        <f>+DATE(2003,11,1)</f>
        <v>37926</v>
      </c>
      <c r="Q35" s="84">
        <f>+DATE(2004,4,1)</f>
        <v>38078</v>
      </c>
      <c r="R35" s="84">
        <v>38261</v>
      </c>
      <c r="S35" s="84">
        <f>DATE(2008,5,1)</f>
        <v>39569</v>
      </c>
      <c r="T35" s="84">
        <f>DATE(2009,3,1)</f>
        <v>39873</v>
      </c>
      <c r="U35" s="84">
        <f>DATE(2010,3,1)</f>
        <v>40238</v>
      </c>
      <c r="V35" s="84">
        <f>DATE(2011,3,1)</f>
        <v>40603</v>
      </c>
    </row>
    <row r="36" spans="1:22" ht="12.75" customHeight="1" x14ac:dyDescent="0.2">
      <c r="A36" s="2" t="e">
        <f t="shared" ca="1" si="2"/>
        <v>#N/A</v>
      </c>
      <c r="B36" s="4" t="e">
        <f t="shared" ca="1" si="12"/>
        <v>#N/A</v>
      </c>
      <c r="C36" s="17" t="e">
        <f t="shared" ca="1" si="4"/>
        <v>#N/A</v>
      </c>
      <c r="D36" s="17" t="e">
        <f t="shared" ca="1" si="5"/>
        <v>#N/A</v>
      </c>
      <c r="E36" s="47" t="e">
        <f t="shared" ca="1" si="6"/>
        <v>#N/A</v>
      </c>
      <c r="F36" s="171" t="e">
        <f t="shared" ca="1" si="7"/>
        <v>#N/A</v>
      </c>
      <c r="G36" s="19" t="e">
        <f t="shared" ca="1" si="8"/>
        <v>#N/A</v>
      </c>
      <c r="H36" s="19" t="e">
        <f t="shared" ca="1" si="9"/>
        <v>#N/A</v>
      </c>
      <c r="I36" s="19" t="e">
        <f ca="1">IF(OR($A36="",$N$1="",$M$16&lt;&gt;"C"),"",IFERROR(HLOOKUP($B36,$O$63:Z98,$N$1+1)*IF($D36&gt;42,$D36/30,1),0)+HLOOKUP($B36,$O$78:$Z$80,2)*MIN(3*IF($D36&gt;42,$D36/30,1),$J36)+HLOOKUP($B36,$O$78:$Z$80,3)*MAX(0,$J36-3*IF($D36&gt;42,$D36/30,1)))</f>
        <v>#N/A</v>
      </c>
      <c r="J36" s="55" t="e">
        <f t="shared" ca="1" si="13"/>
        <v>#N/A</v>
      </c>
      <c r="K36" t="e">
        <f t="shared" ca="1" si="0"/>
        <v>#N/A</v>
      </c>
      <c r="L36" s="142">
        <f t="shared" ca="1" si="1"/>
        <v>0</v>
      </c>
      <c r="N36" s="85" t="s">
        <v>130</v>
      </c>
      <c r="O36" s="18">
        <v>0.83</v>
      </c>
      <c r="P36" s="18">
        <f>+O36*(1.14)</f>
        <v>0.94619999999999982</v>
      </c>
      <c r="Q36" s="18">
        <f>+P36*(1.05)</f>
        <v>0.99350999999999989</v>
      </c>
      <c r="R36" s="18">
        <v>1.05</v>
      </c>
      <c r="S36" s="18">
        <v>1.1399999999999999</v>
      </c>
      <c r="T36" s="18">
        <v>1.33</v>
      </c>
      <c r="U36" s="18">
        <v>1.49</v>
      </c>
      <c r="V36" s="18">
        <v>1.64</v>
      </c>
    </row>
    <row r="37" spans="1:22" ht="12.75" customHeight="1" x14ac:dyDescent="0.2">
      <c r="A37" s="2" t="e">
        <f t="shared" ca="1" si="2"/>
        <v>#N/A</v>
      </c>
      <c r="B37" s="4" t="e">
        <f t="shared" ca="1" si="12"/>
        <v>#N/A</v>
      </c>
      <c r="C37" s="17" t="e">
        <f t="shared" ca="1" si="4"/>
        <v>#N/A</v>
      </c>
      <c r="D37" s="17" t="e">
        <f t="shared" ca="1" si="5"/>
        <v>#N/A</v>
      </c>
      <c r="E37" s="47" t="e">
        <f t="shared" ca="1" si="6"/>
        <v>#N/A</v>
      </c>
      <c r="F37" s="171" t="e">
        <f t="shared" ca="1" si="7"/>
        <v>#N/A</v>
      </c>
      <c r="G37" s="19" t="e">
        <f t="shared" ca="1" si="8"/>
        <v>#N/A</v>
      </c>
      <c r="H37" s="19" t="e">
        <f t="shared" ca="1" si="9"/>
        <v>#N/A</v>
      </c>
      <c r="I37" s="19" t="e">
        <f ca="1">IF(OR($A37="",$N$1="",$M$16&lt;&gt;"C"),"",IFERROR(HLOOKUP($B37,$O$63:Z99,$N$1+1)*IF($D37&gt;42,$D37/30,1),0)+HLOOKUP($B37,$O$78:$Z$80,2)*MIN(3*IF($D37&gt;42,$D37/30,1),$J37)+HLOOKUP($B37,$O$78:$Z$80,3)*MAX(0,$J37-3*IF($D37&gt;42,$D37/30,1)))</f>
        <v>#N/A</v>
      </c>
      <c r="J37" s="55" t="e">
        <f t="shared" ca="1" si="13"/>
        <v>#N/A</v>
      </c>
      <c r="K37" t="e">
        <f t="shared" ca="1" si="0"/>
        <v>#N/A</v>
      </c>
      <c r="L37" s="142">
        <f t="shared" ca="1" si="1"/>
        <v>0</v>
      </c>
      <c r="N37" s="85" t="s">
        <v>133</v>
      </c>
      <c r="O37" s="18">
        <v>1.17</v>
      </c>
      <c r="P37" s="18">
        <f>+O37*(1.14)</f>
        <v>1.3337999999999999</v>
      </c>
      <c r="Q37" s="18">
        <f>+P37*(1.05)</f>
        <v>1.40049</v>
      </c>
      <c r="R37" s="18">
        <v>1.47</v>
      </c>
      <c r="S37" s="18">
        <v>1.83</v>
      </c>
      <c r="T37" s="18">
        <v>2.14</v>
      </c>
      <c r="U37" s="18">
        <v>2.4</v>
      </c>
      <c r="V37" s="18">
        <v>2.64</v>
      </c>
    </row>
    <row r="38" spans="1:22" ht="12.75" customHeight="1" x14ac:dyDescent="0.2">
      <c r="A38" s="2" t="e">
        <f t="shared" ca="1" si="2"/>
        <v>#N/A</v>
      </c>
      <c r="B38" s="4" t="e">
        <f t="shared" ca="1" si="12"/>
        <v>#N/A</v>
      </c>
      <c r="C38" s="17" t="e">
        <f t="shared" ca="1" si="4"/>
        <v>#N/A</v>
      </c>
      <c r="D38" s="17" t="e">
        <f t="shared" ca="1" si="5"/>
        <v>#N/A</v>
      </c>
      <c r="E38" s="47" t="e">
        <f t="shared" ca="1" si="6"/>
        <v>#N/A</v>
      </c>
      <c r="F38" s="171" t="e">
        <f t="shared" ca="1" si="7"/>
        <v>#N/A</v>
      </c>
      <c r="G38" s="19" t="e">
        <f t="shared" ca="1" si="8"/>
        <v>#N/A</v>
      </c>
      <c r="H38" s="19" t="e">
        <f t="shared" ca="1" si="9"/>
        <v>#N/A</v>
      </c>
      <c r="I38" s="19" t="e">
        <f ca="1">IF(OR($A38="",$N$1="",$M$16&lt;&gt;"C"),"",IFERROR(HLOOKUP($B38,$O$63:Z100,$N$1+1)*IF($D38&gt;42,$D38/30,1),0)+HLOOKUP($B38,$O$78:$Z$80,2)*MIN(3*IF($D38&gt;42,$D38/30,1),$J38)+HLOOKUP($B38,$O$78:$Z$80,3)*MAX(0,$J38-3*IF($D38&gt;42,$D38/30,1)))</f>
        <v>#N/A</v>
      </c>
      <c r="J38" s="55" t="e">
        <f t="shared" ca="1" si="13"/>
        <v>#N/A</v>
      </c>
      <c r="K38" t="e">
        <f t="shared" ca="1" si="0"/>
        <v>#N/A</v>
      </c>
      <c r="L38" s="142">
        <f t="shared" ca="1" si="1"/>
        <v>0</v>
      </c>
      <c r="N38" s="86" t="s">
        <v>134</v>
      </c>
      <c r="O38" s="18">
        <v>1.17</v>
      </c>
      <c r="P38" s="18">
        <f>+O38*(1.14)</f>
        <v>1.3337999999999999</v>
      </c>
      <c r="Q38" s="18">
        <f>+P38*(1.05)</f>
        <v>1.40049</v>
      </c>
      <c r="R38" s="18">
        <v>1.47</v>
      </c>
      <c r="S38" s="18">
        <v>1.9</v>
      </c>
      <c r="T38" s="18">
        <v>2.2200000000000002</v>
      </c>
      <c r="U38" s="18">
        <v>2.4900000000000002</v>
      </c>
      <c r="V38" s="18">
        <v>2.74</v>
      </c>
    </row>
    <row r="39" spans="1:22" ht="12.75" customHeight="1" x14ac:dyDescent="0.2">
      <c r="A39" s="2" t="e">
        <f t="shared" ca="1" si="2"/>
        <v>#N/A</v>
      </c>
      <c r="B39" s="4" t="e">
        <f t="shared" ca="1" si="12"/>
        <v>#N/A</v>
      </c>
      <c r="C39" s="17" t="e">
        <f t="shared" ca="1" si="4"/>
        <v>#N/A</v>
      </c>
      <c r="D39" s="17" t="e">
        <f t="shared" ca="1" si="5"/>
        <v>#N/A</v>
      </c>
      <c r="E39" s="47" t="e">
        <f t="shared" ca="1" si="6"/>
        <v>#N/A</v>
      </c>
      <c r="F39" s="171" t="e">
        <f t="shared" ca="1" si="7"/>
        <v>#N/A</v>
      </c>
      <c r="G39" s="19" t="e">
        <f t="shared" ca="1" si="8"/>
        <v>#N/A</v>
      </c>
      <c r="H39" s="19" t="e">
        <f t="shared" ca="1" si="9"/>
        <v>#N/A</v>
      </c>
      <c r="I39" s="19" t="e">
        <f ca="1">IF(OR($A39="",$N$1="",$M$16&lt;&gt;"C"),"",IFERROR(HLOOKUP($B39,$O$63:Z101,$N$1+1)*IF($D39&gt;42,$D39/30,1),0)+HLOOKUP($B39,$O$78:$Z$80,2)*MIN(3*IF($D39&gt;42,$D39/30,1),$J39)+HLOOKUP($B39,$O$78:$Z$80,3)*MAX(0,$J39-3*IF($D39&gt;42,$D39/30,1)))</f>
        <v>#N/A</v>
      </c>
      <c r="J39" s="55" t="e">
        <f t="shared" ca="1" si="13"/>
        <v>#N/A</v>
      </c>
      <c r="K39" t="e">
        <f t="shared" ca="1" si="0"/>
        <v>#N/A</v>
      </c>
      <c r="L39" s="142">
        <f t="shared" ca="1" si="1"/>
        <v>0</v>
      </c>
      <c r="N39" s="86" t="s">
        <v>131</v>
      </c>
      <c r="O39" s="18">
        <v>1.01</v>
      </c>
      <c r="P39" s="18">
        <f>+O39*(1.14)</f>
        <v>1.1514</v>
      </c>
      <c r="Q39" s="18">
        <f>+P39*(1.05)</f>
        <v>1.2089700000000001</v>
      </c>
      <c r="R39" s="18">
        <v>1.27</v>
      </c>
      <c r="S39" s="18">
        <v>1.9</v>
      </c>
      <c r="T39" s="18">
        <v>2.2200000000000002</v>
      </c>
      <c r="U39" s="18">
        <v>2.4900000000000002</v>
      </c>
      <c r="V39" s="18">
        <v>2.74</v>
      </c>
    </row>
    <row r="40" spans="1:22" ht="12.75" customHeight="1" x14ac:dyDescent="0.2">
      <c r="A40" s="2" t="e">
        <f t="shared" ca="1" si="2"/>
        <v>#N/A</v>
      </c>
      <c r="B40" s="4" t="e">
        <f t="shared" ca="1" si="3"/>
        <v>#N/A</v>
      </c>
      <c r="C40" s="17" t="e">
        <f t="shared" ca="1" si="4"/>
        <v>#N/A</v>
      </c>
      <c r="D40" s="17" t="e">
        <f t="shared" ca="1" si="5"/>
        <v>#N/A</v>
      </c>
      <c r="E40" s="47" t="e">
        <f t="shared" ca="1" si="6"/>
        <v>#N/A</v>
      </c>
      <c r="F40" s="7" t="e">
        <f t="shared" ca="1" si="7"/>
        <v>#N/A</v>
      </c>
      <c r="G40" s="19" t="e">
        <f t="shared" ca="1" si="8"/>
        <v>#N/A</v>
      </c>
      <c r="H40" s="19" t="e">
        <f t="shared" ca="1" si="9"/>
        <v>#N/A</v>
      </c>
      <c r="I40" s="19" t="e">
        <f ca="1">IF(OR($A40="",$N$1="",$M$16&lt;&gt;"C"),"",IFERROR(HLOOKUP($B40,$O$63:Z102,$N$1+1)*IF($D40&gt;42,$D40/30,1),0)+HLOOKUP($B40,$O$78:$Z$80,2)*MIN(3*IF($D40&gt;42,$D40/30,1),$J40)+HLOOKUP($B40,$O$78:$Z$80,3)*MAX(0,$J40-3*IF($D40&gt;42,$D40/30,1)))</f>
        <v>#N/A</v>
      </c>
      <c r="J40" s="55" t="e">
        <f t="shared" ca="1" si="10"/>
        <v>#N/A</v>
      </c>
      <c r="K40" t="e">
        <f t="shared" ca="1" si="0"/>
        <v>#N/A</v>
      </c>
      <c r="L40" s="142">
        <f t="shared" ca="1" si="1"/>
        <v>0</v>
      </c>
    </row>
    <row r="41" spans="1:22" ht="12.75" customHeight="1" x14ac:dyDescent="0.2">
      <c r="A41" s="2" t="e">
        <f t="shared" ca="1" si="2"/>
        <v>#N/A</v>
      </c>
      <c r="B41" s="4" t="e">
        <f t="shared" ca="1" si="3"/>
        <v>#N/A</v>
      </c>
      <c r="C41" s="17" t="e">
        <f t="shared" ca="1" si="4"/>
        <v>#N/A</v>
      </c>
      <c r="D41" s="17" t="e">
        <f t="shared" ca="1" si="5"/>
        <v>#N/A</v>
      </c>
      <c r="E41" s="47" t="e">
        <f t="shared" ca="1" si="6"/>
        <v>#N/A</v>
      </c>
      <c r="F41" s="7" t="e">
        <f t="shared" ca="1" si="7"/>
        <v>#N/A</v>
      </c>
      <c r="G41" s="19" t="e">
        <f t="shared" ca="1" si="8"/>
        <v>#N/A</v>
      </c>
      <c r="H41" s="19" t="e">
        <f t="shared" ca="1" si="9"/>
        <v>#N/A</v>
      </c>
      <c r="I41" s="19" t="e">
        <f ca="1">IF(OR($A41="",$N$1="",$M$16&lt;&gt;"C"),"",IFERROR(HLOOKUP($B41,$O$63:Z103,$N$1+1)*IF($D41&gt;42,$D41/30,1),0)+HLOOKUP($B41,$O$78:$Z$80,2)*MIN(3*IF($D41&gt;42,$D41/30,1),$J41)+HLOOKUP($B41,$O$78:$Z$80,3)*MAX(0,$J41-3*IF($D41&gt;42,$D41/30,1)))</f>
        <v>#N/A</v>
      </c>
      <c r="J41" s="55" t="e">
        <f t="shared" ca="1" si="10"/>
        <v>#N/A</v>
      </c>
      <c r="K41" t="e">
        <f t="shared" ca="1" si="0"/>
        <v>#N/A</v>
      </c>
      <c r="L41" s="142">
        <f t="shared" ca="1" si="1"/>
        <v>0</v>
      </c>
      <c r="O41" s="82">
        <f>+ROUND((V44-O44)/O44,2)</f>
        <v>2.2200000000000002</v>
      </c>
      <c r="P41" s="82">
        <f t="shared" ref="P41" si="16">+ROUND((P44-O44)/O44,2)</f>
        <v>0.61</v>
      </c>
      <c r="Q41" s="82">
        <f t="shared" ref="Q41:V41" si="17">+ROUND((Q44-P44)/P44,2)</f>
        <v>0.05</v>
      </c>
      <c r="R41" s="82">
        <f t="shared" si="17"/>
        <v>0.05</v>
      </c>
      <c r="S41" s="82">
        <f t="shared" si="17"/>
        <v>0.26</v>
      </c>
      <c r="T41" s="82">
        <f t="shared" si="17"/>
        <v>0.17</v>
      </c>
      <c r="U41" s="82">
        <f t="shared" si="17"/>
        <v>0.12</v>
      </c>
      <c r="V41" s="82">
        <f t="shared" si="17"/>
        <v>0.1</v>
      </c>
    </row>
    <row r="42" spans="1:22" ht="12.75" customHeight="1" x14ac:dyDescent="0.2">
      <c r="A42" s="2" t="e">
        <f t="shared" ca="1" si="2"/>
        <v>#N/A</v>
      </c>
      <c r="B42" s="4" t="e">
        <f t="shared" ca="1" si="3"/>
        <v>#N/A</v>
      </c>
      <c r="C42" s="17" t="e">
        <f t="shared" ca="1" si="4"/>
        <v>#N/A</v>
      </c>
      <c r="D42" s="17" t="e">
        <f t="shared" ca="1" si="5"/>
        <v>#N/A</v>
      </c>
      <c r="E42" s="47" t="e">
        <f t="shared" ca="1" si="6"/>
        <v>#N/A</v>
      </c>
      <c r="F42" s="7" t="e">
        <f t="shared" ca="1" si="7"/>
        <v>#N/A</v>
      </c>
      <c r="G42" s="19" t="e">
        <f t="shared" ca="1" si="8"/>
        <v>#N/A</v>
      </c>
      <c r="H42" s="19" t="e">
        <f t="shared" ca="1" si="9"/>
        <v>#N/A</v>
      </c>
      <c r="I42" s="19" t="e">
        <f ca="1">IF(OR($A42="",$N$1="",$M$16&lt;&gt;"C"),"",IFERROR(HLOOKUP($B42,$O$63:Z104,$N$1+1)*IF($D42&gt;42,$D42/30,1),0)+HLOOKUP($B42,$O$78:$Z$80,2)*MIN(3*IF($D42&gt;42,$D42/30,1),$J42)+HLOOKUP($B42,$O$78:$Z$80,3)*MAX(0,$J42-3*IF($D42&gt;42,$D42/30,1)))</f>
        <v>#N/A</v>
      </c>
      <c r="J42" s="55" t="e">
        <f t="shared" ca="1" si="10"/>
        <v>#N/A</v>
      </c>
      <c r="K42" t="e">
        <f t="shared" ca="1" si="0"/>
        <v>#N/A</v>
      </c>
      <c r="L42" s="142">
        <f t="shared" ca="1" si="1"/>
        <v>0</v>
      </c>
      <c r="N42" s="1" t="s">
        <v>129</v>
      </c>
      <c r="P42" s="148" t="s">
        <v>215</v>
      </c>
    </row>
    <row r="43" spans="1:22" ht="12.75" customHeight="1" x14ac:dyDescent="0.2">
      <c r="A43" s="2" t="e">
        <f t="shared" ca="1" si="2"/>
        <v>#N/A</v>
      </c>
      <c r="B43" s="4" t="e">
        <f t="shared" ca="1" si="3"/>
        <v>#N/A</v>
      </c>
      <c r="C43" s="17" t="e">
        <f t="shared" ca="1" si="4"/>
        <v>#N/A</v>
      </c>
      <c r="D43" s="17" t="e">
        <f t="shared" ca="1" si="5"/>
        <v>#N/A</v>
      </c>
      <c r="E43" s="47" t="e">
        <f t="shared" ca="1" si="6"/>
        <v>#N/A</v>
      </c>
      <c r="F43" s="7" t="e">
        <f t="shared" ca="1" si="7"/>
        <v>#N/A</v>
      </c>
      <c r="G43" s="19" t="e">
        <f t="shared" ca="1" si="8"/>
        <v>#N/A</v>
      </c>
      <c r="H43" s="19" t="e">
        <f t="shared" ca="1" si="9"/>
        <v>#N/A</v>
      </c>
      <c r="I43" s="19" t="e">
        <f ca="1">IF(OR($A43="",$N$1="",$M$16&lt;&gt;"C"),"",IFERROR(HLOOKUP($B43,$O$63:Z105,$N$1+1)*IF($D43&gt;42,$D43/30,1),0)+HLOOKUP($B43,$O$78:$Z$80,2)*MIN(3*IF($D43&gt;42,$D43/30,1),$J43)+HLOOKUP($B43,$O$78:$Z$80,3)*MAX(0,$J43-3*IF($D43&gt;42,$D43/30,1)))</f>
        <v>#N/A</v>
      </c>
      <c r="J43" s="55" t="e">
        <f t="shared" ca="1" si="10"/>
        <v>#N/A</v>
      </c>
      <c r="K43" t="e">
        <f t="shared" ca="1" si="0"/>
        <v>#N/A</v>
      </c>
      <c r="L43" s="142">
        <f t="shared" ca="1" si="1"/>
        <v>0</v>
      </c>
      <c r="O43" s="84">
        <v>35217</v>
      </c>
      <c r="P43" s="84">
        <f>+DATE(2003,11,1)</f>
        <v>37926</v>
      </c>
      <c r="Q43" s="84">
        <f>+DATE(2004,4,1)</f>
        <v>38078</v>
      </c>
      <c r="R43" s="84">
        <v>38261</v>
      </c>
      <c r="S43" s="84">
        <f>DATE(2008,5,1)</f>
        <v>39569</v>
      </c>
      <c r="T43" s="84">
        <f>DATE(2009,3,1)</f>
        <v>39873</v>
      </c>
      <c r="U43" s="84">
        <f>DATE(2010,3,1)</f>
        <v>40238</v>
      </c>
      <c r="V43" s="84">
        <f>DATE(2011,3,1)</f>
        <v>40603</v>
      </c>
    </row>
    <row r="44" spans="1:22" ht="12.75" customHeight="1" x14ac:dyDescent="0.2">
      <c r="A44" s="2" t="e">
        <f t="shared" ca="1" si="2"/>
        <v>#N/A</v>
      </c>
      <c r="B44" s="4" t="e">
        <f t="shared" ca="1" si="3"/>
        <v>#N/A</v>
      </c>
      <c r="C44" s="17" t="e">
        <f t="shared" ca="1" si="4"/>
        <v>#N/A</v>
      </c>
      <c r="D44" s="17" t="e">
        <f t="shared" ca="1" si="5"/>
        <v>#N/A</v>
      </c>
      <c r="E44" s="47" t="e">
        <f t="shared" ca="1" si="6"/>
        <v>#N/A</v>
      </c>
      <c r="F44" s="7" t="e">
        <f t="shared" ca="1" si="7"/>
        <v>#N/A</v>
      </c>
      <c r="G44" s="19" t="e">
        <f t="shared" ca="1" si="8"/>
        <v>#N/A</v>
      </c>
      <c r="H44" s="19" t="e">
        <f t="shared" ca="1" si="9"/>
        <v>#N/A</v>
      </c>
      <c r="I44" s="19" t="e">
        <f ca="1">IF(OR($A44="",$N$1="",$M$16&lt;&gt;"C"),"",IFERROR(HLOOKUP($B44,$O$63:Z106,$N$1+1)*IF($D44&gt;42,$D44/30,1),0)+HLOOKUP($B44,$O$78:$Z$80,2)*MIN(3*IF($D44&gt;42,$D44/30,1),$J44)+HLOOKUP($B44,$O$78:$Z$80,3)*MAX(0,$J44-3*IF($D44&gt;42,$D44/30,1)))</f>
        <v>#N/A</v>
      </c>
      <c r="J44" s="55" t="e">
        <f t="shared" ca="1" si="10"/>
        <v>#N/A</v>
      </c>
      <c r="K44" t="e">
        <f t="shared" ca="1" si="0"/>
        <v>#N/A</v>
      </c>
      <c r="L44" s="142">
        <f t="shared" ca="1" si="1"/>
        <v>0</v>
      </c>
      <c r="N44" s="85" t="s">
        <v>130</v>
      </c>
      <c r="O44" s="18">
        <v>0.83</v>
      </c>
      <c r="P44" s="18">
        <v>1.3337999999999999</v>
      </c>
      <c r="Q44" s="18">
        <v>1.40049</v>
      </c>
      <c r="R44" s="18">
        <v>1.47</v>
      </c>
      <c r="S44" s="18">
        <v>1.85</v>
      </c>
      <c r="T44" s="18">
        <v>2.16</v>
      </c>
      <c r="U44" s="18">
        <v>2.42</v>
      </c>
      <c r="V44" s="18">
        <v>2.67</v>
      </c>
    </row>
    <row r="45" spans="1:22" ht="12.75" customHeight="1" x14ac:dyDescent="0.2">
      <c r="A45" s="2" t="e">
        <f t="shared" ca="1" si="2"/>
        <v>#N/A</v>
      </c>
      <c r="B45" s="4" t="e">
        <f t="shared" ca="1" si="3"/>
        <v>#N/A</v>
      </c>
      <c r="C45" s="17" t="e">
        <f t="shared" ca="1" si="4"/>
        <v>#N/A</v>
      </c>
      <c r="D45" s="17" t="e">
        <f t="shared" ca="1" si="5"/>
        <v>#N/A</v>
      </c>
      <c r="E45" s="47" t="e">
        <f t="shared" ca="1" si="6"/>
        <v>#N/A</v>
      </c>
      <c r="F45" s="7" t="e">
        <f t="shared" ca="1" si="7"/>
        <v>#N/A</v>
      </c>
      <c r="G45" s="19" t="e">
        <f t="shared" ca="1" si="8"/>
        <v>#N/A</v>
      </c>
      <c r="H45" s="19" t="e">
        <f t="shared" ca="1" si="9"/>
        <v>#N/A</v>
      </c>
      <c r="I45" s="19" t="e">
        <f ca="1">IF(OR($A45="",$N$1="",$M$16&lt;&gt;"C"),"",IFERROR(HLOOKUP($B45,$O$63:Z107,$N$1+1)*IF($D45&gt;42,$D45/30,1),0)+HLOOKUP($B45,$O$78:$Z$80,2)*MIN(3*IF($D45&gt;42,$D45/30,1),$J45)+HLOOKUP($B45,$O$78:$Z$80,3)*MAX(0,$J45-3*IF($D45&gt;42,$D45/30,1)))</f>
        <v>#N/A</v>
      </c>
      <c r="J45" s="55" t="e">
        <f t="shared" ca="1" si="10"/>
        <v>#N/A</v>
      </c>
      <c r="K45" t="e">
        <f t="shared" ca="1" si="0"/>
        <v>#N/A</v>
      </c>
      <c r="L45" s="142">
        <f t="shared" ca="1" si="1"/>
        <v>0</v>
      </c>
      <c r="N45" s="85" t="s">
        <v>133</v>
      </c>
      <c r="O45" s="18">
        <v>1.17</v>
      </c>
      <c r="P45" s="18">
        <v>1.3337999999999999</v>
      </c>
      <c r="Q45" s="18">
        <v>1.40049</v>
      </c>
      <c r="R45" s="18">
        <v>1.47</v>
      </c>
      <c r="S45" s="18">
        <v>1.85</v>
      </c>
      <c r="T45" s="18">
        <v>2.16</v>
      </c>
      <c r="U45" s="18">
        <v>2.42</v>
      </c>
      <c r="V45" s="18">
        <v>2.67</v>
      </c>
    </row>
    <row r="46" spans="1:22" ht="12.75" customHeight="1" x14ac:dyDescent="0.2">
      <c r="A46" s="2" t="e">
        <f t="shared" ca="1" si="2"/>
        <v>#N/A</v>
      </c>
      <c r="B46" s="4" t="e">
        <f t="shared" ca="1" si="3"/>
        <v>#N/A</v>
      </c>
      <c r="C46" s="17" t="e">
        <f t="shared" ca="1" si="4"/>
        <v>#N/A</v>
      </c>
      <c r="D46" s="17" t="e">
        <f t="shared" ca="1" si="5"/>
        <v>#N/A</v>
      </c>
      <c r="E46" s="47" t="e">
        <f t="shared" ca="1" si="6"/>
        <v>#N/A</v>
      </c>
      <c r="F46" s="7" t="e">
        <f t="shared" ca="1" si="7"/>
        <v>#N/A</v>
      </c>
      <c r="G46" s="19" t="e">
        <f t="shared" ca="1" si="8"/>
        <v>#N/A</v>
      </c>
      <c r="H46" s="19" t="e">
        <f t="shared" ca="1" si="9"/>
        <v>#N/A</v>
      </c>
      <c r="I46" s="19" t="e">
        <f ca="1">IF(OR($A46="",$N$1="",$M$16&lt;&gt;"C"),"",IFERROR(HLOOKUP($B46,$O$63:Z108,$N$1+1)*IF($D46&gt;42,$D46/30,1),0)+HLOOKUP($B46,$O$78:$Z$80,2)*MIN(3*IF($D46&gt;42,$D46/30,1),$J46)+HLOOKUP($B46,$O$78:$Z$80,3)*MAX(0,$J46-3*IF($D46&gt;42,$D46/30,1)))</f>
        <v>#N/A</v>
      </c>
      <c r="J46" s="55" t="e">
        <f t="shared" ca="1" si="10"/>
        <v>#N/A</v>
      </c>
      <c r="K46" t="e">
        <f t="shared" ca="1" si="0"/>
        <v>#N/A</v>
      </c>
      <c r="L46" s="142">
        <f t="shared" ca="1" si="1"/>
        <v>0</v>
      </c>
      <c r="N46" s="86" t="s">
        <v>134</v>
      </c>
      <c r="O46" s="18">
        <v>1.17</v>
      </c>
      <c r="P46" s="18">
        <v>1.3337999999999999</v>
      </c>
      <c r="Q46" s="18">
        <v>1.40049</v>
      </c>
      <c r="R46" s="18">
        <v>1.47</v>
      </c>
      <c r="S46" s="18">
        <v>1.85</v>
      </c>
      <c r="T46" s="18">
        <v>2.16</v>
      </c>
      <c r="U46" s="18">
        <v>2.42</v>
      </c>
      <c r="V46" s="18">
        <v>2.67</v>
      </c>
    </row>
    <row r="47" spans="1:22" ht="12.75" customHeight="1" x14ac:dyDescent="0.2">
      <c r="A47" s="2" t="e">
        <f t="shared" ca="1" si="2"/>
        <v>#N/A</v>
      </c>
      <c r="B47" s="4" t="e">
        <f t="shared" ca="1" si="3"/>
        <v>#N/A</v>
      </c>
      <c r="C47" s="17" t="e">
        <f t="shared" ca="1" si="4"/>
        <v>#N/A</v>
      </c>
      <c r="D47" s="17" t="e">
        <f t="shared" ca="1" si="5"/>
        <v>#N/A</v>
      </c>
      <c r="E47" s="47" t="e">
        <f t="shared" ca="1" si="6"/>
        <v>#N/A</v>
      </c>
      <c r="F47" s="7" t="e">
        <f t="shared" ca="1" si="7"/>
        <v>#N/A</v>
      </c>
      <c r="G47" s="19" t="e">
        <f t="shared" ca="1" si="8"/>
        <v>#N/A</v>
      </c>
      <c r="H47" s="19" t="e">
        <f t="shared" ca="1" si="9"/>
        <v>#N/A</v>
      </c>
      <c r="I47" s="19" t="e">
        <f ca="1">IF(OR($A47="",$N$1="",$M$16&lt;&gt;"C"),"",IFERROR(HLOOKUP($B47,$O$63:Z109,$N$1+1)*IF($D47&gt;42,$D47/30,1),0)+HLOOKUP($B47,$O$78:$Z$80,2)*MIN(3*IF($D47&gt;42,$D47/30,1),$J47)+HLOOKUP($B47,$O$78:$Z$80,3)*MAX(0,$J47-3*IF($D47&gt;42,$D47/30,1)))</f>
        <v>#N/A</v>
      </c>
      <c r="J47" s="55" t="e">
        <f t="shared" ca="1" si="10"/>
        <v>#N/A</v>
      </c>
      <c r="K47" t="e">
        <f t="shared" ca="1" si="0"/>
        <v>#N/A</v>
      </c>
      <c r="L47" s="142">
        <f t="shared" ca="1" si="1"/>
        <v>0</v>
      </c>
      <c r="N47" s="86" t="s">
        <v>131</v>
      </c>
      <c r="O47" s="18">
        <v>1.01</v>
      </c>
      <c r="P47" s="18">
        <v>1.1514</v>
      </c>
      <c r="Q47" s="18">
        <v>1.2089700000000001</v>
      </c>
      <c r="R47" s="18">
        <v>1.27</v>
      </c>
      <c r="S47" s="18">
        <v>1.85</v>
      </c>
      <c r="T47" s="18">
        <v>2.16</v>
      </c>
      <c r="U47" s="18">
        <v>2.42</v>
      </c>
      <c r="V47" s="18">
        <v>2.67</v>
      </c>
    </row>
    <row r="48" spans="1:22" ht="12.75" customHeight="1" x14ac:dyDescent="0.2">
      <c r="A48" s="2" t="e">
        <f t="shared" ca="1" si="2"/>
        <v>#N/A</v>
      </c>
      <c r="B48" s="4" t="e">
        <f t="shared" ca="1" si="3"/>
        <v>#N/A</v>
      </c>
      <c r="C48" s="17" t="e">
        <f t="shared" ca="1" si="4"/>
        <v>#N/A</v>
      </c>
      <c r="D48" s="17" t="e">
        <f t="shared" ca="1" si="5"/>
        <v>#N/A</v>
      </c>
      <c r="E48" s="47" t="e">
        <f t="shared" ca="1" si="6"/>
        <v>#N/A</v>
      </c>
      <c r="F48" s="7" t="e">
        <f t="shared" ca="1" si="7"/>
        <v>#N/A</v>
      </c>
      <c r="G48" s="19" t="e">
        <f t="shared" ca="1" si="8"/>
        <v>#N/A</v>
      </c>
      <c r="H48" s="19" t="e">
        <f t="shared" ca="1" si="9"/>
        <v>#N/A</v>
      </c>
      <c r="I48" s="19" t="e">
        <f ca="1">IF(OR($A48="",$N$1="",$M$16&lt;&gt;"C"),"",IFERROR(HLOOKUP($B48,$O$63:Z110,$N$1+1)*IF($D48&gt;42,$D48/30,1),0)+HLOOKUP($B48,$O$78:$Z$80,2)*MIN(3*IF($D48&gt;42,$D48/30,1),$J48)+HLOOKUP($B48,$O$78:$Z$80,3)*MAX(0,$J48-3*IF($D48&gt;42,$D48/30,1)))</f>
        <v>#N/A</v>
      </c>
      <c r="J48" s="55" t="e">
        <f t="shared" ca="1" si="10"/>
        <v>#N/A</v>
      </c>
      <c r="K48" t="e">
        <f t="shared" ca="1" si="0"/>
        <v>#N/A</v>
      </c>
      <c r="L48" s="142">
        <f t="shared" ca="1" si="1"/>
        <v>0</v>
      </c>
    </row>
    <row r="49" spans="1:26" ht="12.75" customHeight="1" x14ac:dyDescent="0.2">
      <c r="A49" s="2" t="e">
        <f t="shared" ca="1" si="2"/>
        <v>#N/A</v>
      </c>
      <c r="B49" s="4" t="e">
        <f t="shared" ca="1" si="3"/>
        <v>#N/A</v>
      </c>
      <c r="C49" s="17" t="e">
        <f t="shared" ca="1" si="4"/>
        <v>#N/A</v>
      </c>
      <c r="D49" s="17" t="e">
        <f t="shared" ca="1" si="5"/>
        <v>#N/A</v>
      </c>
      <c r="E49" s="47" t="e">
        <f t="shared" ca="1" si="6"/>
        <v>#N/A</v>
      </c>
      <c r="F49" s="7" t="e">
        <f t="shared" ca="1" si="7"/>
        <v>#N/A</v>
      </c>
      <c r="G49" s="19" t="e">
        <f t="shared" ca="1" si="8"/>
        <v>#N/A</v>
      </c>
      <c r="H49" s="19" t="e">
        <f t="shared" ca="1" si="9"/>
        <v>#N/A</v>
      </c>
      <c r="I49" s="19" t="e">
        <f ca="1">IF(OR($A49="",$N$1="",$M$16&lt;&gt;"C"),"",IFERROR(HLOOKUP($B49,$O$63:Z111,$N$1+1)*IF($D49&gt;42,$D49/30,1),0)+HLOOKUP($B49,$O$78:$Z$80,2)*MIN(3*IF($D49&gt;42,$D49/30,1),$J49)+HLOOKUP($B49,$O$78:$Z$80,3)*MAX(0,$J49-3*IF($D49&gt;42,$D49/30,1)))</f>
        <v>#N/A</v>
      </c>
      <c r="J49" s="55" t="e">
        <f t="shared" ca="1" si="10"/>
        <v>#N/A</v>
      </c>
      <c r="K49" t="e">
        <f t="shared" ca="1" si="0"/>
        <v>#N/A</v>
      </c>
      <c r="L49" s="142">
        <f t="shared" ca="1" si="1"/>
        <v>0</v>
      </c>
      <c r="N49" s="87"/>
      <c r="O49" s="82">
        <f>+ROUND((X52-O52)/O52,2)</f>
        <v>3.93</v>
      </c>
      <c r="P49" s="82">
        <f t="shared" ref="P49" si="18">+ROUND((P52-O52)/O52,2)</f>
        <v>0.32</v>
      </c>
      <c r="Q49" s="82">
        <f t="shared" ref="Q49" si="19">+ROUND((Q52-P52)/P52,2)</f>
        <v>0.31</v>
      </c>
      <c r="R49" s="82">
        <f t="shared" ref="R49" si="20">+ROUND((R52-Q52)/Q52,2)</f>
        <v>0.31</v>
      </c>
      <c r="S49" s="82">
        <f t="shared" ref="S49" si="21">+ROUND((S52-R52)/R52,2)</f>
        <v>0.31</v>
      </c>
      <c r="T49" s="82">
        <f t="shared" ref="T49" si="22">+ROUND((T52-S52)/S52,2)</f>
        <v>0.31</v>
      </c>
      <c r="U49" s="82">
        <f t="shared" ref="U49" si="23">+ROUND((U52-T52)/T52,2)</f>
        <v>0.06</v>
      </c>
      <c r="V49" s="82">
        <f t="shared" ref="V49" si="24">+ROUND((V52-U52)/U52,2)</f>
        <v>0.06</v>
      </c>
      <c r="W49" s="82">
        <f t="shared" ref="W49" si="25">+ROUND((W52-V52)/V52,2)</f>
        <v>0.06</v>
      </c>
      <c r="X49" s="82">
        <f t="shared" ref="X49" si="26">+ROUND((X52-W52)/W52,2)</f>
        <v>0.06</v>
      </c>
    </row>
    <row r="50" spans="1:26" ht="12.75" customHeight="1" x14ac:dyDescent="0.25">
      <c r="A50" s="2" t="e">
        <f t="shared" ca="1" si="2"/>
        <v>#N/A</v>
      </c>
      <c r="B50" s="4" t="e">
        <f t="shared" ca="1" si="3"/>
        <v>#N/A</v>
      </c>
      <c r="C50" s="17" t="e">
        <f t="shared" ca="1" si="4"/>
        <v>#N/A</v>
      </c>
      <c r="D50" s="17" t="e">
        <f t="shared" ca="1" si="5"/>
        <v>#N/A</v>
      </c>
      <c r="E50" s="47" t="e">
        <f t="shared" ca="1" si="6"/>
        <v>#N/A</v>
      </c>
      <c r="F50" s="7" t="e">
        <f t="shared" ca="1" si="7"/>
        <v>#N/A</v>
      </c>
      <c r="G50" s="19" t="e">
        <f t="shared" ca="1" si="8"/>
        <v>#N/A</v>
      </c>
      <c r="H50" s="19" t="e">
        <f t="shared" ca="1" si="9"/>
        <v>#N/A</v>
      </c>
      <c r="I50" s="19" t="e">
        <f ca="1">IF(OR($A50="",$N$1="",$M$16&lt;&gt;"C"),"",IFERROR(HLOOKUP($B50,$O$63:Z112,$N$1+1)*IF($D50&gt;42,$D50/30,1),0)+HLOOKUP($B50,$O$78:$Z$80,2)*MIN(3*IF($D50&gt;42,$D50/30,1),$J50)+HLOOKUP($B50,$O$78:$Z$80,3)*MAX(0,$J50-3*IF($D50&gt;42,$D50/30,1)))</f>
        <v>#N/A</v>
      </c>
      <c r="J50" s="55" t="e">
        <f t="shared" ca="1" si="10"/>
        <v>#N/A</v>
      </c>
      <c r="K50" t="e">
        <f t="shared" ca="1" si="0"/>
        <v>#N/A</v>
      </c>
      <c r="L50" s="142">
        <f t="shared" ca="1" si="1"/>
        <v>0</v>
      </c>
      <c r="N50" s="1" t="s">
        <v>192</v>
      </c>
      <c r="P50" s="148" t="s">
        <v>210</v>
      </c>
      <c r="T50" s="133"/>
    </row>
    <row r="51" spans="1:26" ht="12.75" customHeight="1" x14ac:dyDescent="0.2">
      <c r="A51" s="2" t="e">
        <f t="shared" ca="1" si="2"/>
        <v>#N/A</v>
      </c>
      <c r="B51" s="4" t="e">
        <f t="shared" ca="1" si="3"/>
        <v>#N/A</v>
      </c>
      <c r="C51" s="17" t="e">
        <f t="shared" ca="1" si="4"/>
        <v>#N/A</v>
      </c>
      <c r="D51" s="17" t="e">
        <f t="shared" ca="1" si="5"/>
        <v>#N/A</v>
      </c>
      <c r="E51" s="47" t="e">
        <f t="shared" ca="1" si="6"/>
        <v>#N/A</v>
      </c>
      <c r="F51" s="7" t="e">
        <f t="shared" ca="1" si="7"/>
        <v>#N/A</v>
      </c>
      <c r="G51" s="19" t="e">
        <f t="shared" ca="1" si="8"/>
        <v>#N/A</v>
      </c>
      <c r="H51" s="19" t="e">
        <f t="shared" ca="1" si="9"/>
        <v>#N/A</v>
      </c>
      <c r="I51" s="19" t="e">
        <f ca="1">IF(OR($A51="",$N$1="",$M$16&lt;&gt;"C"),"",IFERROR(HLOOKUP($B51,$O$63:Z113,$N$1+1)*IF($D51&gt;42,$D51/30,1),0)+HLOOKUP($B51,$O$78:$Z$80,2)*MIN(3*IF($D51&gt;42,$D51/30,1),$J51)+HLOOKUP($B51,$O$78:$Z$80,3)*MAX(0,$J51-3*IF($D51&gt;42,$D51/30,1)))</f>
        <v>#N/A</v>
      </c>
      <c r="J51" s="55" t="e">
        <f t="shared" ca="1" si="10"/>
        <v>#N/A</v>
      </c>
      <c r="K51" t="e">
        <f t="shared" ca="1" si="0"/>
        <v>#N/A</v>
      </c>
      <c r="L51" s="142">
        <f t="shared" ca="1" si="1"/>
        <v>0</v>
      </c>
      <c r="N51" s="134"/>
      <c r="O51" s="84">
        <v>37073</v>
      </c>
      <c r="P51" s="84">
        <v>39630</v>
      </c>
      <c r="Q51" s="84">
        <v>39934</v>
      </c>
      <c r="R51" s="84">
        <v>40299</v>
      </c>
      <c r="S51" s="84">
        <v>40664</v>
      </c>
      <c r="T51" s="84">
        <v>41030</v>
      </c>
      <c r="U51" s="84">
        <v>41395</v>
      </c>
      <c r="V51" s="84">
        <v>41760</v>
      </c>
      <c r="W51" s="84">
        <v>42125</v>
      </c>
      <c r="X51" s="84">
        <v>42491</v>
      </c>
      <c r="Y51" s="84">
        <v>43678</v>
      </c>
      <c r="Z51" s="106">
        <f>DATE(2041,3,1)</f>
        <v>51561</v>
      </c>
    </row>
    <row r="52" spans="1:26" ht="12.75" customHeight="1" x14ac:dyDescent="0.25">
      <c r="A52" s="2" t="e">
        <f t="shared" ca="1" si="2"/>
        <v>#N/A</v>
      </c>
      <c r="B52" s="4" t="e">
        <f t="shared" ca="1" si="3"/>
        <v>#N/A</v>
      </c>
      <c r="C52" s="17" t="e">
        <f t="shared" ca="1" si="4"/>
        <v>#N/A</v>
      </c>
      <c r="D52" s="17" t="e">
        <f t="shared" ca="1" si="5"/>
        <v>#N/A</v>
      </c>
      <c r="E52" s="47" t="e">
        <f t="shared" ca="1" si="6"/>
        <v>#N/A</v>
      </c>
      <c r="F52" s="7" t="e">
        <f t="shared" ca="1" si="7"/>
        <v>#N/A</v>
      </c>
      <c r="G52" s="19" t="e">
        <f t="shared" ca="1" si="8"/>
        <v>#N/A</v>
      </c>
      <c r="H52" s="19" t="e">
        <f t="shared" ca="1" si="9"/>
        <v>#N/A</v>
      </c>
      <c r="I52" s="19" t="e">
        <f ca="1">IF(OR($A52="",$N$1="",$M$16&lt;&gt;"C"),"",IFERROR(HLOOKUP($B52,$O$63:Z114,$N$1+1)*IF($D52&gt;42,$D52/30,1),0)+HLOOKUP($B52,$O$78:$Z$80,2)*MIN(3*IF($D52&gt;42,$D52/30,1),$J52)+HLOOKUP($B52,$O$78:$Z$80,3)*MAX(0,$J52-3*IF($D52&gt;42,$D52/30,1)))</f>
        <v>#N/A</v>
      </c>
      <c r="J52" s="55" t="e">
        <f t="shared" ca="1" si="10"/>
        <v>#N/A</v>
      </c>
      <c r="K52" t="e">
        <f t="shared" ca="1" si="0"/>
        <v>#N/A</v>
      </c>
      <c r="L52" s="142">
        <f t="shared" ca="1" si="1"/>
        <v>0</v>
      </c>
      <c r="N52" s="135" t="s">
        <v>197</v>
      </c>
      <c r="O52" s="18">
        <v>1.1999999999999997</v>
      </c>
      <c r="P52" s="18">
        <v>1.5799999999999996</v>
      </c>
      <c r="Q52" s="18">
        <v>2.0699999999999998</v>
      </c>
      <c r="R52" s="18">
        <v>2.72</v>
      </c>
      <c r="S52" s="18">
        <v>3.57</v>
      </c>
      <c r="T52" s="18">
        <v>4.68</v>
      </c>
      <c r="U52" s="18">
        <v>4.9700000000000006</v>
      </c>
      <c r="V52" s="18">
        <v>5.26</v>
      </c>
      <c r="W52" s="18">
        <v>5.58</v>
      </c>
      <c r="X52" s="18">
        <v>5.91</v>
      </c>
      <c r="Y52" s="18">
        <v>6.34</v>
      </c>
    </row>
    <row r="53" spans="1:26" ht="12.75" customHeight="1" x14ac:dyDescent="0.25">
      <c r="A53" s="2" t="e">
        <f t="shared" ca="1" si="2"/>
        <v>#N/A</v>
      </c>
      <c r="B53" s="4" t="e">
        <f t="shared" ca="1" si="3"/>
        <v>#N/A</v>
      </c>
      <c r="C53" s="17" t="e">
        <f t="shared" ca="1" si="4"/>
        <v>#N/A</v>
      </c>
      <c r="D53" s="17" t="e">
        <f t="shared" ca="1" si="5"/>
        <v>#N/A</v>
      </c>
      <c r="E53" s="47" t="e">
        <f t="shared" ca="1" si="6"/>
        <v>#N/A</v>
      </c>
      <c r="F53" s="7" t="e">
        <f t="shared" ca="1" si="7"/>
        <v>#N/A</v>
      </c>
      <c r="G53" s="19" t="e">
        <f t="shared" ca="1" si="8"/>
        <v>#N/A</v>
      </c>
      <c r="H53" s="19" t="e">
        <f t="shared" ca="1" si="9"/>
        <v>#N/A</v>
      </c>
      <c r="I53" s="19" t="e">
        <f ca="1">IF(OR($A53="",$N$1="",$M$16&lt;&gt;"C"),"",IFERROR(HLOOKUP($B53,$O$63:Z115,$N$1+1)*IF($D53&gt;42,$D53/30,1),0)+HLOOKUP($B53,$O$78:$Z$80,2)*MIN(3*IF($D53&gt;42,$D53/30,1),$J53)+HLOOKUP($B53,$O$78:$Z$80,3)*MAX(0,$J53-3*IF($D53&gt;42,$D53/30,1)))</f>
        <v>#N/A</v>
      </c>
      <c r="J53" s="55" t="e">
        <f t="shared" ca="1" si="10"/>
        <v>#N/A</v>
      </c>
      <c r="K53" t="e">
        <f t="shared" ca="1" si="0"/>
        <v>#N/A</v>
      </c>
      <c r="L53" s="142">
        <f t="shared" ca="1" si="1"/>
        <v>0</v>
      </c>
      <c r="N53" s="136" t="s">
        <v>198</v>
      </c>
      <c r="O53" s="18">
        <v>2.4</v>
      </c>
      <c r="P53" s="18">
        <v>3.16</v>
      </c>
      <c r="Q53" s="18">
        <v>4.1399999999999997</v>
      </c>
      <c r="R53" s="18">
        <v>5.44</v>
      </c>
      <c r="S53" s="18">
        <v>7.13</v>
      </c>
      <c r="T53" s="18">
        <v>9.36</v>
      </c>
      <c r="U53" s="18">
        <v>9.93</v>
      </c>
      <c r="V53" s="18">
        <v>10.52</v>
      </c>
      <c r="W53" s="18">
        <v>11.15</v>
      </c>
      <c r="X53" s="18">
        <v>11.82</v>
      </c>
      <c r="Y53" s="18">
        <v>12.67</v>
      </c>
    </row>
    <row r="54" spans="1:26" ht="12.75" customHeight="1" x14ac:dyDescent="0.2">
      <c r="A54" s="2" t="e">
        <f t="shared" ca="1" si="2"/>
        <v>#N/A</v>
      </c>
      <c r="B54" s="4" t="e">
        <f t="shared" ca="1" si="3"/>
        <v>#N/A</v>
      </c>
      <c r="C54" s="17" t="e">
        <f t="shared" ca="1" si="4"/>
        <v>#N/A</v>
      </c>
      <c r="D54" s="17" t="e">
        <f t="shared" ca="1" si="5"/>
        <v>#N/A</v>
      </c>
      <c r="E54" s="47" t="e">
        <f t="shared" ca="1" si="6"/>
        <v>#N/A</v>
      </c>
      <c r="F54" s="7" t="e">
        <f t="shared" ca="1" si="7"/>
        <v>#N/A</v>
      </c>
      <c r="G54" s="19" t="e">
        <f t="shared" ca="1" si="8"/>
        <v>#N/A</v>
      </c>
      <c r="H54" s="19" t="e">
        <f t="shared" ca="1" si="9"/>
        <v>#N/A</v>
      </c>
      <c r="I54" s="19" t="e">
        <f ca="1">IF(OR($A54="",$N$1="",$M$16&lt;&gt;"C"),"",IFERROR(HLOOKUP($B54,$O$63:Z116,$N$1+1)*IF($D54&gt;42,$D54/30,1),0)+HLOOKUP($B54,$O$78:$Z$80,2)*MIN(3*IF($D54&gt;42,$D54/30,1),$J54)+HLOOKUP($B54,$O$78:$Z$80,3)*MAX(0,$J54-3*IF($D54&gt;42,$D54/30,1)))</f>
        <v>#N/A</v>
      </c>
      <c r="J54" s="55" t="e">
        <f t="shared" ca="1" si="10"/>
        <v>#N/A</v>
      </c>
      <c r="K54" t="e">
        <f t="shared" ca="1" si="0"/>
        <v>#N/A</v>
      </c>
      <c r="L54" s="142">
        <f t="shared" ca="1" si="1"/>
        <v>0</v>
      </c>
    </row>
    <row r="55" spans="1:26" ht="12.75" customHeight="1" x14ac:dyDescent="0.2">
      <c r="A55" s="2" t="e">
        <f t="shared" ca="1" si="2"/>
        <v>#N/A</v>
      </c>
      <c r="B55" s="4" t="e">
        <f t="shared" ca="1" si="3"/>
        <v>#N/A</v>
      </c>
      <c r="C55" s="17" t="e">
        <f t="shared" ca="1" si="4"/>
        <v>#N/A</v>
      </c>
      <c r="D55" s="17" t="e">
        <f t="shared" ca="1" si="5"/>
        <v>#N/A</v>
      </c>
      <c r="E55" s="47" t="e">
        <f t="shared" ca="1" si="6"/>
        <v>#N/A</v>
      </c>
      <c r="F55" s="7" t="e">
        <f t="shared" ca="1" si="7"/>
        <v>#N/A</v>
      </c>
      <c r="G55" s="19" t="e">
        <f t="shared" ca="1" si="8"/>
        <v>#N/A</v>
      </c>
      <c r="H55" s="19" t="e">
        <f t="shared" ca="1" si="9"/>
        <v>#N/A</v>
      </c>
      <c r="I55" s="19" t="e">
        <f ca="1">IF(OR($A55="",$N$1="",$M$16&lt;&gt;"C"),"",IFERROR(HLOOKUP($B55,$O$63:Z117,$N$1+1)*IF($D55&gt;42,$D55/30,1),0)+HLOOKUP($B55,$O$78:$Z$80,2)*MIN(3*IF($D55&gt;42,$D55/30,1),$J55)+HLOOKUP($B55,$O$78:$Z$80,3)*MAX(0,$J55-3*IF($D55&gt;42,$D55/30,1)))</f>
        <v>#N/A</v>
      </c>
      <c r="J55" s="55" t="e">
        <f t="shared" ca="1" si="10"/>
        <v>#N/A</v>
      </c>
      <c r="K55" t="e">
        <f t="shared" ca="1" si="0"/>
        <v>#N/A</v>
      </c>
      <c r="L55" s="142">
        <f t="shared" ca="1" si="1"/>
        <v>0</v>
      </c>
      <c r="O55" s="82">
        <f>+ROUND((X58-O58)/O58,2)</f>
        <v>3.94</v>
      </c>
      <c r="P55" s="82">
        <f t="shared" ref="P55" si="27">+ROUND((P58-O58)/O58,2)</f>
        <v>0.32</v>
      </c>
      <c r="Q55" s="82">
        <f t="shared" ref="Q55" si="28">+ROUND((Q58-P58)/P58,2)</f>
        <v>0.32</v>
      </c>
      <c r="R55" s="82">
        <f t="shared" ref="R55" si="29">+ROUND((R58-Q58)/Q58,2)</f>
        <v>0.31</v>
      </c>
      <c r="S55" s="82">
        <f t="shared" ref="S55" si="30">+ROUND((S58-R58)/R58,2)</f>
        <v>0.31</v>
      </c>
      <c r="T55" s="82">
        <f t="shared" ref="T55" si="31">+ROUND((T58-S58)/S58,2)</f>
        <v>0.31</v>
      </c>
      <c r="U55" s="82">
        <f t="shared" ref="U55" si="32">+ROUND((U58-T58)/T58,2)</f>
        <v>0.06</v>
      </c>
      <c r="V55" s="82">
        <f t="shared" ref="V55" si="33">+ROUND((V58-U58)/U58,2)</f>
        <v>0.06</v>
      </c>
      <c r="W55" s="82">
        <f t="shared" ref="W55" si="34">+ROUND((W58-V58)/V58,2)</f>
        <v>0.06</v>
      </c>
      <c r="X55" s="82">
        <f t="shared" ref="X55" si="35">+ROUND((X58-W58)/W58,2)</f>
        <v>0.06</v>
      </c>
      <c r="Y55" s="82"/>
    </row>
    <row r="56" spans="1:26" ht="12.75" customHeight="1" x14ac:dyDescent="0.2">
      <c r="A56" s="2" t="e">
        <f t="shared" ca="1" si="2"/>
        <v>#N/A</v>
      </c>
      <c r="B56" s="4" t="e">
        <f t="shared" ca="1" si="3"/>
        <v>#N/A</v>
      </c>
      <c r="C56" s="17" t="e">
        <f t="shared" ca="1" si="4"/>
        <v>#N/A</v>
      </c>
      <c r="D56" s="17" t="e">
        <f t="shared" ca="1" si="5"/>
        <v>#N/A</v>
      </c>
      <c r="E56" s="89" t="e">
        <f t="shared" ca="1" si="6"/>
        <v>#N/A</v>
      </c>
      <c r="F56" s="7" t="e">
        <f t="shared" ca="1" si="7"/>
        <v>#N/A</v>
      </c>
      <c r="G56" s="19" t="e">
        <f t="shared" ca="1" si="8"/>
        <v>#N/A</v>
      </c>
      <c r="H56" s="19" t="e">
        <f t="shared" ca="1" si="9"/>
        <v>#N/A</v>
      </c>
      <c r="I56" s="19" t="e">
        <f ca="1">IF(OR($A56="",$N$1="",$M$16&lt;&gt;"C"),"",IFERROR(HLOOKUP($B56,$O$63:Z118,$N$1+1)*IF($D56&gt;42,$D56/30,1),0)+HLOOKUP($B56,$O$78:$Z$80,2)*MIN(3*IF($D56&gt;42,$D56/30,1),$J56)+HLOOKUP($B56,$O$78:$Z$80,3)*MAX(0,$J56-3*IF($D56&gt;42,$D56/30,1)))</f>
        <v>#N/A</v>
      </c>
      <c r="J56" s="55" t="e">
        <f t="shared" ca="1" si="10"/>
        <v>#N/A</v>
      </c>
      <c r="K56" t="e">
        <f t="shared" ca="1" si="0"/>
        <v>#N/A</v>
      </c>
      <c r="L56" s="142">
        <f t="shared" ca="1" si="1"/>
        <v>0</v>
      </c>
      <c r="N56" s="1" t="s">
        <v>192</v>
      </c>
      <c r="P56" s="148" t="s">
        <v>211</v>
      </c>
      <c r="Q56" s="137"/>
      <c r="R56" s="137"/>
      <c r="S56" s="137"/>
      <c r="T56" s="137"/>
      <c r="U56" s="137"/>
      <c r="V56" s="137"/>
      <c r="W56" s="137"/>
      <c r="X56" s="137"/>
      <c r="Y56" s="137"/>
    </row>
    <row r="57" spans="1:26" ht="12.75" customHeight="1" x14ac:dyDescent="0.2">
      <c r="A57" s="2" t="e">
        <f t="shared" ca="1" si="2"/>
        <v>#N/A</v>
      </c>
      <c r="B57" s="4" t="e">
        <f t="shared" ca="1" si="3"/>
        <v>#N/A</v>
      </c>
      <c r="C57" s="17" t="e">
        <f t="shared" ca="1" si="4"/>
        <v>#N/A</v>
      </c>
      <c r="D57" s="17" t="e">
        <f t="shared" ca="1" si="5"/>
        <v>#N/A</v>
      </c>
      <c r="E57" s="47" t="e">
        <f t="shared" ca="1" si="6"/>
        <v>#N/A</v>
      </c>
      <c r="F57" s="7" t="e">
        <f t="shared" ca="1" si="7"/>
        <v>#N/A</v>
      </c>
      <c r="G57" s="19" t="e">
        <f t="shared" ca="1" si="8"/>
        <v>#N/A</v>
      </c>
      <c r="H57" s="19" t="e">
        <f t="shared" ca="1" si="9"/>
        <v>#N/A</v>
      </c>
      <c r="I57" s="19" t="e">
        <f ca="1">IF(OR($A57="",$N$1="",$M$16&lt;&gt;"C"),"",IFERROR(HLOOKUP($B57,$O$63:Z119,$N$1+1)*IF($D57&gt;42,$D57/30,1),0)+HLOOKUP($B57,$O$78:$Z$80,2)*MIN(3*IF($D57&gt;42,$D57/30,1),$J57)+HLOOKUP($B57,$O$78:$Z$80,3)*MAX(0,$J57-3*IF($D57&gt;42,$D57/30,1)))</f>
        <v>#N/A</v>
      </c>
      <c r="J57" s="55" t="e">
        <f t="shared" ca="1" si="10"/>
        <v>#N/A</v>
      </c>
      <c r="K57" t="e">
        <f t="shared" ca="1" si="0"/>
        <v>#N/A</v>
      </c>
      <c r="L57" s="142">
        <f t="shared" ca="1" si="1"/>
        <v>0</v>
      </c>
      <c r="O57" s="84">
        <v>37073</v>
      </c>
      <c r="P57" s="84">
        <v>39630</v>
      </c>
      <c r="Q57" s="84">
        <v>39934</v>
      </c>
      <c r="R57" s="84">
        <v>40299</v>
      </c>
      <c r="S57" s="84">
        <v>40664</v>
      </c>
      <c r="T57" s="84">
        <v>41030</v>
      </c>
      <c r="U57" s="84">
        <v>41395</v>
      </c>
      <c r="V57" s="84">
        <v>41760</v>
      </c>
      <c r="W57" s="84">
        <v>42125</v>
      </c>
      <c r="X57" s="84">
        <v>42491</v>
      </c>
      <c r="Y57" s="84">
        <v>43678</v>
      </c>
    </row>
    <row r="58" spans="1:26" ht="12.75" customHeight="1" x14ac:dyDescent="0.25">
      <c r="A58" s="2" t="e">
        <f t="shared" ca="1" si="2"/>
        <v>#N/A</v>
      </c>
      <c r="B58" s="4" t="e">
        <f t="shared" ca="1" si="3"/>
        <v>#N/A</v>
      </c>
      <c r="C58" s="17" t="e">
        <f t="shared" ca="1" si="4"/>
        <v>#N/A</v>
      </c>
      <c r="D58" s="17" t="e">
        <f t="shared" ca="1" si="5"/>
        <v>#N/A</v>
      </c>
      <c r="E58" s="47" t="e">
        <f t="shared" ca="1" si="6"/>
        <v>#N/A</v>
      </c>
      <c r="F58" s="7" t="e">
        <f t="shared" ca="1" si="7"/>
        <v>#N/A</v>
      </c>
      <c r="G58" s="19" t="e">
        <f t="shared" ca="1" si="8"/>
        <v>#N/A</v>
      </c>
      <c r="H58" s="19" t="e">
        <f t="shared" ca="1" si="9"/>
        <v>#N/A</v>
      </c>
      <c r="I58" s="19" t="e">
        <f ca="1">IF(OR($A58="",$N$1="",$M$16&lt;&gt;"C"),"",IFERROR(HLOOKUP($B58,$O$63:Z120,$N$1+1)*IF($D58&gt;42,$D58/30,1),0)+HLOOKUP($B58,$O$78:$Z$80,2)*MIN(3*IF($D58&gt;42,$D58/30,1),$J58)+HLOOKUP($B58,$O$78:$Z$80,3)*MAX(0,$J58-3*IF($D58&gt;42,$D58/30,1)))</f>
        <v>#N/A</v>
      </c>
      <c r="J58" s="55" t="e">
        <f t="shared" ca="1" si="10"/>
        <v>#N/A</v>
      </c>
      <c r="K58" t="e">
        <f t="shared" ca="1" si="0"/>
        <v>#N/A</v>
      </c>
      <c r="L58" s="142">
        <f t="shared" ca="1" si="1"/>
        <v>0</v>
      </c>
      <c r="N58" s="135" t="s">
        <v>197</v>
      </c>
      <c r="O58" s="18">
        <v>0.5</v>
      </c>
      <c r="P58" s="18">
        <v>0.66</v>
      </c>
      <c r="Q58" s="18">
        <v>0.87</v>
      </c>
      <c r="R58" s="18">
        <v>1.1399999999999997</v>
      </c>
      <c r="S58" s="18">
        <v>1.4899999999999998</v>
      </c>
      <c r="T58" s="18">
        <v>1.9499999999999997</v>
      </c>
      <c r="U58" s="18">
        <v>2.0699999999999998</v>
      </c>
      <c r="V58" s="18">
        <v>2.2000000000000002</v>
      </c>
      <c r="W58" s="18">
        <v>2.33</v>
      </c>
      <c r="X58" s="18">
        <v>2.4700000000000002</v>
      </c>
      <c r="Y58" s="18">
        <v>2.77</v>
      </c>
    </row>
    <row r="59" spans="1:26" ht="12.75" customHeight="1" x14ac:dyDescent="0.25">
      <c r="A59" s="2" t="e">
        <f t="shared" ca="1" si="2"/>
        <v>#N/A</v>
      </c>
      <c r="B59" s="4" t="e">
        <f t="shared" ca="1" si="3"/>
        <v>#N/A</v>
      </c>
      <c r="C59" s="17" t="e">
        <f t="shared" ca="1" si="4"/>
        <v>#N/A</v>
      </c>
      <c r="D59" s="17" t="e">
        <f t="shared" ca="1" si="5"/>
        <v>#N/A</v>
      </c>
      <c r="E59" s="47" t="e">
        <f t="shared" ca="1" si="6"/>
        <v>#N/A</v>
      </c>
      <c r="F59" s="7" t="e">
        <f t="shared" ca="1" si="7"/>
        <v>#N/A</v>
      </c>
      <c r="G59" s="19" t="e">
        <f t="shared" ca="1" si="8"/>
        <v>#N/A</v>
      </c>
      <c r="H59" s="19" t="e">
        <f t="shared" ca="1" si="9"/>
        <v>#N/A</v>
      </c>
      <c r="I59" s="19" t="e">
        <f ca="1">IF(OR($A59="",$N$1="",$M$16&lt;&gt;"C"),"",IFERROR(HLOOKUP($B59,$O$63:Z121,$N$1+1)*IF($D59&gt;42,$D59/30,1),0)+HLOOKUP($B59,$O$78:$Z$80,2)*MIN(3*IF($D59&gt;42,$D59/30,1),$J59)+HLOOKUP($B59,$O$78:$Z$80,3)*MAX(0,$J59-3*IF($D59&gt;42,$D59/30,1)))</f>
        <v>#N/A</v>
      </c>
      <c r="J59" s="55" t="e">
        <f t="shared" ca="1" si="10"/>
        <v>#N/A</v>
      </c>
      <c r="K59" t="e">
        <f t="shared" ca="1" si="0"/>
        <v>#N/A</v>
      </c>
      <c r="L59" s="142">
        <f t="shared" ca="1" si="1"/>
        <v>0</v>
      </c>
      <c r="N59" s="136" t="s">
        <v>198</v>
      </c>
      <c r="O59" s="18">
        <v>1</v>
      </c>
      <c r="P59" s="18">
        <v>1.32</v>
      </c>
      <c r="Q59" s="18">
        <v>1.73</v>
      </c>
      <c r="R59" s="18">
        <v>2.27</v>
      </c>
      <c r="S59" s="18">
        <v>2.98</v>
      </c>
      <c r="T59" s="18">
        <v>3.9</v>
      </c>
      <c r="U59" s="18">
        <v>4.1399999999999997</v>
      </c>
      <c r="V59" s="18">
        <v>4.3899999999999997</v>
      </c>
      <c r="W59" s="18">
        <v>4.6500000000000004</v>
      </c>
      <c r="X59" s="18">
        <v>4.93</v>
      </c>
      <c r="Y59" s="18">
        <v>5.2</v>
      </c>
    </row>
    <row r="60" spans="1:26" ht="12.75" customHeight="1" x14ac:dyDescent="0.2">
      <c r="A60" s="2" t="e">
        <f t="shared" ca="1" si="2"/>
        <v>#N/A</v>
      </c>
      <c r="B60" s="4" t="e">
        <f t="shared" ca="1" si="3"/>
        <v>#N/A</v>
      </c>
      <c r="C60" s="17" t="e">
        <f t="shared" ca="1" si="4"/>
        <v>#N/A</v>
      </c>
      <c r="D60" s="17" t="e">
        <f t="shared" ca="1" si="5"/>
        <v>#N/A</v>
      </c>
      <c r="E60" s="47" t="e">
        <f t="shared" ca="1" si="6"/>
        <v>#N/A</v>
      </c>
      <c r="F60" s="7" t="e">
        <f t="shared" ca="1" si="7"/>
        <v>#N/A</v>
      </c>
      <c r="G60" s="19" t="e">
        <f t="shared" ca="1" si="8"/>
        <v>#N/A</v>
      </c>
      <c r="H60" s="19" t="e">
        <f t="shared" ca="1" si="9"/>
        <v>#N/A</v>
      </c>
      <c r="I60" s="19" t="e">
        <f ca="1">IF(OR($A60="",$N$1="",$M$16&lt;&gt;"C"),"",IFERROR(HLOOKUP($B60,$O$63:Z122,$N$1+1)*IF($D60&gt;42,$D60/30,1),0)+HLOOKUP($B60,$O$78:$Z$80,2)*MIN(3*IF($D60&gt;42,$D60/30,1),$J60)+HLOOKUP($B60,$O$78:$Z$80,3)*MAX(0,$J60-3*IF($D60&gt;42,$D60/30,1)))</f>
        <v>#N/A</v>
      </c>
      <c r="J60" s="55" t="e">
        <f t="shared" ca="1" si="10"/>
        <v>#N/A</v>
      </c>
      <c r="K60" t="e">
        <f t="shared" ca="1" si="0"/>
        <v>#N/A</v>
      </c>
      <c r="L60" s="142">
        <f t="shared" ca="1" si="1"/>
        <v>0</v>
      </c>
      <c r="N60" s="15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6" ht="12.75" customHeight="1" x14ac:dyDescent="0.2">
      <c r="A61" s="2" t="e">
        <f t="shared" ca="1" si="2"/>
        <v>#N/A</v>
      </c>
      <c r="B61" s="4" t="e">
        <f t="shared" ca="1" si="3"/>
        <v>#N/A</v>
      </c>
      <c r="C61" s="17" t="e">
        <f t="shared" ca="1" si="4"/>
        <v>#N/A</v>
      </c>
      <c r="D61" s="17" t="e">
        <f t="shared" ca="1" si="5"/>
        <v>#N/A</v>
      </c>
      <c r="E61" s="47" t="e">
        <f t="shared" ca="1" si="6"/>
        <v>#N/A</v>
      </c>
      <c r="F61" s="7" t="e">
        <f t="shared" ca="1" si="7"/>
        <v>#N/A</v>
      </c>
      <c r="G61" s="19" t="e">
        <f t="shared" ca="1" si="8"/>
        <v>#N/A</v>
      </c>
      <c r="H61" s="19" t="e">
        <f t="shared" ca="1" si="9"/>
        <v>#N/A</v>
      </c>
      <c r="I61" s="19" t="e">
        <f ca="1">IF(OR($A61="",$N$1="",$M$16&lt;&gt;"C"),"",IFERROR(HLOOKUP($B61,$O$63:Z123,$N$1+1)*IF($D61&gt;42,$D61/30,1),0)+HLOOKUP($B61,$O$78:$Z$80,2)*MIN(3*IF($D61&gt;42,$D61/30,1),$J61)+HLOOKUP($B61,$O$78:$Z$80,3)*MAX(0,$J61-3*IF($D61&gt;42,$D61/30,1)))</f>
        <v>#N/A</v>
      </c>
      <c r="J61" s="55" t="e">
        <f t="shared" ca="1" si="10"/>
        <v>#N/A</v>
      </c>
      <c r="K61" t="e">
        <f t="shared" ca="1" si="0"/>
        <v>#N/A</v>
      </c>
      <c r="L61" s="142">
        <f t="shared" ca="1" si="1"/>
        <v>0</v>
      </c>
      <c r="N61" s="15"/>
      <c r="O61" s="82">
        <f>+ROUND((Y64-O64)/O64,2)</f>
        <v>0.63</v>
      </c>
      <c r="P61" s="82">
        <f t="shared" ref="P61" si="36">+ROUND((P64-O64)/O64,2)</f>
        <v>0.05</v>
      </c>
      <c r="Q61" s="82">
        <f t="shared" ref="Q61" si="37">+ROUND((Q64-P64)/P64,2)</f>
        <v>0.05</v>
      </c>
      <c r="R61" s="82">
        <f t="shared" ref="R61" si="38">+ROUND((R64-Q64)/Q64,2)</f>
        <v>0.05</v>
      </c>
      <c r="S61" s="82">
        <f t="shared" ref="S61" si="39">+ROUND((S64-R64)/R64,2)</f>
        <v>0.05</v>
      </c>
      <c r="T61" s="82">
        <f t="shared" ref="T61" si="40">+ROUND((T64-S64)/S64,2)</f>
        <v>0.05</v>
      </c>
      <c r="U61" s="82">
        <f t="shared" ref="U61" si="41">+ROUND((U64-T64)/T64,2)</f>
        <v>0.05</v>
      </c>
      <c r="V61" s="82">
        <f t="shared" ref="V61" si="42">+ROUND((V64-U64)/U64,2)</f>
        <v>0.05</v>
      </c>
      <c r="W61" s="82">
        <f t="shared" ref="W61" si="43">+ROUND((W64-V64)/V64,2)</f>
        <v>0.05</v>
      </c>
      <c r="X61" s="82">
        <f t="shared" ref="X61:Y61" si="44">+ROUND((X64-W64)/W64,2)</f>
        <v>0.05</v>
      </c>
      <c r="Y61" s="82">
        <f t="shared" si="44"/>
        <v>0.05</v>
      </c>
    </row>
    <row r="62" spans="1:26" ht="12.75" customHeight="1" x14ac:dyDescent="0.2">
      <c r="A62" s="2" t="e">
        <f t="shared" ca="1" si="2"/>
        <v>#N/A</v>
      </c>
      <c r="B62" s="4" t="e">
        <f t="shared" ca="1" si="3"/>
        <v>#N/A</v>
      </c>
      <c r="C62" s="17" t="e">
        <f t="shared" ca="1" si="4"/>
        <v>#N/A</v>
      </c>
      <c r="D62" s="17" t="e">
        <f t="shared" ca="1" si="5"/>
        <v>#N/A</v>
      </c>
      <c r="E62" s="47" t="e">
        <f t="shared" ca="1" si="6"/>
        <v>#N/A</v>
      </c>
      <c r="F62" s="7" t="e">
        <f t="shared" ca="1" si="7"/>
        <v>#N/A</v>
      </c>
      <c r="G62" s="19" t="e">
        <f t="shared" ca="1" si="8"/>
        <v>#N/A</v>
      </c>
      <c r="H62" s="19" t="e">
        <f t="shared" ca="1" si="9"/>
        <v>#N/A</v>
      </c>
      <c r="I62" s="19" t="e">
        <f ca="1">IF(OR($A62="",$N$1="",$M$16&lt;&gt;"C"),"",IFERROR(HLOOKUP($B62,$O$63:Z124,$N$1+1)*IF($D62&gt;42,$D62/30,1),0)+HLOOKUP($B62,$O$78:$Z$80,2)*MIN(3*IF($D62&gt;42,$D62/30,1),$J62)+HLOOKUP($B62,$O$78:$Z$80,3)*MAX(0,$J62-3*IF($D62&gt;42,$D62/30,1)))</f>
        <v>#N/A</v>
      </c>
      <c r="J62" s="55" t="e">
        <f t="shared" ca="1" si="10"/>
        <v>#N/A</v>
      </c>
      <c r="K62" t="e">
        <f t="shared" ca="1" si="0"/>
        <v>#N/A</v>
      </c>
      <c r="L62" s="142">
        <f t="shared" ca="1" si="1"/>
        <v>0</v>
      </c>
      <c r="N62" s="1" t="s">
        <v>132</v>
      </c>
      <c r="P62" s="148" t="s">
        <v>212</v>
      </c>
    </row>
    <row r="63" spans="1:26" ht="12.75" customHeight="1" x14ac:dyDescent="0.25">
      <c r="A63" s="2" t="e">
        <f t="shared" ca="1" si="2"/>
        <v>#N/A</v>
      </c>
      <c r="B63" s="4" t="e">
        <f t="shared" ca="1" si="3"/>
        <v>#N/A</v>
      </c>
      <c r="C63" s="17" t="e">
        <f t="shared" ca="1" si="4"/>
        <v>#N/A</v>
      </c>
      <c r="D63" s="17" t="e">
        <f t="shared" ca="1" si="5"/>
        <v>#N/A</v>
      </c>
      <c r="E63" s="47" t="e">
        <f t="shared" ca="1" si="6"/>
        <v>#N/A</v>
      </c>
      <c r="F63" s="7" t="e">
        <f t="shared" ca="1" si="7"/>
        <v>#N/A</v>
      </c>
      <c r="G63" s="19" t="e">
        <f t="shared" ca="1" si="8"/>
        <v>#N/A</v>
      </c>
      <c r="H63" s="19" t="e">
        <f t="shared" ca="1" si="9"/>
        <v>#N/A</v>
      </c>
      <c r="I63" s="19" t="e">
        <f ca="1">IF(OR($A63="",$N$1="",$M$16&lt;&gt;"C"),"",IFERROR(HLOOKUP($B63,$O$63:Z125,$N$1+1)*IF($D63&gt;42,$D63/30,1),0)+HLOOKUP($B63,$O$78:$Z$80,2)*MIN(3*IF($D63&gt;42,$D63/30,1),$J63)+HLOOKUP($B63,$O$78:$Z$80,3)*MAX(0,$J63-3*IF($D63&gt;42,$D63/30,1)))</f>
        <v>#N/A</v>
      </c>
      <c r="J63" s="55" t="e">
        <f t="shared" ca="1" si="10"/>
        <v>#N/A</v>
      </c>
      <c r="K63" t="e">
        <f t="shared" ca="1" si="0"/>
        <v>#N/A</v>
      </c>
      <c r="L63" s="142">
        <f t="shared" ca="1" si="1"/>
        <v>0</v>
      </c>
      <c r="N63" s="106" t="s">
        <v>199</v>
      </c>
      <c r="O63" s="141">
        <v>35247</v>
      </c>
      <c r="P63" s="141">
        <v>41456</v>
      </c>
      <c r="Q63" s="141">
        <v>41821</v>
      </c>
      <c r="R63" s="141">
        <v>42186</v>
      </c>
      <c r="S63" s="141">
        <v>42552</v>
      </c>
      <c r="T63" s="141">
        <v>42917</v>
      </c>
      <c r="U63" s="141">
        <v>43282</v>
      </c>
      <c r="V63" s="141">
        <v>43647</v>
      </c>
      <c r="W63" s="141">
        <v>44013</v>
      </c>
      <c r="X63" s="141">
        <v>44378</v>
      </c>
      <c r="Y63" s="141">
        <v>44743</v>
      </c>
      <c r="Z63" s="106">
        <v>52048</v>
      </c>
    </row>
    <row r="64" spans="1:26" ht="12.75" customHeight="1" x14ac:dyDescent="0.2">
      <c r="A64" s="2" t="e">
        <f t="shared" ca="1" si="2"/>
        <v>#N/A</v>
      </c>
      <c r="B64" s="4" t="e">
        <f t="shared" ca="1" si="3"/>
        <v>#N/A</v>
      </c>
      <c r="C64" s="17" t="e">
        <f t="shared" ca="1" si="4"/>
        <v>#N/A</v>
      </c>
      <c r="D64" s="17" t="e">
        <f t="shared" ca="1" si="5"/>
        <v>#N/A</v>
      </c>
      <c r="E64" s="47" t="e">
        <f t="shared" ca="1" si="6"/>
        <v>#N/A</v>
      </c>
      <c r="F64" s="7" t="e">
        <f t="shared" ca="1" si="7"/>
        <v>#N/A</v>
      </c>
      <c r="G64" s="19" t="e">
        <f t="shared" ca="1" si="8"/>
        <v>#N/A</v>
      </c>
      <c r="H64" s="19" t="e">
        <f t="shared" ca="1" si="9"/>
        <v>#N/A</v>
      </c>
      <c r="I64" s="19" t="e">
        <f ca="1">IF(OR($A64="",$N$1="",$M$16&lt;&gt;"C"),"",IFERROR(HLOOKUP($B64,$O$63:Z126,$N$1+1)*IF($D64&gt;42,$D64/30,1),0)+HLOOKUP($B64,$O$78:$Z$80,2)*MIN(3*IF($D64&gt;42,$D64/30,1),$J64)+HLOOKUP($B64,$O$78:$Z$80,3)*MAX(0,$J64-3*IF($D64&gt;42,$D64/30,1)))</f>
        <v>#N/A</v>
      </c>
      <c r="J64" s="55" t="e">
        <f t="shared" ca="1" si="10"/>
        <v>#N/A</v>
      </c>
      <c r="K64" t="e">
        <f t="shared" ca="1" si="0"/>
        <v>#N/A</v>
      </c>
      <c r="L64" s="142">
        <f t="shared" ca="1" si="1"/>
        <v>0</v>
      </c>
      <c r="N64">
        <v>1</v>
      </c>
      <c r="O64" s="18">
        <v>3.1</v>
      </c>
      <c r="P64" s="18">
        <v>3.26</v>
      </c>
      <c r="Q64" s="18">
        <v>3.42</v>
      </c>
      <c r="R64" s="18">
        <v>3.59</v>
      </c>
      <c r="S64" s="18">
        <v>3.77</v>
      </c>
      <c r="T64" s="18">
        <v>3.96</v>
      </c>
      <c r="U64" s="18">
        <v>4.16</v>
      </c>
      <c r="V64" s="18">
        <v>4.37</v>
      </c>
      <c r="W64" s="18">
        <v>4.59</v>
      </c>
      <c r="X64" s="18">
        <v>4.82</v>
      </c>
      <c r="Y64" s="18">
        <v>5.0599999999999996</v>
      </c>
    </row>
    <row r="65" spans="1:26" ht="12.75" customHeight="1" x14ac:dyDescent="0.2">
      <c r="A65" s="2" t="e">
        <f t="shared" ca="1" si="2"/>
        <v>#N/A</v>
      </c>
      <c r="B65" s="4" t="e">
        <f t="shared" ca="1" si="3"/>
        <v>#N/A</v>
      </c>
      <c r="C65" s="17" t="e">
        <f t="shared" ca="1" si="4"/>
        <v>#N/A</v>
      </c>
      <c r="D65" s="17" t="e">
        <f t="shared" ca="1" si="5"/>
        <v>#N/A</v>
      </c>
      <c r="E65" s="47" t="e">
        <f t="shared" ca="1" si="6"/>
        <v>#N/A</v>
      </c>
      <c r="F65" s="7" t="e">
        <f t="shared" ca="1" si="7"/>
        <v>#N/A</v>
      </c>
      <c r="G65" s="19" t="e">
        <f t="shared" ca="1" si="8"/>
        <v>#N/A</v>
      </c>
      <c r="H65" s="19" t="e">
        <f t="shared" ca="1" si="9"/>
        <v>#N/A</v>
      </c>
      <c r="I65" s="19" t="e">
        <f ca="1">IF(OR($A65="",$N$1="",$M$16&lt;&gt;"C"),"",IFERROR(HLOOKUP($B65,$O$63:Z127,$N$1+1)*IF($D65&gt;42,$D65/30,1),0)+HLOOKUP($B65,$O$78:$Z$80,2)*MIN(3*IF($D65&gt;42,$D65/30,1),$J65)+HLOOKUP($B65,$O$78:$Z$80,3)*MAX(0,$J65-3*IF($D65&gt;42,$D65/30,1)))</f>
        <v>#N/A</v>
      </c>
      <c r="J65" s="55" t="e">
        <f t="shared" ca="1" si="10"/>
        <v>#N/A</v>
      </c>
      <c r="K65" t="e">
        <f t="shared" ca="1" si="0"/>
        <v>#N/A</v>
      </c>
      <c r="L65" s="142">
        <f t="shared" ca="1" si="1"/>
        <v>0</v>
      </c>
      <c r="N65">
        <v>2</v>
      </c>
      <c r="O65" s="18">
        <v>4.6500000000000004</v>
      </c>
      <c r="P65" s="18">
        <v>4.88</v>
      </c>
      <c r="Q65" s="18">
        <v>5.13</v>
      </c>
      <c r="R65" s="18">
        <v>5.38</v>
      </c>
      <c r="S65" s="18">
        <v>5.65</v>
      </c>
      <c r="T65" s="18">
        <v>5.93</v>
      </c>
      <c r="U65" s="18">
        <v>6.23</v>
      </c>
      <c r="V65" s="18">
        <v>6.54</v>
      </c>
      <c r="W65" s="18">
        <v>6.87</v>
      </c>
      <c r="X65" s="18">
        <v>7.21</v>
      </c>
      <c r="Y65" s="18">
        <v>7.57</v>
      </c>
      <c r="Z65" s="82"/>
    </row>
    <row r="66" spans="1:26" ht="12.75" customHeight="1" x14ac:dyDescent="0.2">
      <c r="A66" s="2" t="e">
        <f t="shared" ca="1" si="2"/>
        <v>#N/A</v>
      </c>
      <c r="B66" s="4" t="e">
        <f t="shared" ca="1" si="3"/>
        <v>#N/A</v>
      </c>
      <c r="C66" s="17" t="e">
        <f t="shared" ca="1" si="4"/>
        <v>#N/A</v>
      </c>
      <c r="D66" s="17" t="e">
        <f t="shared" ca="1" si="5"/>
        <v>#N/A</v>
      </c>
      <c r="E66" s="47" t="e">
        <f t="shared" ca="1" si="6"/>
        <v>#N/A</v>
      </c>
      <c r="F66" s="7" t="e">
        <f t="shared" ca="1" si="7"/>
        <v>#N/A</v>
      </c>
      <c r="G66" s="19" t="e">
        <f t="shared" ca="1" si="8"/>
        <v>#N/A</v>
      </c>
      <c r="H66" s="19" t="e">
        <f t="shared" ca="1" si="9"/>
        <v>#N/A</v>
      </c>
      <c r="I66" s="19" t="e">
        <f ca="1">IF(OR($A66="",$N$1="",$M$16&lt;&gt;"C"),"",IFERROR(HLOOKUP($B66,$O$63:Z128,$N$1+1)*IF($D66&gt;42,$D66/30,1),0)+HLOOKUP($B66,$O$78:$Z$80,2)*MIN(3*IF($D66&gt;42,$D66/30,1),$J66)+HLOOKUP($B66,$O$78:$Z$80,3)*MAX(0,$J66-3*IF($D66&gt;42,$D66/30,1)))</f>
        <v>#N/A</v>
      </c>
      <c r="J66" s="55" t="e">
        <f t="shared" ca="1" si="10"/>
        <v>#N/A</v>
      </c>
      <c r="K66" t="e">
        <f t="shared" ca="1" si="0"/>
        <v>#N/A</v>
      </c>
      <c r="L66" s="142">
        <f t="shared" ca="1" si="1"/>
        <v>0</v>
      </c>
      <c r="N66">
        <v>3</v>
      </c>
      <c r="O66" s="18">
        <v>7.75</v>
      </c>
      <c r="P66" s="18">
        <v>8.14</v>
      </c>
      <c r="Q66" s="18">
        <v>8.5399999999999991</v>
      </c>
      <c r="R66" s="18">
        <v>8.9700000000000006</v>
      </c>
      <c r="S66" s="18">
        <v>9.42</v>
      </c>
      <c r="T66" s="18">
        <v>9.89</v>
      </c>
      <c r="U66" s="18">
        <v>10.38</v>
      </c>
      <c r="V66" s="18">
        <v>10.9</v>
      </c>
      <c r="W66" s="18">
        <v>11.45</v>
      </c>
      <c r="X66" s="18">
        <v>12.02</v>
      </c>
      <c r="Y66" s="18">
        <v>12.62</v>
      </c>
      <c r="Z66" s="82"/>
    </row>
    <row r="67" spans="1:26" ht="12.75" customHeight="1" x14ac:dyDescent="0.2">
      <c r="A67" s="2" t="e">
        <f t="shared" ca="1" si="2"/>
        <v>#N/A</v>
      </c>
      <c r="B67" s="4" t="e">
        <f t="shared" ca="1" si="3"/>
        <v>#N/A</v>
      </c>
      <c r="C67" s="17" t="e">
        <f t="shared" ca="1" si="4"/>
        <v>#N/A</v>
      </c>
      <c r="D67" s="17" t="e">
        <f t="shared" ca="1" si="5"/>
        <v>#N/A</v>
      </c>
      <c r="E67" s="47" t="e">
        <f t="shared" ca="1" si="6"/>
        <v>#N/A</v>
      </c>
      <c r="F67" s="7" t="e">
        <f t="shared" ca="1" si="7"/>
        <v>#N/A</v>
      </c>
      <c r="G67" s="19" t="e">
        <f t="shared" ca="1" si="8"/>
        <v>#N/A</v>
      </c>
      <c r="H67" s="19" t="e">
        <f t="shared" ca="1" si="9"/>
        <v>#N/A</v>
      </c>
      <c r="I67" s="19" t="e">
        <f ca="1">IF(OR($A67="",$N$1="",$M$16&lt;&gt;"C"),"",IFERROR(HLOOKUP($B67,$O$63:Z129,$N$1+1)*IF($D67&gt;42,$D67/30,1),0)+HLOOKUP($B67,$O$78:$Z$80,2)*MIN(3*IF($D67&gt;42,$D67/30,1),$J67)+HLOOKUP($B67,$O$78:$Z$80,3)*MAX(0,$J67-3*IF($D67&gt;42,$D67/30,1)))</f>
        <v>#N/A</v>
      </c>
      <c r="J67" s="55" t="e">
        <f t="shared" ca="1" si="10"/>
        <v>#N/A</v>
      </c>
      <c r="K67" t="e">
        <f t="shared" ca="1" si="0"/>
        <v>#N/A</v>
      </c>
      <c r="L67" s="142">
        <f t="shared" ca="1" si="1"/>
        <v>0</v>
      </c>
      <c r="N67">
        <v>4</v>
      </c>
      <c r="O67" s="18">
        <v>12.4</v>
      </c>
      <c r="P67" s="18">
        <v>13.02</v>
      </c>
      <c r="Q67" s="18">
        <v>13.67</v>
      </c>
      <c r="R67" s="18">
        <v>14.35</v>
      </c>
      <c r="S67" s="18">
        <v>15.07</v>
      </c>
      <c r="T67" s="18">
        <v>15.83</v>
      </c>
      <c r="U67" s="18">
        <v>16.62</v>
      </c>
      <c r="V67" s="18">
        <v>17.45</v>
      </c>
      <c r="W67" s="18">
        <v>18.32</v>
      </c>
      <c r="X67" s="18">
        <v>19.239999999999998</v>
      </c>
      <c r="Y67" s="18">
        <v>20.2</v>
      </c>
      <c r="Z67" s="82"/>
    </row>
    <row r="68" spans="1:26" ht="12.75" customHeight="1" x14ac:dyDescent="0.2">
      <c r="A68" s="2" t="e">
        <f t="shared" ca="1" si="2"/>
        <v>#N/A</v>
      </c>
      <c r="B68" s="4" t="e">
        <f t="shared" ca="1" si="3"/>
        <v>#N/A</v>
      </c>
      <c r="C68" s="17" t="e">
        <f t="shared" ca="1" si="4"/>
        <v>#N/A</v>
      </c>
      <c r="D68" s="17" t="e">
        <f t="shared" ca="1" si="5"/>
        <v>#N/A</v>
      </c>
      <c r="E68" s="47" t="e">
        <f t="shared" ca="1" si="6"/>
        <v>#N/A</v>
      </c>
      <c r="F68" s="7" t="e">
        <f t="shared" ca="1" si="7"/>
        <v>#N/A</v>
      </c>
      <c r="G68" s="19" t="e">
        <f t="shared" ca="1" si="8"/>
        <v>#N/A</v>
      </c>
      <c r="H68" s="19" t="e">
        <f t="shared" ca="1" si="9"/>
        <v>#N/A</v>
      </c>
      <c r="I68" s="19" t="e">
        <f ca="1">IF(OR($A68="",$N$1="",$M$16&lt;&gt;"C"),"",IFERROR(HLOOKUP($B68,$O$63:Z130,$N$1+1)*IF($D68&gt;42,$D68/30,1),0)+HLOOKUP($B68,$O$78:$Z$80,2)*MIN(3*IF($D68&gt;42,$D68/30,1),$J68)+HLOOKUP($B68,$O$78:$Z$80,3)*MAX(0,$J68-3*IF($D68&gt;42,$D68/30,1)))</f>
        <v>#N/A</v>
      </c>
      <c r="J68" s="55" t="e">
        <f t="shared" ca="1" si="10"/>
        <v>#N/A</v>
      </c>
      <c r="K68" t="e">
        <f t="shared" ca="1" si="0"/>
        <v>#N/A</v>
      </c>
      <c r="L68" s="142">
        <f t="shared" ca="1" si="1"/>
        <v>0</v>
      </c>
      <c r="N68">
        <v>5</v>
      </c>
      <c r="O68" s="18">
        <v>15.5</v>
      </c>
      <c r="P68" s="18">
        <v>16.28</v>
      </c>
      <c r="Q68" s="18">
        <v>17.09</v>
      </c>
      <c r="R68" s="18">
        <v>17.940000000000001</v>
      </c>
      <c r="S68" s="18">
        <v>18.84</v>
      </c>
      <c r="T68" s="18">
        <v>19.78</v>
      </c>
      <c r="U68" s="18">
        <v>20.77</v>
      </c>
      <c r="V68" s="18">
        <v>21.81</v>
      </c>
      <c r="W68" s="18">
        <v>22.9</v>
      </c>
      <c r="X68" s="18">
        <v>24.05</v>
      </c>
      <c r="Y68" s="18">
        <v>25.25</v>
      </c>
      <c r="Z68" s="82"/>
    </row>
    <row r="69" spans="1:26" ht="12.75" customHeight="1" x14ac:dyDescent="0.2">
      <c r="A69" s="2" t="e">
        <f t="shared" ca="1" si="2"/>
        <v>#N/A</v>
      </c>
      <c r="B69" s="4" t="e">
        <f t="shared" ca="1" si="3"/>
        <v>#N/A</v>
      </c>
      <c r="C69" s="17" t="e">
        <f t="shared" ca="1" si="4"/>
        <v>#N/A</v>
      </c>
      <c r="D69" s="17" t="e">
        <f t="shared" ca="1" si="5"/>
        <v>#N/A</v>
      </c>
      <c r="E69" s="47" t="e">
        <f t="shared" ca="1" si="6"/>
        <v>#N/A</v>
      </c>
      <c r="F69" s="7" t="e">
        <f t="shared" ca="1" si="7"/>
        <v>#N/A</v>
      </c>
      <c r="G69" s="19" t="e">
        <f t="shared" ca="1" si="8"/>
        <v>#N/A</v>
      </c>
      <c r="H69" s="19" t="e">
        <f t="shared" ca="1" si="9"/>
        <v>#N/A</v>
      </c>
      <c r="I69" s="19" t="e">
        <f ca="1">IF(OR($A69="",$N$1="",$M$16&lt;&gt;"C"),"",IFERROR(HLOOKUP($B69,$O$63:Z131,$N$1+1)*IF($D69&gt;42,$D69/30,1),0)+HLOOKUP($B69,$O$78:$Z$80,2)*MIN(3*IF($D69&gt;42,$D69/30,1),$J69)+HLOOKUP($B69,$O$78:$Z$80,3)*MAX(0,$J69-3*IF($D69&gt;42,$D69/30,1)))</f>
        <v>#N/A</v>
      </c>
      <c r="J69" s="55" t="e">
        <f t="shared" ca="1" si="10"/>
        <v>#N/A</v>
      </c>
      <c r="K69" t="e">
        <f t="shared" ca="1" si="0"/>
        <v>#N/A</v>
      </c>
      <c r="L69" s="142">
        <f t="shared" ca="1" si="1"/>
        <v>0</v>
      </c>
      <c r="N69">
        <v>6</v>
      </c>
      <c r="O69" s="18">
        <v>24.8</v>
      </c>
      <c r="P69" s="18">
        <v>26.04</v>
      </c>
      <c r="Q69" s="18">
        <v>27.34</v>
      </c>
      <c r="R69" s="18">
        <v>28.71</v>
      </c>
      <c r="S69" s="18">
        <v>30.14</v>
      </c>
      <c r="T69" s="18">
        <v>31.65</v>
      </c>
      <c r="U69" s="18">
        <v>33.229999999999997</v>
      </c>
      <c r="V69" s="18">
        <v>34.89</v>
      </c>
      <c r="W69" s="18">
        <v>36.630000000000003</v>
      </c>
      <c r="X69" s="18">
        <v>38.46</v>
      </c>
      <c r="Y69" s="18">
        <v>40.380000000000003</v>
      </c>
      <c r="Z69" s="82"/>
    </row>
    <row r="70" spans="1:26" ht="12.75" customHeight="1" x14ac:dyDescent="0.2">
      <c r="A70" s="2" t="e">
        <f t="shared" ca="1" si="2"/>
        <v>#N/A</v>
      </c>
      <c r="B70" s="4" t="e">
        <f t="shared" ca="1" si="3"/>
        <v>#N/A</v>
      </c>
      <c r="C70" s="17" t="e">
        <f t="shared" ca="1" si="4"/>
        <v>#N/A</v>
      </c>
      <c r="D70" s="17" t="e">
        <f t="shared" ca="1" si="5"/>
        <v>#N/A</v>
      </c>
      <c r="E70" s="47" t="e">
        <f t="shared" ca="1" si="6"/>
        <v>#N/A</v>
      </c>
      <c r="F70" s="7" t="e">
        <f t="shared" ca="1" si="7"/>
        <v>#N/A</v>
      </c>
      <c r="G70" s="19" t="e">
        <f t="shared" ca="1" si="8"/>
        <v>#N/A</v>
      </c>
      <c r="H70" s="19" t="e">
        <f t="shared" ca="1" si="9"/>
        <v>#N/A</v>
      </c>
      <c r="I70" s="19" t="e">
        <f ca="1">IF(OR($A70="",$N$1="",$M$16&lt;&gt;"C"),"",IFERROR(HLOOKUP($B70,$O$63:Z132,$N$1+1)*IF($D70&gt;42,$D70/30,1),0)+HLOOKUP($B70,$O$78:$Z$80,2)*MIN(3*IF($D70&gt;42,$D70/30,1),$J70)+HLOOKUP($B70,$O$78:$Z$80,3)*MAX(0,$J70-3*IF($D70&gt;42,$D70/30,1)))</f>
        <v>#N/A</v>
      </c>
      <c r="J70" s="55" t="e">
        <f t="shared" ca="1" si="10"/>
        <v>#N/A</v>
      </c>
      <c r="K70" t="e">
        <f t="shared" ca="1" si="0"/>
        <v>#N/A</v>
      </c>
      <c r="L70" s="142">
        <f t="shared" ca="1" si="1"/>
        <v>0</v>
      </c>
      <c r="N70">
        <v>7</v>
      </c>
      <c r="O70" s="18">
        <v>46.5</v>
      </c>
      <c r="P70" s="18">
        <v>48.83</v>
      </c>
      <c r="Q70" s="18">
        <v>51.27</v>
      </c>
      <c r="R70" s="18">
        <v>53.83</v>
      </c>
      <c r="S70" s="18">
        <v>56.52</v>
      </c>
      <c r="T70" s="18">
        <v>59.35</v>
      </c>
      <c r="U70" s="18">
        <v>62.32</v>
      </c>
      <c r="V70" s="18">
        <v>65.44</v>
      </c>
      <c r="W70" s="18">
        <v>68.709999999999994</v>
      </c>
      <c r="X70" s="18">
        <v>72.150000000000006</v>
      </c>
      <c r="Y70" s="18">
        <v>75.760000000000005</v>
      </c>
      <c r="Z70" s="82"/>
    </row>
    <row r="71" spans="1:26" ht="12.75" customHeight="1" x14ac:dyDescent="0.2">
      <c r="A71" s="2" t="e">
        <f t="shared" ca="1" si="2"/>
        <v>#N/A</v>
      </c>
      <c r="B71" s="4" t="e">
        <f t="shared" ca="1" si="3"/>
        <v>#N/A</v>
      </c>
      <c r="C71" s="17" t="e">
        <f t="shared" ca="1" si="4"/>
        <v>#N/A</v>
      </c>
      <c r="D71" s="17" t="e">
        <f t="shared" ca="1" si="5"/>
        <v>#N/A</v>
      </c>
      <c r="E71" s="47" t="e">
        <f t="shared" ca="1" si="6"/>
        <v>#N/A</v>
      </c>
      <c r="F71" s="7" t="e">
        <f t="shared" ca="1" si="7"/>
        <v>#N/A</v>
      </c>
      <c r="G71" s="19" t="e">
        <f t="shared" ca="1" si="8"/>
        <v>#N/A</v>
      </c>
      <c r="H71" s="19" t="e">
        <f t="shared" ca="1" si="9"/>
        <v>#N/A</v>
      </c>
      <c r="I71" s="19" t="e">
        <f ca="1">IF(OR($A71="",$N$1="",$M$16&lt;&gt;"C"),"",IFERROR(HLOOKUP($B71,$O$63:Z133,$N$1+1)*IF($D71&gt;42,$D71/30,1),0)+HLOOKUP($B71,$O$78:$Z$80,2)*MIN(3*IF($D71&gt;42,$D71/30,1),$J71)+HLOOKUP($B71,$O$78:$Z$80,3)*MAX(0,$J71-3*IF($D71&gt;42,$D71/30,1)))</f>
        <v>#N/A</v>
      </c>
      <c r="J71" s="55" t="e">
        <f t="shared" ca="1" si="10"/>
        <v>#N/A</v>
      </c>
      <c r="K71" t="e">
        <f t="shared" ca="1" si="0"/>
        <v>#N/A</v>
      </c>
      <c r="L71" s="142">
        <f t="shared" ca="1" si="1"/>
        <v>0</v>
      </c>
      <c r="N71">
        <v>8</v>
      </c>
      <c r="O71" s="18">
        <v>77.5</v>
      </c>
      <c r="P71" s="18">
        <v>81.38</v>
      </c>
      <c r="Q71" s="18">
        <v>85.44</v>
      </c>
      <c r="R71" s="18">
        <v>89.72</v>
      </c>
      <c r="S71" s="18">
        <v>94.2</v>
      </c>
      <c r="T71" s="18">
        <v>98.91</v>
      </c>
      <c r="U71" s="18">
        <v>103.86</v>
      </c>
      <c r="V71" s="18">
        <v>109.05</v>
      </c>
      <c r="W71" s="18">
        <v>114.5</v>
      </c>
      <c r="X71" s="18">
        <v>120.23</v>
      </c>
      <c r="Y71" s="18">
        <v>126.24</v>
      </c>
      <c r="Z71" s="82"/>
    </row>
    <row r="72" spans="1:26" ht="12.75" customHeight="1" x14ac:dyDescent="0.2">
      <c r="A72" s="2" t="e">
        <f t="shared" ca="1" si="2"/>
        <v>#N/A</v>
      </c>
      <c r="B72" s="4" t="e">
        <f t="shared" ca="1" si="3"/>
        <v>#N/A</v>
      </c>
      <c r="C72" s="17" t="e">
        <f t="shared" ca="1" si="4"/>
        <v>#N/A</v>
      </c>
      <c r="D72" s="17" t="e">
        <f t="shared" ca="1" si="5"/>
        <v>#N/A</v>
      </c>
      <c r="E72" s="47" t="e">
        <f t="shared" ca="1" si="6"/>
        <v>#N/A</v>
      </c>
      <c r="F72" s="7" t="e">
        <f t="shared" ca="1" si="7"/>
        <v>#N/A</v>
      </c>
      <c r="G72" s="19" t="e">
        <f t="shared" ca="1" si="8"/>
        <v>#N/A</v>
      </c>
      <c r="H72" s="19" t="e">
        <f t="shared" ca="1" si="9"/>
        <v>#N/A</v>
      </c>
      <c r="I72" s="19" t="e">
        <f ca="1">IF(OR($A72="",$N$1="",$M$16&lt;&gt;"C"),"",IFERROR(HLOOKUP($B72,$O$63:Z134,$N$1+1)*IF($D72&gt;42,$D72/30,1),0)+HLOOKUP($B72,$O$78:$Z$80,2)*MIN(3*IF($D72&gt;42,$D72/30,1),$J72)+HLOOKUP($B72,$O$78:$Z$80,3)*MAX(0,$J72-3*IF($D72&gt;42,$D72/30,1)))</f>
        <v>#N/A</v>
      </c>
      <c r="J72" s="55" t="e">
        <f t="shared" ca="1" si="10"/>
        <v>#N/A</v>
      </c>
      <c r="K72" t="e">
        <f t="shared" ca="1" si="0"/>
        <v>#N/A</v>
      </c>
      <c r="L72" s="142">
        <f t="shared" ca="1" si="1"/>
        <v>0</v>
      </c>
      <c r="N72">
        <v>9</v>
      </c>
      <c r="O72" s="18">
        <v>155</v>
      </c>
      <c r="P72" s="18">
        <v>162.75</v>
      </c>
      <c r="Q72" s="18">
        <v>170.89</v>
      </c>
      <c r="R72" s="18">
        <v>179.43</v>
      </c>
      <c r="S72" s="18">
        <v>188.4</v>
      </c>
      <c r="T72" s="18">
        <v>197.82</v>
      </c>
      <c r="U72" s="18">
        <v>207.71</v>
      </c>
      <c r="V72" s="18">
        <v>218.1</v>
      </c>
      <c r="W72" s="18">
        <v>229.01</v>
      </c>
      <c r="X72" s="18">
        <v>240.46</v>
      </c>
      <c r="Y72" s="18">
        <v>252.48</v>
      </c>
      <c r="Z72" s="82"/>
    </row>
    <row r="73" spans="1:26" ht="12.75" customHeight="1" x14ac:dyDescent="0.2">
      <c r="A73" s="2" t="e">
        <f t="shared" ca="1" si="2"/>
        <v>#N/A</v>
      </c>
      <c r="B73" s="4" t="e">
        <f t="shared" ca="1" si="3"/>
        <v>#N/A</v>
      </c>
      <c r="C73" s="17" t="e">
        <f t="shared" ca="1" si="4"/>
        <v>#N/A</v>
      </c>
      <c r="D73" s="17" t="e">
        <f t="shared" ca="1" si="5"/>
        <v>#N/A</v>
      </c>
      <c r="E73" s="47" t="e">
        <f t="shared" ca="1" si="6"/>
        <v>#N/A</v>
      </c>
      <c r="F73" s="7" t="e">
        <f t="shared" ca="1" si="7"/>
        <v>#N/A</v>
      </c>
      <c r="G73" s="19" t="e">
        <f t="shared" ca="1" si="8"/>
        <v>#N/A</v>
      </c>
      <c r="H73" s="19" t="e">
        <f t="shared" ca="1" si="9"/>
        <v>#N/A</v>
      </c>
      <c r="I73" s="19" t="e">
        <f ca="1">IF(OR($A73="",$N$1="",$M$16&lt;&gt;"C"),"",IFERROR(HLOOKUP($B73,$O$63:Z135,$N$1+1)*IF($D73&gt;42,$D73/30,1),0)+HLOOKUP($B73,$O$78:$Z$80,2)*MIN(3*IF($D73&gt;42,$D73/30,1),$J73)+HLOOKUP($B73,$O$78:$Z$80,3)*MAX(0,$J73-3*IF($D73&gt;42,$D73/30,1)))</f>
        <v>#N/A</v>
      </c>
      <c r="J73" s="55" t="e">
        <f t="shared" ca="1" si="10"/>
        <v>#N/A</v>
      </c>
      <c r="K73" t="e">
        <f t="shared" ca="1" si="0"/>
        <v>#N/A</v>
      </c>
      <c r="L73" s="142">
        <f t="shared" ca="1" si="1"/>
        <v>0</v>
      </c>
      <c r="N73">
        <v>10</v>
      </c>
      <c r="O73" s="18">
        <v>155</v>
      </c>
      <c r="P73" s="18">
        <v>162.75</v>
      </c>
      <c r="Q73" s="18">
        <v>170.89</v>
      </c>
      <c r="R73" s="18">
        <v>179.43</v>
      </c>
      <c r="S73" s="18">
        <v>188.4</v>
      </c>
      <c r="T73" s="18">
        <v>197.82</v>
      </c>
      <c r="U73" s="18">
        <v>207.71</v>
      </c>
      <c r="V73" s="18">
        <v>218.1</v>
      </c>
      <c r="W73" s="18">
        <v>229.01</v>
      </c>
      <c r="X73" s="18">
        <v>240.46</v>
      </c>
      <c r="Y73" s="18">
        <v>252.48</v>
      </c>
      <c r="Z73" s="82"/>
    </row>
    <row r="74" spans="1:26" ht="12.75" customHeight="1" x14ac:dyDescent="0.2">
      <c r="A74" s="2" t="e">
        <f t="shared" ca="1" si="2"/>
        <v>#N/A</v>
      </c>
      <c r="B74" s="4" t="e">
        <f t="shared" ca="1" si="3"/>
        <v>#N/A</v>
      </c>
      <c r="C74" s="17" t="e">
        <f t="shared" ca="1" si="4"/>
        <v>#N/A</v>
      </c>
      <c r="D74" s="17" t="e">
        <f t="shared" ca="1" si="5"/>
        <v>#N/A</v>
      </c>
      <c r="E74" s="47" t="e">
        <f t="shared" ca="1" si="6"/>
        <v>#N/A</v>
      </c>
      <c r="F74" s="7" t="e">
        <f t="shared" ca="1" si="7"/>
        <v>#N/A</v>
      </c>
      <c r="G74" s="19" t="e">
        <f t="shared" ca="1" si="8"/>
        <v>#N/A</v>
      </c>
      <c r="H74" s="19" t="e">
        <f t="shared" ca="1" si="9"/>
        <v>#N/A</v>
      </c>
      <c r="I74" s="19" t="e">
        <f ca="1">IF(OR($A74="",$N$1="",$M$16&lt;&gt;"C"),"",IFERROR(HLOOKUP($B74,$O$63:Z136,$N$1+1)*IF($D74&gt;42,$D74/30,1),0)+HLOOKUP($B74,$O$78:$Z$80,2)*MIN(3*IF($D74&gt;42,$D74/30,1),$J74)+HLOOKUP($B74,$O$78:$Z$80,3)*MAX(0,$J74-3*IF($D74&gt;42,$D74/30,1)))</f>
        <v>#N/A</v>
      </c>
      <c r="J74" s="55" t="e">
        <f t="shared" ca="1" si="10"/>
        <v>#N/A</v>
      </c>
      <c r="K74" t="e">
        <f t="shared" ca="1" si="0"/>
        <v>#N/A</v>
      </c>
      <c r="L74" s="142">
        <f t="shared" ca="1" si="1"/>
        <v>0</v>
      </c>
      <c r="N74">
        <v>11</v>
      </c>
      <c r="O74" s="18">
        <v>155</v>
      </c>
      <c r="P74" s="18">
        <v>162.75</v>
      </c>
      <c r="Q74" s="18">
        <v>170.89</v>
      </c>
      <c r="R74" s="18">
        <v>179.43</v>
      </c>
      <c r="S74" s="18">
        <v>188.4</v>
      </c>
      <c r="T74" s="18">
        <v>197.82</v>
      </c>
      <c r="U74" s="18">
        <v>207.71</v>
      </c>
      <c r="V74" s="18">
        <v>218.1</v>
      </c>
      <c r="W74" s="18">
        <v>229.01</v>
      </c>
      <c r="X74" s="18">
        <v>240.46</v>
      </c>
      <c r="Y74" s="18">
        <v>252.48</v>
      </c>
      <c r="Z74" s="82"/>
    </row>
    <row r="75" spans="1:26" x14ac:dyDescent="0.2">
      <c r="A75" s="2" t="e">
        <f t="shared" ca="1" si="2"/>
        <v>#N/A</v>
      </c>
      <c r="B75" s="4" t="e">
        <f t="shared" ca="1" si="3"/>
        <v>#N/A</v>
      </c>
      <c r="C75" s="17" t="e">
        <f t="shared" ca="1" si="4"/>
        <v>#N/A</v>
      </c>
      <c r="D75" s="17" t="e">
        <f t="shared" ca="1" si="5"/>
        <v>#N/A</v>
      </c>
      <c r="E75" s="47" t="e">
        <f t="shared" ca="1" si="6"/>
        <v>#N/A</v>
      </c>
      <c r="F75" s="7" t="e">
        <f t="shared" ca="1" si="7"/>
        <v>#N/A</v>
      </c>
      <c r="G75" s="19" t="e">
        <f t="shared" ca="1" si="8"/>
        <v>#N/A</v>
      </c>
      <c r="H75" s="19" t="e">
        <f t="shared" ca="1" si="9"/>
        <v>#N/A</v>
      </c>
      <c r="I75" s="19" t="e">
        <f ca="1">IF(OR($A75="",$N$1="",$M$16&lt;&gt;"C"),"",IFERROR(HLOOKUP($B75,$O$63:Z137,$N$1+1)*IF($D75&gt;42,$D75/30,1),0)+HLOOKUP($B75,$O$78:$Z$80,2)*MIN(3*IF($D75&gt;42,$D75/30,1),$J75)+HLOOKUP($B75,$O$78:$Z$80,3)*MAX(0,$J75-3*IF($D75&gt;42,$D75/30,1)))</f>
        <v>#N/A</v>
      </c>
      <c r="J75" s="55" t="e">
        <f t="shared" ca="1" si="10"/>
        <v>#N/A</v>
      </c>
      <c r="K75" t="e">
        <f t="shared" ca="1" si="0"/>
        <v>#N/A</v>
      </c>
      <c r="L75" s="142">
        <f t="shared" ca="1" si="1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</row>
    <row r="76" spans="1:26" x14ac:dyDescent="0.2">
      <c r="A76" s="2" t="e">
        <f t="shared" ca="1" si="2"/>
        <v>#N/A</v>
      </c>
      <c r="B76" s="4" t="e">
        <f t="shared" ca="1" si="3"/>
        <v>#N/A</v>
      </c>
      <c r="C76" s="17" t="e">
        <f t="shared" ca="1" si="4"/>
        <v>#N/A</v>
      </c>
      <c r="D76" s="17" t="e">
        <f t="shared" ca="1" si="5"/>
        <v>#N/A</v>
      </c>
      <c r="E76" s="47" t="e">
        <f t="shared" ca="1" si="6"/>
        <v>#N/A</v>
      </c>
      <c r="F76" s="7" t="e">
        <f t="shared" ca="1" si="7"/>
        <v>#N/A</v>
      </c>
      <c r="G76" s="19" t="e">
        <f t="shared" ca="1" si="8"/>
        <v>#N/A</v>
      </c>
      <c r="H76" s="19" t="e">
        <f t="shared" ca="1" si="9"/>
        <v>#N/A</v>
      </c>
      <c r="I76" s="19" t="e">
        <f ca="1">IF(OR($A76="",$N$1="",$M$16&lt;&gt;"C"),"",IFERROR(HLOOKUP($B76,$O$63:Z138,$N$1+1)*IF($D76&gt;42,$D76/30,1),0)+HLOOKUP($B76,$O$78:$Z$80,2)*MIN(3*IF($D76&gt;42,$D76/30,1),$J76)+HLOOKUP($B76,$O$78:$Z$80,3)*MAX(0,$J76-3*IF($D76&gt;42,$D76/30,1)))</f>
        <v>#N/A</v>
      </c>
      <c r="J76" s="55" t="e">
        <f t="shared" ca="1" si="10"/>
        <v>#N/A</v>
      </c>
      <c r="K76" t="e">
        <f t="shared" ref="K76:K103" ca="1" si="45">IF(ROW()&gt;($M$15-$M$14+12),0,MATCH(B76,INDIRECT("'Reading History'!B"&amp;$M$14&amp;":b"&amp;$M$15),-1))</f>
        <v>#N/A</v>
      </c>
      <c r="L76" s="142">
        <f t="shared" ref="L76:L139" ca="1" si="46">IFERROR(H76+I76,0)</f>
        <v>0</v>
      </c>
      <c r="O76" s="82">
        <f>+ROUND((Y80-O80)/O80,2)</f>
        <v>0.64</v>
      </c>
      <c r="P76" s="82">
        <f t="shared" ref="P76:Y76" si="47">+ROUND((P80-O80)/O80,2)</f>
        <v>0.05</v>
      </c>
      <c r="Q76" s="82">
        <f t="shared" si="47"/>
        <v>0.05</v>
      </c>
      <c r="R76" s="82">
        <f t="shared" si="47"/>
        <v>0.05</v>
      </c>
      <c r="S76" s="82">
        <f t="shared" si="47"/>
        <v>0.05</v>
      </c>
      <c r="T76" s="82">
        <f t="shared" si="47"/>
        <v>0.05</v>
      </c>
      <c r="U76" s="82">
        <f t="shared" si="47"/>
        <v>0.05</v>
      </c>
      <c r="V76" s="82">
        <f t="shared" si="47"/>
        <v>0.05</v>
      </c>
      <c r="W76" s="82">
        <f t="shared" si="47"/>
        <v>0.05</v>
      </c>
      <c r="X76" s="82">
        <f t="shared" si="47"/>
        <v>0.05</v>
      </c>
      <c r="Y76" s="82">
        <f t="shared" si="47"/>
        <v>0.05</v>
      </c>
    </row>
    <row r="77" spans="1:26" x14ac:dyDescent="0.2">
      <c r="A77" s="2" t="e">
        <f t="shared" ref="A77:A140" ca="1" si="48">IF(ROW()&gt;($M$15-$M$14+12),"",INDIRECT("'Reading History'!A"&amp;$K77+$M$14-1))</f>
        <v>#N/A</v>
      </c>
      <c r="B77" s="4" t="e">
        <f t="shared" ref="B77:B103" ca="1" si="49">INDIRECT("'Reading History'!B"&amp;$M$14+K76)</f>
        <v>#N/A</v>
      </c>
      <c r="C77" s="17" t="e">
        <f t="shared" ref="C77:C140" ca="1" si="50">IF($A77="","",INDIRECT("'Reading History'!G"&amp;$K77+$M$14-1))</f>
        <v>#N/A</v>
      </c>
      <c r="D77" s="17" t="e">
        <f t="shared" ref="D77:D140" ca="1" si="51">IF($A77="","",INDIRECT("'Reading History'!H"&amp;$K77+$M$14-1))</f>
        <v>#N/A</v>
      </c>
      <c r="E77" s="47" t="e">
        <f t="shared" ref="E77:E140" ca="1" si="52">IF($A77="","",INDIRECT("'Reading History'!I"&amp;$K77+$M$14-1))</f>
        <v>#N/A</v>
      </c>
      <c r="F77" s="7" t="e">
        <f t="shared" ref="F77:F140" ca="1" si="53">IF($A77="","",IF(RIGHT(INDIRECT("'Reading History'!E"&amp;$K77+$M$14-1),4)="Read",LEFT(INDIRECT("'Reading History'!E"&amp;$K77+$M$14-1),LEN(INDIRECT("'Reading History'!E"&amp;$K77+$M$14-1))-5),INDIRECT("'Reading History'!E"&amp;$K77+$M$14-1)))</f>
        <v>#N/A</v>
      </c>
      <c r="G77" s="19" t="e">
        <f t="shared" ref="G77:G140" ca="1" si="54">IF($A77="","",ROUND((+HLOOKUP($B77,$O$20:$W$31,$M$1+1)*IF($D77&gt;42,$D77/30,1)+HLOOKUP($B77,IF($M$1&lt;3,$O$35:$W$39,$O$43:$W$47),2)*MIN($E77,5*IF(D77&gt;42,D77/30,1))+HLOOKUP($B77,IF($M$1&lt;3,$O$35:$W$39,$O$43:$W$47),3)*MIN(5*IF(D77&gt;42,D77/30,1),MAX(0,$E77-5*IF(D77&gt;42,D77/30,1)))+HLOOKUP($B77,IF($M$1&lt;3,$O$35:$W$39,$O$43:$W$47),4)*MIN(990*IF(D77&gt;42,D77/30,1),MAX(0,$E77-10*IF(D77&gt;42,D77/30,1)))+HLOOKUP($B77,IF($M$1&lt;3,$O$35:$W$39,$O$43:$W$47),5)*MAX(0,$E77-1000*IF(D77&gt;42,D77/30,1)))*IF($M$16="O",1.3,1),2))</f>
        <v>#N/A</v>
      </c>
      <c r="H77" s="19" t="e">
        <f t="shared" ref="H77:H140" ca="1" si="55">IF(OR($A77="",$N$1=""),"",HLOOKUP($B77,$O$51:$Z$53,IF($M$16="C",2,3))*IF($D77&gt;42,$D77/30,1)+HLOOKUP($B77,$O$57:$Z$59,IF($M$16="C",2,3))*$J77)</f>
        <v>#N/A</v>
      </c>
      <c r="I77" s="19" t="e">
        <f ca="1">IF(OR($A77="",$N$1="",$M$16&lt;&gt;"C"),"",IFERROR(HLOOKUP($B77,$O$63:Z139,$N$1+1)*IF($D77&gt;42,$D77/30,1),0)+HLOOKUP($B77,$O$78:$Z$80,2)*MIN(3*IF($D77&gt;42,$D77/30,1),$J77)+HLOOKUP($B77,$O$78:$Z$80,3)*MAX(0,$J77-3*IF($D77&gt;42,$D77/30,1)))</f>
        <v>#N/A</v>
      </c>
      <c r="J77" s="55" t="e">
        <f t="shared" ref="J77:J103" ca="1" si="56">IF($A77="","",IF(ISNA($M$13),E77,IF(M$14-$M$13&gt;=K77,INDIRECT("'Reading History'!I"&amp;$K77+$M$13-1),E77)))</f>
        <v>#N/A</v>
      </c>
      <c r="K77" t="e">
        <f t="shared" ca="1" si="45"/>
        <v>#N/A</v>
      </c>
      <c r="L77" s="142">
        <f t="shared" ca="1" si="46"/>
        <v>0</v>
      </c>
      <c r="N77" s="1" t="s">
        <v>132</v>
      </c>
      <c r="P77" s="148" t="s">
        <v>213</v>
      </c>
    </row>
    <row r="78" spans="1:26" ht="15" x14ac:dyDescent="0.25">
      <c r="A78" s="2" t="e">
        <f t="shared" ca="1" si="48"/>
        <v>#N/A</v>
      </c>
      <c r="B78" s="4" t="e">
        <f t="shared" ca="1" si="49"/>
        <v>#N/A</v>
      </c>
      <c r="C78" s="17" t="e">
        <f t="shared" ca="1" si="50"/>
        <v>#N/A</v>
      </c>
      <c r="D78" s="17" t="e">
        <f t="shared" ca="1" si="51"/>
        <v>#N/A</v>
      </c>
      <c r="E78" s="47" t="e">
        <f t="shared" ca="1" si="52"/>
        <v>#N/A</v>
      </c>
      <c r="F78" s="7" t="e">
        <f t="shared" ca="1" si="53"/>
        <v>#N/A</v>
      </c>
      <c r="G78" s="19" t="e">
        <f t="shared" ca="1" si="54"/>
        <v>#N/A</v>
      </c>
      <c r="H78" s="19" t="e">
        <f t="shared" ca="1" si="55"/>
        <v>#N/A</v>
      </c>
      <c r="I78" s="19" t="e">
        <f ca="1">IF(OR($A78="",$N$1="",$M$16&lt;&gt;"C"),"",IFERROR(HLOOKUP($B78,$O$63:Z140,$N$1+1)*IF($D78&gt;42,$D78/30,1),0)+HLOOKUP($B78,$O$78:$Z$80,2)*MIN(3*IF($D78&gt;42,$D78/30,1),$J78)+HLOOKUP($B78,$O$78:$Z$80,3)*MAX(0,$J78-3*IF($D78&gt;42,$D78/30,1)))</f>
        <v>#N/A</v>
      </c>
      <c r="J78" s="55" t="e">
        <f t="shared" ca="1" si="56"/>
        <v>#N/A</v>
      </c>
      <c r="K78" t="e">
        <f t="shared" ca="1" si="45"/>
        <v>#N/A</v>
      </c>
      <c r="L78" s="142">
        <f t="shared" ca="1" si="46"/>
        <v>0</v>
      </c>
      <c r="N78" s="83"/>
      <c r="O78" s="141">
        <v>35247</v>
      </c>
      <c r="P78" s="141">
        <v>41456</v>
      </c>
      <c r="Q78" s="141">
        <v>41821</v>
      </c>
      <c r="R78" s="141">
        <v>42186</v>
      </c>
      <c r="S78" s="141">
        <v>42552</v>
      </c>
      <c r="T78" s="141">
        <v>42917</v>
      </c>
      <c r="U78" s="141">
        <v>43282</v>
      </c>
      <c r="V78" s="141">
        <v>43647</v>
      </c>
      <c r="W78" s="141">
        <v>44013</v>
      </c>
      <c r="X78" s="141">
        <v>44378</v>
      </c>
      <c r="Y78" s="141">
        <v>44743</v>
      </c>
    </row>
    <row r="79" spans="1:26" x14ac:dyDescent="0.2">
      <c r="A79" s="2" t="e">
        <f t="shared" ca="1" si="48"/>
        <v>#N/A</v>
      </c>
      <c r="B79" s="4" t="e">
        <f t="shared" ca="1" si="49"/>
        <v>#N/A</v>
      </c>
      <c r="C79" s="17" t="e">
        <f t="shared" ca="1" si="50"/>
        <v>#N/A</v>
      </c>
      <c r="D79" s="17" t="e">
        <f t="shared" ca="1" si="51"/>
        <v>#N/A</v>
      </c>
      <c r="E79" s="47" t="e">
        <f t="shared" ca="1" si="52"/>
        <v>#N/A</v>
      </c>
      <c r="F79" s="7" t="e">
        <f t="shared" ca="1" si="53"/>
        <v>#N/A</v>
      </c>
      <c r="G79" s="19" t="e">
        <f t="shared" ca="1" si="54"/>
        <v>#N/A</v>
      </c>
      <c r="H79" s="19" t="e">
        <f t="shared" ca="1" si="55"/>
        <v>#N/A</v>
      </c>
      <c r="I79" s="19" t="e">
        <f ca="1">IF(OR($A79="",$N$1="",$M$16&lt;&gt;"C"),"",IFERROR(HLOOKUP($B79,$O$63:Z141,$N$1+1)*IF($D79&gt;42,$D79/30,1),0)+HLOOKUP($B79,$O$78:$Z$80,2)*MIN(3*IF($D79&gt;42,$D79/30,1),$J79)+HLOOKUP($B79,$O$78:$Z$80,3)*MAX(0,$J79-3*IF($D79&gt;42,$D79/30,1)))</f>
        <v>#N/A</v>
      </c>
      <c r="J79" s="55" t="e">
        <f t="shared" ca="1" si="56"/>
        <v>#N/A</v>
      </c>
      <c r="K79" t="e">
        <f t="shared" ca="1" si="45"/>
        <v>#N/A</v>
      </c>
      <c r="L79" s="142">
        <f t="shared" ca="1" si="46"/>
        <v>0</v>
      </c>
      <c r="N79" s="88" t="s">
        <v>200</v>
      </c>
      <c r="O79" s="18">
        <v>0.35</v>
      </c>
      <c r="P79" s="18">
        <v>0.37</v>
      </c>
      <c r="Q79" s="18">
        <v>0.39</v>
      </c>
      <c r="R79" s="18">
        <v>0.41</v>
      </c>
      <c r="S79" s="18">
        <v>0.43</v>
      </c>
      <c r="T79" s="18">
        <v>0.45</v>
      </c>
      <c r="U79" s="18">
        <v>0.47</v>
      </c>
      <c r="V79" s="18">
        <v>0.49</v>
      </c>
      <c r="W79" s="18">
        <v>0.51</v>
      </c>
      <c r="X79" s="18">
        <v>0.54</v>
      </c>
      <c r="Y79" s="18">
        <v>0.56999999999999995</v>
      </c>
    </row>
    <row r="80" spans="1:26" x14ac:dyDescent="0.2">
      <c r="A80" s="2" t="e">
        <f t="shared" ca="1" si="48"/>
        <v>#N/A</v>
      </c>
      <c r="B80" s="4" t="e">
        <f t="shared" ca="1" si="49"/>
        <v>#N/A</v>
      </c>
      <c r="C80" s="17" t="e">
        <f t="shared" ca="1" si="50"/>
        <v>#N/A</v>
      </c>
      <c r="D80" s="17" t="e">
        <f t="shared" ca="1" si="51"/>
        <v>#N/A</v>
      </c>
      <c r="E80" s="47" t="e">
        <f t="shared" ca="1" si="52"/>
        <v>#N/A</v>
      </c>
      <c r="F80" s="7" t="e">
        <f t="shared" ca="1" si="53"/>
        <v>#N/A</v>
      </c>
      <c r="G80" s="19" t="e">
        <f t="shared" ca="1" si="54"/>
        <v>#N/A</v>
      </c>
      <c r="H80" s="19" t="e">
        <f t="shared" ca="1" si="55"/>
        <v>#N/A</v>
      </c>
      <c r="I80" s="19" t="e">
        <f ca="1">IF(OR($A80="",$N$1="",$M$16&lt;&gt;"C"),"",IFERROR(HLOOKUP($B80,$O$63:Z142,$N$1+1)*IF($D80&gt;42,$D80/30,1),0)+HLOOKUP($B80,$O$78:$Z$80,2)*MIN(3*IF($D80&gt;42,$D80/30,1),$J80)+HLOOKUP($B80,$O$78:$Z$80,3)*MAX(0,$J80-3*IF($D80&gt;42,$D80/30,1)))</f>
        <v>#N/A</v>
      </c>
      <c r="J80" s="55" t="e">
        <f t="shared" ca="1" si="56"/>
        <v>#N/A</v>
      </c>
      <c r="K80" t="e">
        <f t="shared" ca="1" si="45"/>
        <v>#N/A</v>
      </c>
      <c r="L80" s="142">
        <f t="shared" ca="1" si="46"/>
        <v>0</v>
      </c>
      <c r="N80" s="88" t="s">
        <v>201</v>
      </c>
      <c r="O80" s="18">
        <v>0.75</v>
      </c>
      <c r="P80" s="18">
        <v>0.79</v>
      </c>
      <c r="Q80" s="18">
        <v>0.83</v>
      </c>
      <c r="R80" s="18">
        <v>0.87</v>
      </c>
      <c r="S80" s="18">
        <v>0.91</v>
      </c>
      <c r="T80" s="18">
        <v>0.96</v>
      </c>
      <c r="U80" s="18">
        <v>1.01</v>
      </c>
      <c r="V80" s="18">
        <v>1.06</v>
      </c>
      <c r="W80" s="18">
        <v>1.1100000000000001</v>
      </c>
      <c r="X80" s="18">
        <v>1.17</v>
      </c>
      <c r="Y80" s="18">
        <v>1.23</v>
      </c>
    </row>
    <row r="81" spans="1:24" x14ac:dyDescent="0.2">
      <c r="A81" s="2" t="e">
        <f t="shared" ca="1" si="48"/>
        <v>#N/A</v>
      </c>
      <c r="B81" s="4" t="e">
        <f t="shared" ca="1" si="49"/>
        <v>#N/A</v>
      </c>
      <c r="C81" s="17" t="e">
        <f t="shared" ca="1" si="50"/>
        <v>#N/A</v>
      </c>
      <c r="D81" s="17" t="e">
        <f t="shared" ca="1" si="51"/>
        <v>#N/A</v>
      </c>
      <c r="E81" s="47" t="e">
        <f t="shared" ca="1" si="52"/>
        <v>#N/A</v>
      </c>
      <c r="F81" s="7" t="e">
        <f t="shared" ca="1" si="53"/>
        <v>#N/A</v>
      </c>
      <c r="G81" s="19" t="e">
        <f t="shared" ca="1" si="54"/>
        <v>#N/A</v>
      </c>
      <c r="H81" s="19" t="e">
        <f t="shared" ca="1" si="55"/>
        <v>#N/A</v>
      </c>
      <c r="I81" s="19" t="e">
        <f ca="1">IF(OR($A81="",$N$1="",$M$16&lt;&gt;"C"),"",IFERROR(HLOOKUP($B81,$O$63:Z143,$N$1+1)*IF($D81&gt;42,$D81/30,1),0)+HLOOKUP($B81,$O$78:$Z$80,2)*MIN(3*IF($D81&gt;42,$D81/30,1),$J81)+HLOOKUP($B81,$O$78:$Z$80,3)*MAX(0,$J81-3*IF($D81&gt;42,$D81/30,1)))</f>
        <v>#N/A</v>
      </c>
      <c r="J81" s="55" t="e">
        <f t="shared" ca="1" si="56"/>
        <v>#N/A</v>
      </c>
      <c r="K81" t="e">
        <f t="shared" ca="1" si="45"/>
        <v>#N/A</v>
      </c>
      <c r="L81" s="142">
        <f t="shared" ca="1" si="46"/>
        <v>0</v>
      </c>
    </row>
    <row r="82" spans="1:24" x14ac:dyDescent="0.2">
      <c r="A82" s="2" t="e">
        <f t="shared" ca="1" si="48"/>
        <v>#N/A</v>
      </c>
      <c r="B82" s="4" t="e">
        <f t="shared" ca="1" si="49"/>
        <v>#N/A</v>
      </c>
      <c r="C82" s="17" t="e">
        <f t="shared" ca="1" si="50"/>
        <v>#N/A</v>
      </c>
      <c r="D82" s="17" t="e">
        <f t="shared" ca="1" si="51"/>
        <v>#N/A</v>
      </c>
      <c r="E82" s="47" t="e">
        <f t="shared" ca="1" si="52"/>
        <v>#N/A</v>
      </c>
      <c r="F82" s="7" t="e">
        <f t="shared" ca="1" si="53"/>
        <v>#N/A</v>
      </c>
      <c r="G82" s="19" t="e">
        <f t="shared" ca="1" si="54"/>
        <v>#N/A</v>
      </c>
      <c r="H82" s="19" t="e">
        <f t="shared" ca="1" si="55"/>
        <v>#N/A</v>
      </c>
      <c r="I82" s="19" t="e">
        <f ca="1">IF(OR($A82="",$N$1="",$M$16&lt;&gt;"C"),"",IFERROR(HLOOKUP($B82,$O$63:Z144,$N$1+1)*IF($D82&gt;42,$D82/30,1),0)+HLOOKUP($B82,$O$78:$Z$80,2)*MIN(3*IF($D82&gt;42,$D82/30,1),$J82)+HLOOKUP($B82,$O$78:$Z$80,3)*MAX(0,$J82-3*IF($D82&gt;42,$D82/30,1)))</f>
        <v>#N/A</v>
      </c>
      <c r="J82" s="55" t="e">
        <f t="shared" ca="1" si="56"/>
        <v>#N/A</v>
      </c>
      <c r="K82" t="e">
        <f t="shared" ca="1" si="45"/>
        <v>#N/A</v>
      </c>
      <c r="L82" s="142">
        <f t="shared" ca="1" si="46"/>
        <v>0</v>
      </c>
    </row>
    <row r="83" spans="1:24" x14ac:dyDescent="0.2">
      <c r="A83" s="2" t="e">
        <f t="shared" ca="1" si="48"/>
        <v>#N/A</v>
      </c>
      <c r="B83" s="4" t="e">
        <f t="shared" ca="1" si="49"/>
        <v>#N/A</v>
      </c>
      <c r="C83" s="17" t="e">
        <f t="shared" ca="1" si="50"/>
        <v>#N/A</v>
      </c>
      <c r="D83" s="17" t="e">
        <f t="shared" ca="1" si="51"/>
        <v>#N/A</v>
      </c>
      <c r="E83" s="47" t="e">
        <f t="shared" ca="1" si="52"/>
        <v>#N/A</v>
      </c>
      <c r="F83" s="7" t="e">
        <f t="shared" ca="1" si="53"/>
        <v>#N/A</v>
      </c>
      <c r="G83" s="19" t="e">
        <f t="shared" ca="1" si="54"/>
        <v>#N/A</v>
      </c>
      <c r="H83" s="19" t="e">
        <f t="shared" ca="1" si="55"/>
        <v>#N/A</v>
      </c>
      <c r="I83" s="19" t="e">
        <f ca="1">IF(OR($A83="",$N$1="",$M$16&lt;&gt;"C"),"",IFERROR(HLOOKUP($B83,$O$63:Z145,$N$1+1)*IF($D83&gt;42,$D83/30,1),0)+HLOOKUP($B83,$O$78:$Z$80,2)*MIN(3*IF($D83&gt;42,$D83/30,1),$J83)+HLOOKUP($B83,$O$78:$Z$80,3)*MAX(0,$J83-3*IF($D83&gt;42,$D83/30,1)))</f>
        <v>#N/A</v>
      </c>
      <c r="J83" s="55" t="e">
        <f t="shared" ca="1" si="56"/>
        <v>#N/A</v>
      </c>
      <c r="K83" t="e">
        <f t="shared" ca="1" si="45"/>
        <v>#N/A</v>
      </c>
      <c r="L83" s="142">
        <f t="shared" ca="1" si="46"/>
        <v>0</v>
      </c>
    </row>
    <row r="84" spans="1:24" x14ac:dyDescent="0.2">
      <c r="A84" s="2" t="e">
        <f t="shared" ca="1" si="48"/>
        <v>#N/A</v>
      </c>
      <c r="B84" s="4" t="e">
        <f t="shared" ca="1" si="49"/>
        <v>#N/A</v>
      </c>
      <c r="C84" s="17" t="e">
        <f t="shared" ca="1" si="50"/>
        <v>#N/A</v>
      </c>
      <c r="D84" s="17" t="e">
        <f t="shared" ca="1" si="51"/>
        <v>#N/A</v>
      </c>
      <c r="E84" s="47" t="e">
        <f t="shared" ca="1" si="52"/>
        <v>#N/A</v>
      </c>
      <c r="F84" s="7" t="e">
        <f t="shared" ca="1" si="53"/>
        <v>#N/A</v>
      </c>
      <c r="G84" s="19" t="e">
        <f t="shared" ca="1" si="54"/>
        <v>#N/A</v>
      </c>
      <c r="H84" s="19" t="e">
        <f t="shared" ca="1" si="55"/>
        <v>#N/A</v>
      </c>
      <c r="I84" s="19" t="e">
        <f ca="1">IF(OR($A84="",$N$1="",$M$16&lt;&gt;"C"),"",IFERROR(HLOOKUP($B84,$O$63:Z146,$N$1+1)*IF($D84&gt;42,$D84/30,1),0)+HLOOKUP($B84,$O$78:$Z$80,2)*MIN(3*IF($D84&gt;42,$D84/30,1),$J84)+HLOOKUP($B84,$O$78:$Z$80,3)*MAX(0,$J84-3*IF($D84&gt;42,$D84/30,1)))</f>
        <v>#N/A</v>
      </c>
      <c r="J84" s="55" t="e">
        <f t="shared" ca="1" si="56"/>
        <v>#N/A</v>
      </c>
      <c r="K84" t="e">
        <f t="shared" ca="1" si="45"/>
        <v>#N/A</v>
      </c>
      <c r="L84" s="142">
        <f t="shared" ca="1" si="46"/>
        <v>0</v>
      </c>
    </row>
    <row r="85" spans="1:24" x14ac:dyDescent="0.2">
      <c r="A85" s="2" t="e">
        <f t="shared" ca="1" si="48"/>
        <v>#N/A</v>
      </c>
      <c r="B85" s="4" t="e">
        <f t="shared" ca="1" si="49"/>
        <v>#N/A</v>
      </c>
      <c r="C85" s="17" t="e">
        <f t="shared" ca="1" si="50"/>
        <v>#N/A</v>
      </c>
      <c r="D85" s="17" t="e">
        <f t="shared" ca="1" si="51"/>
        <v>#N/A</v>
      </c>
      <c r="E85" s="47" t="e">
        <f t="shared" ca="1" si="52"/>
        <v>#N/A</v>
      </c>
      <c r="F85" s="7" t="e">
        <f t="shared" ca="1" si="53"/>
        <v>#N/A</v>
      </c>
      <c r="G85" s="19" t="e">
        <f t="shared" ca="1" si="54"/>
        <v>#N/A</v>
      </c>
      <c r="H85" s="19" t="e">
        <f t="shared" ca="1" si="55"/>
        <v>#N/A</v>
      </c>
      <c r="I85" s="19" t="e">
        <f ca="1">IF(OR($A85="",$N$1="",$M$16&lt;&gt;"C"),"",IFERROR(HLOOKUP($B85,$O$63:Z147,$N$1+1)*IF($D85&gt;42,$D85/30,1),0)+HLOOKUP($B85,$O$78:$Z$80,2)*MIN(3*IF($D85&gt;42,$D85/30,1),$J85)+HLOOKUP($B85,$O$78:$Z$80,3)*MAX(0,$J85-3*IF($D85&gt;42,$D85/30,1)))</f>
        <v>#N/A</v>
      </c>
      <c r="J85" s="55" t="e">
        <f t="shared" ca="1" si="56"/>
        <v>#N/A</v>
      </c>
      <c r="K85" t="e">
        <f t="shared" ca="1" si="45"/>
        <v>#N/A</v>
      </c>
      <c r="L85" s="142">
        <f t="shared" ca="1" si="46"/>
        <v>0</v>
      </c>
    </row>
    <row r="86" spans="1:24" x14ac:dyDescent="0.2">
      <c r="A86" s="2" t="e">
        <f t="shared" ca="1" si="48"/>
        <v>#N/A</v>
      </c>
      <c r="B86" s="4" t="e">
        <f t="shared" ca="1" si="49"/>
        <v>#N/A</v>
      </c>
      <c r="C86" s="17" t="e">
        <f t="shared" ca="1" si="50"/>
        <v>#N/A</v>
      </c>
      <c r="D86" s="17" t="e">
        <f t="shared" ca="1" si="51"/>
        <v>#N/A</v>
      </c>
      <c r="E86" s="47" t="e">
        <f t="shared" ca="1" si="52"/>
        <v>#N/A</v>
      </c>
      <c r="F86" s="7" t="e">
        <f t="shared" ca="1" si="53"/>
        <v>#N/A</v>
      </c>
      <c r="G86" s="19" t="e">
        <f t="shared" ca="1" si="54"/>
        <v>#N/A</v>
      </c>
      <c r="H86" s="19" t="e">
        <f t="shared" ca="1" si="55"/>
        <v>#N/A</v>
      </c>
      <c r="I86" s="19" t="e">
        <f ca="1">IF(OR($A86="",$N$1="",$M$16&lt;&gt;"C"),"",IFERROR(HLOOKUP($B86,$O$63:Z148,$N$1+1)*IF($D86&gt;42,$D86/30,1),0)+HLOOKUP($B86,$O$78:$Z$80,2)*MIN(3*IF($D86&gt;42,$D86/30,1),$J86)+HLOOKUP($B86,$O$78:$Z$80,3)*MAX(0,$J86-3*IF($D86&gt;42,$D86/30,1)))</f>
        <v>#N/A</v>
      </c>
      <c r="J86" s="55" t="e">
        <f t="shared" ca="1" si="56"/>
        <v>#N/A</v>
      </c>
      <c r="K86" t="e">
        <f t="shared" ca="1" si="45"/>
        <v>#N/A</v>
      </c>
      <c r="L86" s="142">
        <f t="shared" ca="1" si="46"/>
        <v>0</v>
      </c>
    </row>
    <row r="87" spans="1:24" x14ac:dyDescent="0.2">
      <c r="A87" s="2" t="e">
        <f t="shared" ca="1" si="48"/>
        <v>#N/A</v>
      </c>
      <c r="B87" s="4" t="e">
        <f t="shared" ca="1" si="49"/>
        <v>#N/A</v>
      </c>
      <c r="C87" s="17" t="e">
        <f t="shared" ca="1" si="50"/>
        <v>#N/A</v>
      </c>
      <c r="D87" s="17" t="e">
        <f t="shared" ca="1" si="51"/>
        <v>#N/A</v>
      </c>
      <c r="E87" s="47" t="e">
        <f t="shared" ca="1" si="52"/>
        <v>#N/A</v>
      </c>
      <c r="F87" s="7" t="e">
        <f t="shared" ca="1" si="53"/>
        <v>#N/A</v>
      </c>
      <c r="G87" s="19" t="e">
        <f t="shared" ca="1" si="54"/>
        <v>#N/A</v>
      </c>
      <c r="H87" s="19" t="e">
        <f t="shared" ca="1" si="55"/>
        <v>#N/A</v>
      </c>
      <c r="I87" s="19" t="e">
        <f ca="1">IF(OR($A87="",$N$1="",$M$16&lt;&gt;"C"),"",IFERROR(HLOOKUP($B87,$O$63:Z149,$N$1+1)*IF($D87&gt;42,$D87/30,1),0)+HLOOKUP($B87,$O$78:$Z$80,2)*MIN(3*IF($D87&gt;42,$D87/30,1),$J87)+HLOOKUP($B87,$O$78:$Z$80,3)*MAX(0,$J87-3*IF($D87&gt;42,$D87/30,1)))</f>
        <v>#N/A</v>
      </c>
      <c r="J87" s="55" t="e">
        <f t="shared" ca="1" si="56"/>
        <v>#N/A</v>
      </c>
      <c r="K87" t="e">
        <f t="shared" ca="1" si="45"/>
        <v>#N/A</v>
      </c>
      <c r="L87" s="142">
        <f t="shared" ca="1" si="46"/>
        <v>0</v>
      </c>
    </row>
    <row r="88" spans="1:24" x14ac:dyDescent="0.2">
      <c r="A88" s="2" t="e">
        <f t="shared" ca="1" si="48"/>
        <v>#N/A</v>
      </c>
      <c r="B88" s="4" t="e">
        <f t="shared" ca="1" si="49"/>
        <v>#N/A</v>
      </c>
      <c r="C88" s="17" t="e">
        <f t="shared" ca="1" si="50"/>
        <v>#N/A</v>
      </c>
      <c r="D88" s="17" t="e">
        <f t="shared" ca="1" si="51"/>
        <v>#N/A</v>
      </c>
      <c r="E88" s="47" t="e">
        <f t="shared" ca="1" si="52"/>
        <v>#N/A</v>
      </c>
      <c r="F88" s="7" t="e">
        <f t="shared" ca="1" si="53"/>
        <v>#N/A</v>
      </c>
      <c r="G88" s="19" t="e">
        <f t="shared" ca="1" si="54"/>
        <v>#N/A</v>
      </c>
      <c r="H88" s="19" t="e">
        <f t="shared" ca="1" si="55"/>
        <v>#N/A</v>
      </c>
      <c r="I88" s="19" t="e">
        <f ca="1">IF(OR($A88="",$N$1="",$M$16&lt;&gt;"C"),"",IFERROR(HLOOKUP($B88,$O$63:Z150,$N$1+1)*IF($D88&gt;42,$D88/30,1),0)+HLOOKUP($B88,$O$78:$Z$80,2)*MIN(3*IF($D88&gt;42,$D88/30,1),$J88)+HLOOKUP($B88,$O$78:$Z$80,3)*MAX(0,$J88-3*IF($D88&gt;42,$D88/30,1)))</f>
        <v>#N/A</v>
      </c>
      <c r="J88" s="55" t="e">
        <f t="shared" ca="1" si="56"/>
        <v>#N/A</v>
      </c>
      <c r="K88" t="e">
        <f t="shared" ca="1" si="45"/>
        <v>#N/A</v>
      </c>
      <c r="L88" s="142">
        <f t="shared" ca="1" si="46"/>
        <v>0</v>
      </c>
      <c r="V88" s="18"/>
      <c r="W88" s="18"/>
      <c r="X88" s="18"/>
    </row>
    <row r="89" spans="1:24" ht="15" x14ac:dyDescent="0.25">
      <c r="A89" s="2" t="e">
        <f t="shared" ca="1" si="48"/>
        <v>#N/A</v>
      </c>
      <c r="B89" s="4" t="e">
        <f t="shared" ca="1" si="49"/>
        <v>#N/A</v>
      </c>
      <c r="C89" s="17" t="e">
        <f t="shared" ca="1" si="50"/>
        <v>#N/A</v>
      </c>
      <c r="D89" s="17" t="e">
        <f t="shared" ca="1" si="51"/>
        <v>#N/A</v>
      </c>
      <c r="E89" s="47" t="e">
        <f t="shared" ca="1" si="52"/>
        <v>#N/A</v>
      </c>
      <c r="F89" s="7" t="e">
        <f t="shared" ca="1" si="53"/>
        <v>#N/A</v>
      </c>
      <c r="G89" s="19" t="e">
        <f t="shared" ca="1" si="54"/>
        <v>#N/A</v>
      </c>
      <c r="H89" s="19" t="e">
        <f t="shared" ca="1" si="55"/>
        <v>#N/A</v>
      </c>
      <c r="I89" s="19" t="e">
        <f ca="1">IF(OR($A89="",$N$1="",$M$16&lt;&gt;"C"),"",IFERROR(HLOOKUP($B89,$O$63:Z151,$N$1+1)*IF($D89&gt;42,$D89/30,1),0)+HLOOKUP($B89,$O$78:$Z$80,2)*MIN(3*IF($D89&gt;42,$D89/30,1),$J89)+HLOOKUP($B89,$O$78:$Z$80,3)*MAX(0,$J89-3*IF($D89&gt;42,$D89/30,1)))</f>
        <v>#N/A</v>
      </c>
      <c r="J89" s="55" t="e">
        <f t="shared" ca="1" si="56"/>
        <v>#N/A</v>
      </c>
      <c r="K89" t="e">
        <f t="shared" ca="1" si="45"/>
        <v>#N/A</v>
      </c>
      <c r="L89" s="142">
        <f t="shared" ca="1" si="46"/>
        <v>0</v>
      </c>
      <c r="Q89" s="139"/>
    </row>
    <row r="90" spans="1:24" x14ac:dyDescent="0.2">
      <c r="A90" s="2" t="e">
        <f t="shared" ca="1" si="48"/>
        <v>#N/A</v>
      </c>
      <c r="B90" s="4" t="e">
        <f t="shared" ca="1" si="49"/>
        <v>#N/A</v>
      </c>
      <c r="C90" s="17" t="e">
        <f t="shared" ca="1" si="50"/>
        <v>#N/A</v>
      </c>
      <c r="D90" s="17" t="e">
        <f t="shared" ca="1" si="51"/>
        <v>#N/A</v>
      </c>
      <c r="E90" s="47" t="e">
        <f t="shared" ca="1" si="52"/>
        <v>#N/A</v>
      </c>
      <c r="F90" s="7" t="e">
        <f t="shared" ca="1" si="53"/>
        <v>#N/A</v>
      </c>
      <c r="G90" s="19" t="e">
        <f t="shared" ca="1" si="54"/>
        <v>#N/A</v>
      </c>
      <c r="H90" s="19" t="e">
        <f t="shared" ca="1" si="55"/>
        <v>#N/A</v>
      </c>
      <c r="I90" s="19" t="e">
        <f ca="1">IF(OR($A90="",$N$1="",$M$16&lt;&gt;"C"),"",IFERROR(HLOOKUP($B90,$O$63:Z152,$N$1+1)*IF($D90&gt;42,$D90/30,1),0)+HLOOKUP($B90,$O$78:$Z$80,2)*MIN(3*IF($D90&gt;42,$D90/30,1),$J90)+HLOOKUP($B90,$O$78:$Z$80,3)*MAX(0,$J90-3*IF($D90&gt;42,$D90/30,1)))</f>
        <v>#N/A</v>
      </c>
      <c r="J90" s="55" t="e">
        <f t="shared" ca="1" si="56"/>
        <v>#N/A</v>
      </c>
      <c r="K90" t="e">
        <f t="shared" ca="1" si="45"/>
        <v>#N/A</v>
      </c>
      <c r="L90" s="142">
        <f t="shared" ca="1" si="46"/>
        <v>0</v>
      </c>
      <c r="P90" s="140"/>
      <c r="Q90" s="18"/>
    </row>
    <row r="91" spans="1:24" x14ac:dyDescent="0.2">
      <c r="A91" s="2" t="e">
        <f t="shared" ca="1" si="48"/>
        <v>#N/A</v>
      </c>
      <c r="B91" s="4" t="e">
        <f t="shared" ca="1" si="49"/>
        <v>#N/A</v>
      </c>
      <c r="C91" s="17" t="e">
        <f t="shared" ca="1" si="50"/>
        <v>#N/A</v>
      </c>
      <c r="D91" s="17" t="e">
        <f t="shared" ca="1" si="51"/>
        <v>#N/A</v>
      </c>
      <c r="E91" s="47" t="e">
        <f t="shared" ca="1" si="52"/>
        <v>#N/A</v>
      </c>
      <c r="F91" s="7" t="e">
        <f t="shared" ca="1" si="53"/>
        <v>#N/A</v>
      </c>
      <c r="G91" s="19" t="e">
        <f t="shared" ca="1" si="54"/>
        <v>#N/A</v>
      </c>
      <c r="H91" s="19" t="e">
        <f t="shared" ca="1" si="55"/>
        <v>#N/A</v>
      </c>
      <c r="I91" s="19" t="e">
        <f ca="1">IF(OR($A91="",$N$1="",$M$16&lt;&gt;"C"),"",IFERROR(HLOOKUP($B91,$O$63:Z153,$N$1+1)*IF($D91&gt;42,$D91/30,1),0)+HLOOKUP($B91,$O$78:$Z$80,2)*MIN(3*IF($D91&gt;42,$D91/30,1),$J91)+HLOOKUP($B91,$O$78:$Z$80,3)*MAX(0,$J91-3*IF($D91&gt;42,$D91/30,1)))</f>
        <v>#N/A</v>
      </c>
      <c r="J91" s="55" t="e">
        <f t="shared" ca="1" si="56"/>
        <v>#N/A</v>
      </c>
      <c r="K91" t="e">
        <f t="shared" ca="1" si="45"/>
        <v>#N/A</v>
      </c>
      <c r="L91" s="142">
        <f t="shared" ca="1" si="46"/>
        <v>0</v>
      </c>
      <c r="Q91" s="18"/>
    </row>
    <row r="92" spans="1:24" ht="15" x14ac:dyDescent="0.25">
      <c r="A92" s="2" t="e">
        <f t="shared" ca="1" si="48"/>
        <v>#N/A</v>
      </c>
      <c r="B92" s="4" t="e">
        <f t="shared" ca="1" si="49"/>
        <v>#N/A</v>
      </c>
      <c r="C92" s="17" t="e">
        <f t="shared" ca="1" si="50"/>
        <v>#N/A</v>
      </c>
      <c r="D92" s="17" t="e">
        <f t="shared" ca="1" si="51"/>
        <v>#N/A</v>
      </c>
      <c r="E92" s="47" t="e">
        <f t="shared" ca="1" si="52"/>
        <v>#N/A</v>
      </c>
      <c r="F92" s="7" t="e">
        <f t="shared" ca="1" si="53"/>
        <v>#N/A</v>
      </c>
      <c r="G92" s="19" t="e">
        <f t="shared" ca="1" si="54"/>
        <v>#N/A</v>
      </c>
      <c r="H92" s="19" t="e">
        <f t="shared" ca="1" si="55"/>
        <v>#N/A</v>
      </c>
      <c r="I92" s="19" t="e">
        <f ca="1">IF(OR($A92="",$N$1="",$M$16&lt;&gt;"C"),"",IFERROR(HLOOKUP($B92,$O$63:Z154,$N$1+1)*IF($D92&gt;42,$D92/30,1),0)+HLOOKUP($B92,$O$78:$Z$80,2)*MIN(3*IF($D92&gt;42,$D92/30,1),$J92)+HLOOKUP($B92,$O$78:$Z$80,3)*MAX(0,$J92-3*IF($D92&gt;42,$D92/30,1)))</f>
        <v>#N/A</v>
      </c>
      <c r="J92" s="55" t="e">
        <f t="shared" ca="1" si="56"/>
        <v>#N/A</v>
      </c>
      <c r="K92" t="e">
        <f t="shared" ca="1" si="45"/>
        <v>#N/A</v>
      </c>
      <c r="L92" s="142">
        <f t="shared" ca="1" si="46"/>
        <v>0</v>
      </c>
      <c r="Q92" s="138"/>
    </row>
    <row r="93" spans="1:24" x14ac:dyDescent="0.2">
      <c r="A93" s="2" t="e">
        <f t="shared" ca="1" si="48"/>
        <v>#N/A</v>
      </c>
      <c r="B93" s="4" t="e">
        <f t="shared" ca="1" si="49"/>
        <v>#N/A</v>
      </c>
      <c r="C93" s="17" t="e">
        <f t="shared" ca="1" si="50"/>
        <v>#N/A</v>
      </c>
      <c r="D93" s="17" t="e">
        <f t="shared" ca="1" si="51"/>
        <v>#N/A</v>
      </c>
      <c r="E93" s="47" t="e">
        <f t="shared" ca="1" si="52"/>
        <v>#N/A</v>
      </c>
      <c r="F93" s="7" t="e">
        <f t="shared" ca="1" si="53"/>
        <v>#N/A</v>
      </c>
      <c r="G93" s="19" t="e">
        <f t="shared" ca="1" si="54"/>
        <v>#N/A</v>
      </c>
      <c r="H93" s="19" t="e">
        <f t="shared" ca="1" si="55"/>
        <v>#N/A</v>
      </c>
      <c r="I93" s="19" t="e">
        <f ca="1">IF(OR($A93="",$N$1="",$M$16&lt;&gt;"C"),"",IFERROR(HLOOKUP($B93,$O$63:Z155,$N$1+1)*IF($D93&gt;42,$D93/30,1),0)+HLOOKUP($B93,$O$78:$Z$80,2)*MIN(3*IF($D93&gt;42,$D93/30,1),$J93)+HLOOKUP($B93,$O$78:$Z$80,3)*MAX(0,$J93-3*IF($D93&gt;42,$D93/30,1)))</f>
        <v>#N/A</v>
      </c>
      <c r="J93" s="55" t="e">
        <f t="shared" ca="1" si="56"/>
        <v>#N/A</v>
      </c>
      <c r="K93" t="e">
        <f t="shared" ca="1" si="45"/>
        <v>#N/A</v>
      </c>
      <c r="L93" s="142">
        <f t="shared" ca="1" si="46"/>
        <v>0</v>
      </c>
      <c r="Q93" s="18"/>
    </row>
    <row r="94" spans="1:24" x14ac:dyDescent="0.2">
      <c r="A94" s="2" t="e">
        <f t="shared" ca="1" si="48"/>
        <v>#N/A</v>
      </c>
      <c r="B94" s="4" t="e">
        <f t="shared" ca="1" si="49"/>
        <v>#N/A</v>
      </c>
      <c r="C94" s="17" t="e">
        <f t="shared" ca="1" si="50"/>
        <v>#N/A</v>
      </c>
      <c r="D94" s="17" t="e">
        <f t="shared" ca="1" si="51"/>
        <v>#N/A</v>
      </c>
      <c r="E94" s="47" t="e">
        <f t="shared" ca="1" si="52"/>
        <v>#N/A</v>
      </c>
      <c r="F94" s="7" t="e">
        <f t="shared" ca="1" si="53"/>
        <v>#N/A</v>
      </c>
      <c r="G94" s="19" t="e">
        <f t="shared" ca="1" si="54"/>
        <v>#N/A</v>
      </c>
      <c r="H94" s="19" t="e">
        <f t="shared" ca="1" si="55"/>
        <v>#N/A</v>
      </c>
      <c r="I94" s="19" t="e">
        <f ca="1">IF(OR($A94="",$N$1="",$M$16&lt;&gt;"C"),"",IFERROR(HLOOKUP($B94,$O$63:Z156,$N$1+1)*IF($D94&gt;42,$D94/30,1),0)+HLOOKUP($B94,$O$78:$Z$80,2)*MIN(3*IF($D94&gt;42,$D94/30,1),$J94)+HLOOKUP($B94,$O$78:$Z$80,3)*MAX(0,$J94-3*IF($D94&gt;42,$D94/30,1)))</f>
        <v>#N/A</v>
      </c>
      <c r="J94" s="55" t="e">
        <f t="shared" ca="1" si="56"/>
        <v>#N/A</v>
      </c>
      <c r="K94" t="e">
        <f t="shared" ca="1" si="45"/>
        <v>#N/A</v>
      </c>
      <c r="L94" s="142">
        <f t="shared" ca="1" si="46"/>
        <v>0</v>
      </c>
      <c r="Q94" s="18"/>
    </row>
    <row r="95" spans="1:24" x14ac:dyDescent="0.2">
      <c r="A95" s="2" t="e">
        <f t="shared" ca="1" si="48"/>
        <v>#N/A</v>
      </c>
      <c r="B95" s="4" t="e">
        <f t="shared" ca="1" si="49"/>
        <v>#N/A</v>
      </c>
      <c r="C95" s="17" t="e">
        <f t="shared" ca="1" si="50"/>
        <v>#N/A</v>
      </c>
      <c r="D95" s="17" t="e">
        <f t="shared" ca="1" si="51"/>
        <v>#N/A</v>
      </c>
      <c r="E95" s="47" t="e">
        <f t="shared" ca="1" si="52"/>
        <v>#N/A</v>
      </c>
      <c r="F95" s="7" t="e">
        <f t="shared" ca="1" si="53"/>
        <v>#N/A</v>
      </c>
      <c r="G95" s="19" t="e">
        <f t="shared" ca="1" si="54"/>
        <v>#N/A</v>
      </c>
      <c r="H95" s="19" t="e">
        <f t="shared" ca="1" si="55"/>
        <v>#N/A</v>
      </c>
      <c r="I95" s="19" t="e">
        <f ca="1">IF(OR($A95="",$N$1="",$M$16&lt;&gt;"C"),"",IFERROR(HLOOKUP($B95,$O$63:Z157,$N$1+1)*IF($D95&gt;42,$D95/30,1),0)+HLOOKUP($B95,$O$78:$Z$80,2)*MIN(3*IF($D95&gt;42,$D95/30,1),$J95)+HLOOKUP($B95,$O$78:$Z$80,3)*MAX(0,$J95-3*IF($D95&gt;42,$D95/30,1)))</f>
        <v>#N/A</v>
      </c>
      <c r="J95" s="55" t="e">
        <f t="shared" ca="1" si="56"/>
        <v>#N/A</v>
      </c>
      <c r="K95" t="e">
        <f t="shared" ca="1" si="45"/>
        <v>#N/A</v>
      </c>
      <c r="L95" s="142">
        <f t="shared" ca="1" si="46"/>
        <v>0</v>
      </c>
    </row>
    <row r="96" spans="1:24" x14ac:dyDescent="0.2">
      <c r="A96" s="2" t="e">
        <f t="shared" ca="1" si="48"/>
        <v>#N/A</v>
      </c>
      <c r="B96" s="4" t="e">
        <f t="shared" ca="1" si="49"/>
        <v>#N/A</v>
      </c>
      <c r="C96" s="17" t="e">
        <f t="shared" ca="1" si="50"/>
        <v>#N/A</v>
      </c>
      <c r="D96" s="17" t="e">
        <f t="shared" ca="1" si="51"/>
        <v>#N/A</v>
      </c>
      <c r="E96" s="47" t="e">
        <f t="shared" ca="1" si="52"/>
        <v>#N/A</v>
      </c>
      <c r="F96" s="7" t="e">
        <f t="shared" ca="1" si="53"/>
        <v>#N/A</v>
      </c>
      <c r="G96" s="19" t="e">
        <f t="shared" ca="1" si="54"/>
        <v>#N/A</v>
      </c>
      <c r="H96" s="19" t="e">
        <f t="shared" ca="1" si="55"/>
        <v>#N/A</v>
      </c>
      <c r="I96" s="19" t="e">
        <f ca="1">IF(OR($A96="",$N$1="",$M$16&lt;&gt;"C"),"",IFERROR(HLOOKUP($B96,$O$63:Z158,$N$1+1)*IF($D96&gt;42,$D96/30,1),0)+HLOOKUP($B96,$O$78:$Z$80,2)*MIN(3*IF($D96&gt;42,$D96/30,1),$J96)+HLOOKUP($B96,$O$78:$Z$80,3)*MAX(0,$J96-3*IF($D96&gt;42,$D96/30,1)))</f>
        <v>#N/A</v>
      </c>
      <c r="J96" s="55" t="e">
        <f t="shared" ca="1" si="56"/>
        <v>#N/A</v>
      </c>
      <c r="K96" t="e">
        <f t="shared" ca="1" si="45"/>
        <v>#N/A</v>
      </c>
      <c r="L96" s="142">
        <f t="shared" ca="1" si="46"/>
        <v>0</v>
      </c>
    </row>
    <row r="97" spans="1:12" x14ac:dyDescent="0.2">
      <c r="A97" s="2" t="e">
        <f t="shared" ca="1" si="48"/>
        <v>#N/A</v>
      </c>
      <c r="B97" s="4" t="e">
        <f t="shared" ca="1" si="49"/>
        <v>#N/A</v>
      </c>
      <c r="C97" s="17" t="e">
        <f t="shared" ca="1" si="50"/>
        <v>#N/A</v>
      </c>
      <c r="D97" s="17" t="e">
        <f t="shared" ca="1" si="51"/>
        <v>#N/A</v>
      </c>
      <c r="E97" s="47" t="e">
        <f t="shared" ca="1" si="52"/>
        <v>#N/A</v>
      </c>
      <c r="F97" s="7" t="e">
        <f t="shared" ca="1" si="53"/>
        <v>#N/A</v>
      </c>
      <c r="G97" s="19" t="e">
        <f t="shared" ca="1" si="54"/>
        <v>#N/A</v>
      </c>
      <c r="H97" s="19" t="e">
        <f t="shared" ca="1" si="55"/>
        <v>#N/A</v>
      </c>
      <c r="I97" s="19" t="e">
        <f ca="1">IF(OR($A97="",$N$1="",$M$16&lt;&gt;"C"),"",IFERROR(HLOOKUP($B97,$O$63:Z159,$N$1+1)*IF($D97&gt;42,$D97/30,1),0)+HLOOKUP($B97,$O$78:$Z$80,2)*MIN(3*IF($D97&gt;42,$D97/30,1),$J97)+HLOOKUP($B97,$O$78:$Z$80,3)*MAX(0,$J97-3*IF($D97&gt;42,$D97/30,1)))</f>
        <v>#N/A</v>
      </c>
      <c r="J97" s="55" t="e">
        <f t="shared" ca="1" si="56"/>
        <v>#N/A</v>
      </c>
      <c r="K97" t="e">
        <f t="shared" ca="1" si="45"/>
        <v>#N/A</v>
      </c>
      <c r="L97" s="142">
        <f t="shared" ca="1" si="46"/>
        <v>0</v>
      </c>
    </row>
    <row r="98" spans="1:12" x14ac:dyDescent="0.2">
      <c r="A98" s="2" t="e">
        <f t="shared" ca="1" si="48"/>
        <v>#N/A</v>
      </c>
      <c r="B98" s="4" t="e">
        <f t="shared" ca="1" si="49"/>
        <v>#N/A</v>
      </c>
      <c r="C98" s="17" t="e">
        <f t="shared" ca="1" si="50"/>
        <v>#N/A</v>
      </c>
      <c r="D98" s="17" t="e">
        <f t="shared" ca="1" si="51"/>
        <v>#N/A</v>
      </c>
      <c r="E98" s="47" t="e">
        <f t="shared" ca="1" si="52"/>
        <v>#N/A</v>
      </c>
      <c r="F98" s="7" t="e">
        <f t="shared" ca="1" si="53"/>
        <v>#N/A</v>
      </c>
      <c r="G98" s="19" t="e">
        <f t="shared" ca="1" si="54"/>
        <v>#N/A</v>
      </c>
      <c r="H98" s="19" t="e">
        <f t="shared" ca="1" si="55"/>
        <v>#N/A</v>
      </c>
      <c r="I98" s="19" t="e">
        <f ca="1">IF(OR($A98="",$N$1="",$M$16&lt;&gt;"C"),"",IFERROR(HLOOKUP($B98,$O$63:Z160,$N$1+1)*IF($D98&gt;42,$D98/30,1),0)+HLOOKUP($B98,$O$78:$Z$80,2)*MIN(3*IF($D98&gt;42,$D98/30,1),$J98)+HLOOKUP($B98,$O$78:$Z$80,3)*MAX(0,$J98-3*IF($D98&gt;42,$D98/30,1)))</f>
        <v>#N/A</v>
      </c>
      <c r="J98" s="55" t="e">
        <f t="shared" ca="1" si="56"/>
        <v>#N/A</v>
      </c>
      <c r="K98" t="e">
        <f t="shared" ca="1" si="45"/>
        <v>#N/A</v>
      </c>
      <c r="L98" s="142">
        <f t="shared" ca="1" si="46"/>
        <v>0</v>
      </c>
    </row>
    <row r="99" spans="1:12" x14ac:dyDescent="0.2">
      <c r="A99" s="2" t="e">
        <f t="shared" ca="1" si="48"/>
        <v>#N/A</v>
      </c>
      <c r="B99" s="4" t="e">
        <f t="shared" ca="1" si="49"/>
        <v>#N/A</v>
      </c>
      <c r="C99" s="17" t="e">
        <f t="shared" ca="1" si="50"/>
        <v>#N/A</v>
      </c>
      <c r="D99" s="17" t="e">
        <f t="shared" ca="1" si="51"/>
        <v>#N/A</v>
      </c>
      <c r="E99" s="47" t="e">
        <f t="shared" ca="1" si="52"/>
        <v>#N/A</v>
      </c>
      <c r="F99" s="7" t="e">
        <f t="shared" ca="1" si="53"/>
        <v>#N/A</v>
      </c>
      <c r="G99" s="19" t="e">
        <f t="shared" ca="1" si="54"/>
        <v>#N/A</v>
      </c>
      <c r="H99" s="19" t="e">
        <f t="shared" ca="1" si="55"/>
        <v>#N/A</v>
      </c>
      <c r="I99" s="19" t="e">
        <f ca="1">IF(OR($A99="",$N$1="",$M$16&lt;&gt;"C"),"",IFERROR(HLOOKUP($B99,$O$63:Z161,$N$1+1)*IF($D99&gt;42,$D99/30,1),0)+HLOOKUP($B99,$O$78:$Z$80,2)*MIN(3*IF($D99&gt;42,$D99/30,1),$J99)+HLOOKUP($B99,$O$78:$Z$80,3)*MAX(0,$J99-3*IF($D99&gt;42,$D99/30,1)))</f>
        <v>#N/A</v>
      </c>
      <c r="J99" s="55" t="e">
        <f t="shared" ca="1" si="56"/>
        <v>#N/A</v>
      </c>
      <c r="K99" t="e">
        <f t="shared" ca="1" si="45"/>
        <v>#N/A</v>
      </c>
      <c r="L99" s="142">
        <f t="shared" ca="1" si="46"/>
        <v>0</v>
      </c>
    </row>
    <row r="100" spans="1:12" x14ac:dyDescent="0.2">
      <c r="A100" s="2" t="e">
        <f t="shared" ca="1" si="48"/>
        <v>#N/A</v>
      </c>
      <c r="B100" s="4" t="e">
        <f t="shared" ca="1" si="49"/>
        <v>#N/A</v>
      </c>
      <c r="C100" s="17" t="e">
        <f t="shared" ca="1" si="50"/>
        <v>#N/A</v>
      </c>
      <c r="D100" s="17" t="e">
        <f t="shared" ca="1" si="51"/>
        <v>#N/A</v>
      </c>
      <c r="E100" s="47" t="e">
        <f t="shared" ca="1" si="52"/>
        <v>#N/A</v>
      </c>
      <c r="F100" s="7" t="e">
        <f t="shared" ca="1" si="53"/>
        <v>#N/A</v>
      </c>
      <c r="G100" s="19" t="e">
        <f t="shared" ca="1" si="54"/>
        <v>#N/A</v>
      </c>
      <c r="H100" s="19" t="e">
        <f t="shared" ca="1" si="55"/>
        <v>#N/A</v>
      </c>
      <c r="I100" s="19" t="e">
        <f ca="1">IF(OR($A100="",$N$1="",$M$16&lt;&gt;"C"),"",IFERROR(HLOOKUP($B100,$O$63:Z162,$N$1+1)*IF($D100&gt;42,$D100/30,1),0)+HLOOKUP($B100,$O$78:$Z$80,2)*MIN(3*IF($D100&gt;42,$D100/30,1),$J100)+HLOOKUP($B100,$O$78:$Z$80,3)*MAX(0,$J100-3*IF($D100&gt;42,$D100/30,1)))</f>
        <v>#N/A</v>
      </c>
      <c r="J100" s="55" t="e">
        <f t="shared" ca="1" si="56"/>
        <v>#N/A</v>
      </c>
      <c r="K100" t="e">
        <f t="shared" ca="1" si="45"/>
        <v>#N/A</v>
      </c>
      <c r="L100" s="142">
        <f t="shared" ca="1" si="46"/>
        <v>0</v>
      </c>
    </row>
    <row r="101" spans="1:12" x14ac:dyDescent="0.2">
      <c r="A101" s="2" t="e">
        <f t="shared" ca="1" si="48"/>
        <v>#N/A</v>
      </c>
      <c r="B101" s="4" t="e">
        <f t="shared" ca="1" si="49"/>
        <v>#N/A</v>
      </c>
      <c r="C101" s="17" t="e">
        <f t="shared" ca="1" si="50"/>
        <v>#N/A</v>
      </c>
      <c r="D101" s="17" t="e">
        <f t="shared" ca="1" si="51"/>
        <v>#N/A</v>
      </c>
      <c r="E101" s="47" t="e">
        <f t="shared" ca="1" si="52"/>
        <v>#N/A</v>
      </c>
      <c r="F101" s="7" t="e">
        <f t="shared" ca="1" si="53"/>
        <v>#N/A</v>
      </c>
      <c r="G101" s="19" t="e">
        <f t="shared" ca="1" si="54"/>
        <v>#N/A</v>
      </c>
      <c r="H101" s="19" t="e">
        <f t="shared" ca="1" si="55"/>
        <v>#N/A</v>
      </c>
      <c r="I101" s="19" t="e">
        <f ca="1">IF(OR($A101="",$N$1="",$M$16&lt;&gt;"C"),"",IFERROR(HLOOKUP($B101,$O$63:Z163,$N$1+1)*IF($D101&gt;42,$D101/30,1),0)+HLOOKUP($B101,$O$78:$Z$80,2)*MIN(3*IF($D101&gt;42,$D101/30,1),$J101)+HLOOKUP($B101,$O$78:$Z$80,3)*MAX(0,$J101-3*IF($D101&gt;42,$D101/30,1)))</f>
        <v>#N/A</v>
      </c>
      <c r="J101" s="55" t="e">
        <f t="shared" ca="1" si="56"/>
        <v>#N/A</v>
      </c>
      <c r="K101" t="e">
        <f t="shared" ca="1" si="45"/>
        <v>#N/A</v>
      </c>
      <c r="L101" s="142">
        <f t="shared" ca="1" si="46"/>
        <v>0</v>
      </c>
    </row>
    <row r="102" spans="1:12" x14ac:dyDescent="0.2">
      <c r="A102" s="2" t="e">
        <f t="shared" ca="1" si="48"/>
        <v>#N/A</v>
      </c>
      <c r="B102" s="4" t="e">
        <f t="shared" ca="1" si="49"/>
        <v>#N/A</v>
      </c>
      <c r="C102" s="17" t="e">
        <f t="shared" ca="1" si="50"/>
        <v>#N/A</v>
      </c>
      <c r="D102" s="17" t="e">
        <f t="shared" ca="1" si="51"/>
        <v>#N/A</v>
      </c>
      <c r="E102" s="47" t="e">
        <f t="shared" ca="1" si="52"/>
        <v>#N/A</v>
      </c>
      <c r="F102" s="7" t="e">
        <f t="shared" ca="1" si="53"/>
        <v>#N/A</v>
      </c>
      <c r="G102" s="19" t="e">
        <f t="shared" ca="1" si="54"/>
        <v>#N/A</v>
      </c>
      <c r="H102" s="19" t="e">
        <f t="shared" ca="1" si="55"/>
        <v>#N/A</v>
      </c>
      <c r="I102" s="19" t="e">
        <f ca="1">IF(OR($A102="",$N$1="",$M$16&lt;&gt;"C"),"",IFERROR(HLOOKUP($B102,$O$63:Z164,$N$1+1)*IF($D102&gt;42,$D102/30,1),0)+HLOOKUP($B102,$O$78:$Z$80,2)*MIN(3*IF($D102&gt;42,$D102/30,1),$J102)+HLOOKUP($B102,$O$78:$Z$80,3)*MAX(0,$J102-3*IF($D102&gt;42,$D102/30,1)))</f>
        <v>#N/A</v>
      </c>
      <c r="J102" s="55" t="e">
        <f t="shared" ca="1" si="56"/>
        <v>#N/A</v>
      </c>
      <c r="K102" t="e">
        <f t="shared" ca="1" si="45"/>
        <v>#N/A</v>
      </c>
      <c r="L102" s="142">
        <f t="shared" ca="1" si="46"/>
        <v>0</v>
      </c>
    </row>
    <row r="103" spans="1:12" x14ac:dyDescent="0.2">
      <c r="A103" s="2" t="e">
        <f t="shared" ca="1" si="48"/>
        <v>#N/A</v>
      </c>
      <c r="B103" s="4" t="e">
        <f t="shared" ca="1" si="49"/>
        <v>#N/A</v>
      </c>
      <c r="C103" s="17" t="e">
        <f t="shared" ca="1" si="50"/>
        <v>#N/A</v>
      </c>
      <c r="D103" s="17" t="e">
        <f t="shared" ca="1" si="51"/>
        <v>#N/A</v>
      </c>
      <c r="E103" s="47" t="e">
        <f t="shared" ca="1" si="52"/>
        <v>#N/A</v>
      </c>
      <c r="F103" s="7" t="e">
        <f t="shared" ca="1" si="53"/>
        <v>#N/A</v>
      </c>
      <c r="G103" s="19" t="e">
        <f t="shared" ca="1" si="54"/>
        <v>#N/A</v>
      </c>
      <c r="H103" s="19" t="e">
        <f t="shared" ca="1" si="55"/>
        <v>#N/A</v>
      </c>
      <c r="I103" s="19" t="e">
        <f ca="1">IF(OR($A103="",$N$1="",$M$16&lt;&gt;"C"),"",IFERROR(HLOOKUP($B103,$O$63:Z165,$N$1+1)*IF($D103&gt;42,$D103/30,1),0)+HLOOKUP($B103,$O$78:$Z$80,2)*MIN(3*IF($D103&gt;42,$D103/30,1),$J103)+HLOOKUP($B103,$O$78:$Z$80,3)*MAX(0,$J103-3*IF($D103&gt;42,$D103/30,1)))</f>
        <v>#N/A</v>
      </c>
      <c r="J103" s="55" t="e">
        <f t="shared" ca="1" si="56"/>
        <v>#N/A</v>
      </c>
      <c r="K103" t="e">
        <f t="shared" ca="1" si="45"/>
        <v>#N/A</v>
      </c>
      <c r="L103" s="142">
        <f t="shared" ca="1" si="46"/>
        <v>0</v>
      </c>
    </row>
    <row r="104" spans="1:12" x14ac:dyDescent="0.2">
      <c r="A104" s="2" t="e">
        <f t="shared" ca="1" si="48"/>
        <v>#N/A</v>
      </c>
      <c r="B104" s="4" t="e">
        <f t="shared" ref="B104:B148" ca="1" si="57">INDIRECT("'Reading History'!B"&amp;$M$14+K103)</f>
        <v>#N/A</v>
      </c>
      <c r="C104" s="17" t="e">
        <f t="shared" ca="1" si="50"/>
        <v>#N/A</v>
      </c>
      <c r="D104" s="17" t="e">
        <f t="shared" ca="1" si="51"/>
        <v>#N/A</v>
      </c>
      <c r="E104" s="47" t="e">
        <f t="shared" ca="1" si="52"/>
        <v>#N/A</v>
      </c>
      <c r="F104" s="7" t="e">
        <f t="shared" ca="1" si="53"/>
        <v>#N/A</v>
      </c>
      <c r="G104" s="19" t="e">
        <f t="shared" ca="1" si="54"/>
        <v>#N/A</v>
      </c>
      <c r="H104" s="19" t="e">
        <f t="shared" ca="1" si="55"/>
        <v>#N/A</v>
      </c>
      <c r="I104" s="19" t="e">
        <f ca="1">IF(OR($A104="",$N$1="",$M$16&lt;&gt;"C"),"",IFERROR(HLOOKUP($B104,$O$63:Z166,$N$1+1)*IF($D104&gt;42,$D104/30,1),0)+HLOOKUP($B104,$O$78:$Z$80,2)*MIN(3*IF($D104&gt;42,$D104/30,1),$J104)+HLOOKUP($B104,$O$78:$Z$80,3)*MAX(0,$J104-3*IF($D104&gt;42,$D104/30,1)))</f>
        <v>#N/A</v>
      </c>
      <c r="J104" s="55" t="e">
        <f t="shared" ref="J104:J148" ca="1" si="58">IF($A104="","",IF(ISNA($M$13),E104,IF(M$14-$M$13&gt;=K104,INDIRECT("'Reading History'!I"&amp;$K104+$M$13-1),E104)))</f>
        <v>#N/A</v>
      </c>
      <c r="K104" t="e">
        <f t="shared" ref="K104:K148" ca="1" si="59">IF(ROW()&gt;($M$15-$M$14+12),0,MATCH(B104,INDIRECT("'Reading History'!B"&amp;$M$14&amp;":b"&amp;$M$15),-1))</f>
        <v>#N/A</v>
      </c>
      <c r="L104" s="142">
        <f t="shared" ca="1" si="46"/>
        <v>0</v>
      </c>
    </row>
    <row r="105" spans="1:12" x14ac:dyDescent="0.2">
      <c r="A105" s="2" t="e">
        <f t="shared" ca="1" si="48"/>
        <v>#N/A</v>
      </c>
      <c r="B105" s="4" t="e">
        <f t="shared" ca="1" si="57"/>
        <v>#N/A</v>
      </c>
      <c r="C105" s="17" t="e">
        <f t="shared" ca="1" si="50"/>
        <v>#N/A</v>
      </c>
      <c r="D105" s="17" t="e">
        <f t="shared" ca="1" si="51"/>
        <v>#N/A</v>
      </c>
      <c r="E105" s="47" t="e">
        <f t="shared" ca="1" si="52"/>
        <v>#N/A</v>
      </c>
      <c r="F105" s="7" t="e">
        <f t="shared" ca="1" si="53"/>
        <v>#N/A</v>
      </c>
      <c r="G105" s="19" t="e">
        <f t="shared" ca="1" si="54"/>
        <v>#N/A</v>
      </c>
      <c r="H105" s="19" t="e">
        <f t="shared" ca="1" si="55"/>
        <v>#N/A</v>
      </c>
      <c r="I105" s="19" t="e">
        <f ca="1">IF(OR($A105="",$N$1="",$M$16&lt;&gt;"C"),"",IFERROR(HLOOKUP($B105,$O$63:Z167,$N$1+1)*IF($D105&gt;42,$D105/30,1),0)+HLOOKUP($B105,$O$78:$Z$80,2)*MIN(3*IF($D105&gt;42,$D105/30,1),$J105)+HLOOKUP($B105,$O$78:$Z$80,3)*MAX(0,$J105-3*IF($D105&gt;42,$D105/30,1)))</f>
        <v>#N/A</v>
      </c>
      <c r="J105" s="55" t="e">
        <f t="shared" ca="1" si="58"/>
        <v>#N/A</v>
      </c>
      <c r="K105" t="e">
        <f t="shared" ca="1" si="59"/>
        <v>#N/A</v>
      </c>
      <c r="L105" s="142">
        <f t="shared" ca="1" si="46"/>
        <v>0</v>
      </c>
    </row>
    <row r="106" spans="1:12" x14ac:dyDescent="0.2">
      <c r="A106" s="2" t="e">
        <f t="shared" ca="1" si="48"/>
        <v>#N/A</v>
      </c>
      <c r="B106" s="4" t="e">
        <f t="shared" ca="1" si="57"/>
        <v>#N/A</v>
      </c>
      <c r="C106" s="17" t="e">
        <f t="shared" ca="1" si="50"/>
        <v>#N/A</v>
      </c>
      <c r="D106" s="17" t="e">
        <f t="shared" ca="1" si="51"/>
        <v>#N/A</v>
      </c>
      <c r="E106" s="47" t="e">
        <f t="shared" ca="1" si="52"/>
        <v>#N/A</v>
      </c>
      <c r="F106" s="7" t="e">
        <f t="shared" ca="1" si="53"/>
        <v>#N/A</v>
      </c>
      <c r="G106" s="19" t="e">
        <f t="shared" ca="1" si="54"/>
        <v>#N/A</v>
      </c>
      <c r="H106" s="19" t="e">
        <f t="shared" ca="1" si="55"/>
        <v>#N/A</v>
      </c>
      <c r="I106" s="19" t="e">
        <f ca="1">IF(OR($A106="",$N$1="",$M$16&lt;&gt;"C"),"",IFERROR(HLOOKUP($B106,$O$63:Z168,$N$1+1)*IF($D106&gt;42,$D106/30,1),0)+HLOOKUP($B106,$O$78:$Z$80,2)*MIN(3*IF($D106&gt;42,$D106/30,1),$J106)+HLOOKUP($B106,$O$78:$Z$80,3)*MAX(0,$J106-3*IF($D106&gt;42,$D106/30,1)))</f>
        <v>#N/A</v>
      </c>
      <c r="J106" s="55" t="e">
        <f t="shared" ca="1" si="58"/>
        <v>#N/A</v>
      </c>
      <c r="K106" t="e">
        <f t="shared" ca="1" si="59"/>
        <v>#N/A</v>
      </c>
      <c r="L106" s="142">
        <f t="shared" ca="1" si="46"/>
        <v>0</v>
      </c>
    </row>
    <row r="107" spans="1:12" x14ac:dyDescent="0.2">
      <c r="A107" s="2" t="e">
        <f t="shared" ca="1" si="48"/>
        <v>#N/A</v>
      </c>
      <c r="B107" s="4" t="e">
        <f t="shared" ca="1" si="57"/>
        <v>#N/A</v>
      </c>
      <c r="C107" s="17" t="e">
        <f t="shared" ca="1" si="50"/>
        <v>#N/A</v>
      </c>
      <c r="D107" s="17" t="e">
        <f t="shared" ca="1" si="51"/>
        <v>#N/A</v>
      </c>
      <c r="E107" s="47" t="e">
        <f t="shared" ca="1" si="52"/>
        <v>#N/A</v>
      </c>
      <c r="F107" s="7" t="e">
        <f t="shared" ca="1" si="53"/>
        <v>#N/A</v>
      </c>
      <c r="G107" s="19" t="e">
        <f t="shared" ca="1" si="54"/>
        <v>#N/A</v>
      </c>
      <c r="H107" s="19" t="e">
        <f t="shared" ca="1" si="55"/>
        <v>#N/A</v>
      </c>
      <c r="I107" s="19" t="e">
        <f ca="1">IF(OR($A107="",$N$1="",$M$16&lt;&gt;"C"),"",IFERROR(HLOOKUP($B107,$O$63:Z169,$N$1+1)*IF($D107&gt;42,$D107/30,1),0)+HLOOKUP($B107,$O$78:$Z$80,2)*MIN(3*IF($D107&gt;42,$D107/30,1),$J107)+HLOOKUP($B107,$O$78:$Z$80,3)*MAX(0,$J107-3*IF($D107&gt;42,$D107/30,1)))</f>
        <v>#N/A</v>
      </c>
      <c r="J107" s="55" t="e">
        <f t="shared" ca="1" si="58"/>
        <v>#N/A</v>
      </c>
      <c r="K107" t="e">
        <f t="shared" ca="1" si="59"/>
        <v>#N/A</v>
      </c>
      <c r="L107" s="142">
        <f t="shared" ca="1" si="46"/>
        <v>0</v>
      </c>
    </row>
    <row r="108" spans="1:12" x14ac:dyDescent="0.2">
      <c r="A108" s="2" t="e">
        <f t="shared" ca="1" si="48"/>
        <v>#N/A</v>
      </c>
      <c r="B108" s="4" t="e">
        <f t="shared" ca="1" si="57"/>
        <v>#N/A</v>
      </c>
      <c r="C108" s="17" t="e">
        <f t="shared" ca="1" si="50"/>
        <v>#N/A</v>
      </c>
      <c r="D108" s="17" t="e">
        <f t="shared" ca="1" si="51"/>
        <v>#N/A</v>
      </c>
      <c r="E108" s="47" t="e">
        <f t="shared" ca="1" si="52"/>
        <v>#N/A</v>
      </c>
      <c r="F108" s="7" t="e">
        <f t="shared" ca="1" si="53"/>
        <v>#N/A</v>
      </c>
      <c r="G108" s="19" t="e">
        <f t="shared" ca="1" si="54"/>
        <v>#N/A</v>
      </c>
      <c r="H108" s="19" t="e">
        <f t="shared" ca="1" si="55"/>
        <v>#N/A</v>
      </c>
      <c r="I108" s="19" t="e">
        <f ca="1">IF(OR($A108="",$N$1="",$M$16&lt;&gt;"C"),"",IFERROR(HLOOKUP($B108,$O$63:Z170,$N$1+1)*IF($D108&gt;42,$D108/30,1),0)+HLOOKUP($B108,$O$78:$Z$80,2)*MIN(3*IF($D108&gt;42,$D108/30,1),$J108)+HLOOKUP($B108,$O$78:$Z$80,3)*MAX(0,$J108-3*IF($D108&gt;42,$D108/30,1)))</f>
        <v>#N/A</v>
      </c>
      <c r="J108" s="55" t="e">
        <f t="shared" ca="1" si="58"/>
        <v>#N/A</v>
      </c>
      <c r="K108" t="e">
        <f t="shared" ca="1" si="59"/>
        <v>#N/A</v>
      </c>
      <c r="L108" s="142">
        <f t="shared" ca="1" si="46"/>
        <v>0</v>
      </c>
    </row>
    <row r="109" spans="1:12" x14ac:dyDescent="0.2">
      <c r="A109" s="2" t="e">
        <f t="shared" ca="1" si="48"/>
        <v>#N/A</v>
      </c>
      <c r="B109" s="4" t="e">
        <f t="shared" ca="1" si="57"/>
        <v>#N/A</v>
      </c>
      <c r="C109" s="17" t="e">
        <f t="shared" ca="1" si="50"/>
        <v>#N/A</v>
      </c>
      <c r="D109" s="17" t="e">
        <f t="shared" ca="1" si="51"/>
        <v>#N/A</v>
      </c>
      <c r="E109" s="47" t="e">
        <f t="shared" ca="1" si="52"/>
        <v>#N/A</v>
      </c>
      <c r="F109" s="7" t="e">
        <f t="shared" ca="1" si="53"/>
        <v>#N/A</v>
      </c>
      <c r="G109" s="19" t="e">
        <f t="shared" ca="1" si="54"/>
        <v>#N/A</v>
      </c>
      <c r="H109" s="19" t="e">
        <f t="shared" ca="1" si="55"/>
        <v>#N/A</v>
      </c>
      <c r="I109" s="19" t="e">
        <f ca="1">IF(OR($A109="",$N$1="",$M$16&lt;&gt;"C"),"",IFERROR(HLOOKUP($B109,$O$63:Z171,$N$1+1)*IF($D109&gt;42,$D109/30,1),0)+HLOOKUP($B109,$O$78:$Z$80,2)*MIN(3*IF($D109&gt;42,$D109/30,1),$J109)+HLOOKUP($B109,$O$78:$Z$80,3)*MAX(0,$J109-3*IF($D109&gt;42,$D109/30,1)))</f>
        <v>#N/A</v>
      </c>
      <c r="J109" s="55" t="e">
        <f t="shared" ca="1" si="58"/>
        <v>#N/A</v>
      </c>
      <c r="K109" t="e">
        <f t="shared" ca="1" si="59"/>
        <v>#N/A</v>
      </c>
      <c r="L109" s="142">
        <f t="shared" ca="1" si="46"/>
        <v>0</v>
      </c>
    </row>
    <row r="110" spans="1:12" x14ac:dyDescent="0.2">
      <c r="A110" s="2" t="e">
        <f t="shared" ca="1" si="48"/>
        <v>#N/A</v>
      </c>
      <c r="B110" s="4" t="e">
        <f t="shared" ca="1" si="57"/>
        <v>#N/A</v>
      </c>
      <c r="C110" s="17" t="e">
        <f t="shared" ca="1" si="50"/>
        <v>#N/A</v>
      </c>
      <c r="D110" s="17" t="e">
        <f t="shared" ca="1" si="51"/>
        <v>#N/A</v>
      </c>
      <c r="E110" s="47" t="e">
        <f t="shared" ca="1" si="52"/>
        <v>#N/A</v>
      </c>
      <c r="F110" s="7" t="e">
        <f t="shared" ca="1" si="53"/>
        <v>#N/A</v>
      </c>
      <c r="G110" s="19" t="e">
        <f t="shared" ca="1" si="54"/>
        <v>#N/A</v>
      </c>
      <c r="H110" s="19" t="e">
        <f t="shared" ca="1" si="55"/>
        <v>#N/A</v>
      </c>
      <c r="I110" s="19" t="e">
        <f ca="1">IF(OR($A110="",$N$1="",$M$16&lt;&gt;"C"),"",IFERROR(HLOOKUP($B110,$O$63:Z172,$N$1+1)*IF($D110&gt;42,$D110/30,1),0)+HLOOKUP($B110,$O$78:$Z$80,2)*MIN(3*IF($D110&gt;42,$D110/30,1),$J110)+HLOOKUP($B110,$O$78:$Z$80,3)*MAX(0,$J110-3*IF($D110&gt;42,$D110/30,1)))</f>
        <v>#N/A</v>
      </c>
      <c r="J110" s="55" t="e">
        <f t="shared" ca="1" si="58"/>
        <v>#N/A</v>
      </c>
      <c r="K110" t="e">
        <f t="shared" ca="1" si="59"/>
        <v>#N/A</v>
      </c>
      <c r="L110" s="142">
        <f t="shared" ca="1" si="46"/>
        <v>0</v>
      </c>
    </row>
    <row r="111" spans="1:12" x14ac:dyDescent="0.2">
      <c r="A111" s="2" t="e">
        <f t="shared" ca="1" si="48"/>
        <v>#N/A</v>
      </c>
      <c r="B111" s="4" t="e">
        <f t="shared" ca="1" si="57"/>
        <v>#N/A</v>
      </c>
      <c r="C111" s="17" t="e">
        <f t="shared" ca="1" si="50"/>
        <v>#N/A</v>
      </c>
      <c r="D111" s="17" t="e">
        <f t="shared" ca="1" si="51"/>
        <v>#N/A</v>
      </c>
      <c r="E111" s="47" t="e">
        <f t="shared" ca="1" si="52"/>
        <v>#N/A</v>
      </c>
      <c r="F111" s="7" t="e">
        <f t="shared" ca="1" si="53"/>
        <v>#N/A</v>
      </c>
      <c r="G111" s="19" t="e">
        <f t="shared" ca="1" si="54"/>
        <v>#N/A</v>
      </c>
      <c r="H111" s="19" t="e">
        <f t="shared" ca="1" si="55"/>
        <v>#N/A</v>
      </c>
      <c r="I111" s="19" t="e">
        <f ca="1">IF(OR($A111="",$N$1="",$M$16&lt;&gt;"C"),"",IFERROR(HLOOKUP($B111,$O$63:Z173,$N$1+1)*IF($D111&gt;42,$D111/30,1),0)+HLOOKUP($B111,$O$78:$Z$80,2)*MIN(3*IF($D111&gt;42,$D111/30,1),$J111)+HLOOKUP($B111,$O$78:$Z$80,3)*MAX(0,$J111-3*IF($D111&gt;42,$D111/30,1)))</f>
        <v>#N/A</v>
      </c>
      <c r="J111" s="55" t="e">
        <f t="shared" ca="1" si="58"/>
        <v>#N/A</v>
      </c>
      <c r="K111" t="e">
        <f t="shared" ca="1" si="59"/>
        <v>#N/A</v>
      </c>
      <c r="L111" s="142">
        <f t="shared" ca="1" si="46"/>
        <v>0</v>
      </c>
    </row>
    <row r="112" spans="1:12" x14ac:dyDescent="0.2">
      <c r="A112" s="2" t="e">
        <f t="shared" ca="1" si="48"/>
        <v>#N/A</v>
      </c>
      <c r="B112" s="4" t="e">
        <f t="shared" ca="1" si="57"/>
        <v>#N/A</v>
      </c>
      <c r="C112" s="17" t="e">
        <f t="shared" ca="1" si="50"/>
        <v>#N/A</v>
      </c>
      <c r="D112" s="17" t="e">
        <f t="shared" ca="1" si="51"/>
        <v>#N/A</v>
      </c>
      <c r="E112" s="47" t="e">
        <f t="shared" ca="1" si="52"/>
        <v>#N/A</v>
      </c>
      <c r="F112" s="7" t="e">
        <f t="shared" ca="1" si="53"/>
        <v>#N/A</v>
      </c>
      <c r="G112" s="19" t="e">
        <f t="shared" ca="1" si="54"/>
        <v>#N/A</v>
      </c>
      <c r="H112" s="19" t="e">
        <f t="shared" ca="1" si="55"/>
        <v>#N/A</v>
      </c>
      <c r="I112" s="19" t="e">
        <f ca="1">IF(OR($A112="",$N$1="",$M$16&lt;&gt;"C"),"",IFERROR(HLOOKUP($B112,$O$63:Z174,$N$1+1)*IF($D112&gt;42,$D112/30,1),0)+HLOOKUP($B112,$O$78:$Z$80,2)*MIN(3*IF($D112&gt;42,$D112/30,1),$J112)+HLOOKUP($B112,$O$78:$Z$80,3)*MAX(0,$J112-3*IF($D112&gt;42,$D112/30,1)))</f>
        <v>#N/A</v>
      </c>
      <c r="J112" s="55" t="e">
        <f t="shared" ca="1" si="58"/>
        <v>#N/A</v>
      </c>
      <c r="K112" t="e">
        <f t="shared" ca="1" si="59"/>
        <v>#N/A</v>
      </c>
      <c r="L112" s="142">
        <f t="shared" ca="1" si="46"/>
        <v>0</v>
      </c>
    </row>
    <row r="113" spans="1:12" x14ac:dyDescent="0.2">
      <c r="A113" s="2" t="e">
        <f t="shared" ca="1" si="48"/>
        <v>#N/A</v>
      </c>
      <c r="B113" s="4" t="e">
        <f t="shared" ca="1" si="57"/>
        <v>#N/A</v>
      </c>
      <c r="C113" s="17" t="e">
        <f t="shared" ca="1" si="50"/>
        <v>#N/A</v>
      </c>
      <c r="D113" s="17" t="e">
        <f t="shared" ca="1" si="51"/>
        <v>#N/A</v>
      </c>
      <c r="E113" s="47" t="e">
        <f t="shared" ca="1" si="52"/>
        <v>#N/A</v>
      </c>
      <c r="F113" s="7" t="e">
        <f t="shared" ca="1" si="53"/>
        <v>#N/A</v>
      </c>
      <c r="G113" s="19" t="e">
        <f t="shared" ca="1" si="54"/>
        <v>#N/A</v>
      </c>
      <c r="H113" s="19" t="e">
        <f t="shared" ca="1" si="55"/>
        <v>#N/A</v>
      </c>
      <c r="I113" s="19" t="e">
        <f ca="1">IF(OR($A113="",$N$1="",$M$16&lt;&gt;"C"),"",IFERROR(HLOOKUP($B113,$O$63:Z175,$N$1+1)*IF($D113&gt;42,$D113/30,1),0)+HLOOKUP($B113,$O$78:$Z$80,2)*MIN(3*IF($D113&gt;42,$D113/30,1),$J113)+HLOOKUP($B113,$O$78:$Z$80,3)*MAX(0,$J113-3*IF($D113&gt;42,$D113/30,1)))</f>
        <v>#N/A</v>
      </c>
      <c r="J113" s="55" t="e">
        <f t="shared" ca="1" si="58"/>
        <v>#N/A</v>
      </c>
      <c r="K113" t="e">
        <f t="shared" ca="1" si="59"/>
        <v>#N/A</v>
      </c>
      <c r="L113" s="142">
        <f t="shared" ca="1" si="46"/>
        <v>0</v>
      </c>
    </row>
    <row r="114" spans="1:12" x14ac:dyDescent="0.2">
      <c r="A114" s="2" t="e">
        <f t="shared" ca="1" si="48"/>
        <v>#N/A</v>
      </c>
      <c r="B114" s="4" t="e">
        <f t="shared" ca="1" si="57"/>
        <v>#N/A</v>
      </c>
      <c r="C114" s="17" t="e">
        <f t="shared" ca="1" si="50"/>
        <v>#N/A</v>
      </c>
      <c r="D114" s="17" t="e">
        <f t="shared" ca="1" si="51"/>
        <v>#N/A</v>
      </c>
      <c r="E114" s="47" t="e">
        <f t="shared" ca="1" si="52"/>
        <v>#N/A</v>
      </c>
      <c r="F114" s="7" t="e">
        <f t="shared" ca="1" si="53"/>
        <v>#N/A</v>
      </c>
      <c r="G114" s="19" t="e">
        <f t="shared" ca="1" si="54"/>
        <v>#N/A</v>
      </c>
      <c r="H114" s="19" t="e">
        <f t="shared" ca="1" si="55"/>
        <v>#N/A</v>
      </c>
      <c r="I114" s="19" t="e">
        <f ca="1">IF(OR($A114="",$N$1="",$M$16&lt;&gt;"C"),"",IFERROR(HLOOKUP($B114,$O$63:Z176,$N$1+1)*IF($D114&gt;42,$D114/30,1),0)+HLOOKUP($B114,$O$78:$Z$80,2)*MIN(3*IF($D114&gt;42,$D114/30,1),$J114)+HLOOKUP($B114,$O$78:$Z$80,3)*MAX(0,$J114-3*IF($D114&gt;42,$D114/30,1)))</f>
        <v>#N/A</v>
      </c>
      <c r="J114" s="55" t="e">
        <f t="shared" ca="1" si="58"/>
        <v>#N/A</v>
      </c>
      <c r="K114" t="e">
        <f t="shared" ca="1" si="59"/>
        <v>#N/A</v>
      </c>
      <c r="L114" s="142">
        <f t="shared" ca="1" si="46"/>
        <v>0</v>
      </c>
    </row>
    <row r="115" spans="1:12" x14ac:dyDescent="0.2">
      <c r="A115" s="2" t="e">
        <f t="shared" ca="1" si="48"/>
        <v>#N/A</v>
      </c>
      <c r="B115" s="4" t="e">
        <f t="shared" ca="1" si="57"/>
        <v>#N/A</v>
      </c>
      <c r="C115" s="17" t="e">
        <f t="shared" ca="1" si="50"/>
        <v>#N/A</v>
      </c>
      <c r="D115" s="17" t="e">
        <f t="shared" ca="1" si="51"/>
        <v>#N/A</v>
      </c>
      <c r="E115" s="47" t="e">
        <f t="shared" ca="1" si="52"/>
        <v>#N/A</v>
      </c>
      <c r="F115" s="7" t="e">
        <f t="shared" ca="1" si="53"/>
        <v>#N/A</v>
      </c>
      <c r="G115" s="19" t="e">
        <f t="shared" ca="1" si="54"/>
        <v>#N/A</v>
      </c>
      <c r="H115" s="19" t="e">
        <f t="shared" ca="1" si="55"/>
        <v>#N/A</v>
      </c>
      <c r="I115" s="19" t="e">
        <f ca="1">IF(OR($A115="",$N$1="",$M$16&lt;&gt;"C"),"",IFERROR(HLOOKUP($B115,$O$63:Z177,$N$1+1)*IF($D115&gt;42,$D115/30,1),0)+HLOOKUP($B115,$O$78:$Z$80,2)*MIN(3*IF($D115&gt;42,$D115/30,1),$J115)+HLOOKUP($B115,$O$78:$Z$80,3)*MAX(0,$J115-3*IF($D115&gt;42,$D115/30,1)))</f>
        <v>#N/A</v>
      </c>
      <c r="J115" s="55" t="e">
        <f t="shared" ca="1" si="58"/>
        <v>#N/A</v>
      </c>
      <c r="K115" t="e">
        <f t="shared" ca="1" si="59"/>
        <v>#N/A</v>
      </c>
      <c r="L115" s="142">
        <f t="shared" ca="1" si="46"/>
        <v>0</v>
      </c>
    </row>
    <row r="116" spans="1:12" x14ac:dyDescent="0.2">
      <c r="A116" s="2" t="e">
        <f t="shared" ca="1" si="48"/>
        <v>#N/A</v>
      </c>
      <c r="B116" s="4" t="e">
        <f t="shared" ca="1" si="57"/>
        <v>#N/A</v>
      </c>
      <c r="C116" s="17" t="e">
        <f t="shared" ca="1" si="50"/>
        <v>#N/A</v>
      </c>
      <c r="D116" s="17" t="e">
        <f t="shared" ca="1" si="51"/>
        <v>#N/A</v>
      </c>
      <c r="E116" s="47" t="e">
        <f t="shared" ca="1" si="52"/>
        <v>#N/A</v>
      </c>
      <c r="F116" s="7" t="e">
        <f t="shared" ca="1" si="53"/>
        <v>#N/A</v>
      </c>
      <c r="G116" s="19" t="e">
        <f t="shared" ca="1" si="54"/>
        <v>#N/A</v>
      </c>
      <c r="H116" s="19" t="e">
        <f t="shared" ca="1" si="55"/>
        <v>#N/A</v>
      </c>
      <c r="I116" s="19" t="e">
        <f ca="1">IF(OR($A116="",$N$1="",$M$16&lt;&gt;"C"),"",IFERROR(HLOOKUP($B116,$O$63:Z178,$N$1+1)*IF($D116&gt;42,$D116/30,1),0)+HLOOKUP($B116,$O$78:$Z$80,2)*MIN(3*IF($D116&gt;42,$D116/30,1),$J116)+HLOOKUP($B116,$O$78:$Z$80,3)*MAX(0,$J116-3*IF($D116&gt;42,$D116/30,1)))</f>
        <v>#N/A</v>
      </c>
      <c r="J116" s="55" t="e">
        <f t="shared" ca="1" si="58"/>
        <v>#N/A</v>
      </c>
      <c r="K116" t="e">
        <f t="shared" ca="1" si="59"/>
        <v>#N/A</v>
      </c>
      <c r="L116" s="142">
        <f t="shared" ca="1" si="46"/>
        <v>0</v>
      </c>
    </row>
    <row r="117" spans="1:12" x14ac:dyDescent="0.2">
      <c r="A117" s="2" t="e">
        <f t="shared" ca="1" si="48"/>
        <v>#N/A</v>
      </c>
      <c r="B117" s="4" t="e">
        <f t="shared" ca="1" si="57"/>
        <v>#N/A</v>
      </c>
      <c r="C117" s="17" t="e">
        <f t="shared" ca="1" si="50"/>
        <v>#N/A</v>
      </c>
      <c r="D117" s="17" t="e">
        <f t="shared" ca="1" si="51"/>
        <v>#N/A</v>
      </c>
      <c r="E117" s="47" t="e">
        <f t="shared" ca="1" si="52"/>
        <v>#N/A</v>
      </c>
      <c r="F117" s="7" t="e">
        <f t="shared" ca="1" si="53"/>
        <v>#N/A</v>
      </c>
      <c r="G117" s="19" t="e">
        <f t="shared" ca="1" si="54"/>
        <v>#N/A</v>
      </c>
      <c r="H117" s="19" t="e">
        <f t="shared" ca="1" si="55"/>
        <v>#N/A</v>
      </c>
      <c r="I117" s="19" t="e">
        <f ca="1">IF(OR($A117="",$N$1="",$M$16&lt;&gt;"C"),"",IFERROR(HLOOKUP($B117,$O$63:Z179,$N$1+1)*IF($D117&gt;42,$D117/30,1),0)+HLOOKUP($B117,$O$78:$Z$80,2)*MIN(3*IF($D117&gt;42,$D117/30,1),$J117)+HLOOKUP($B117,$O$78:$Z$80,3)*MAX(0,$J117-3*IF($D117&gt;42,$D117/30,1)))</f>
        <v>#N/A</v>
      </c>
      <c r="J117" s="55" t="e">
        <f t="shared" ca="1" si="58"/>
        <v>#N/A</v>
      </c>
      <c r="K117" t="e">
        <f t="shared" ca="1" si="59"/>
        <v>#N/A</v>
      </c>
      <c r="L117" s="142">
        <f t="shared" ca="1" si="46"/>
        <v>0</v>
      </c>
    </row>
    <row r="118" spans="1:12" x14ac:dyDescent="0.2">
      <c r="A118" s="2" t="e">
        <f t="shared" ca="1" si="48"/>
        <v>#N/A</v>
      </c>
      <c r="B118" s="4" t="e">
        <f t="shared" ca="1" si="57"/>
        <v>#N/A</v>
      </c>
      <c r="C118" s="17" t="e">
        <f t="shared" ca="1" si="50"/>
        <v>#N/A</v>
      </c>
      <c r="D118" s="17" t="e">
        <f t="shared" ca="1" si="51"/>
        <v>#N/A</v>
      </c>
      <c r="E118" s="47" t="e">
        <f t="shared" ca="1" si="52"/>
        <v>#N/A</v>
      </c>
      <c r="F118" s="7" t="e">
        <f t="shared" ca="1" si="53"/>
        <v>#N/A</v>
      </c>
      <c r="G118" s="19" t="e">
        <f t="shared" ca="1" si="54"/>
        <v>#N/A</v>
      </c>
      <c r="H118" s="19" t="e">
        <f t="shared" ca="1" si="55"/>
        <v>#N/A</v>
      </c>
      <c r="I118" s="19" t="e">
        <f ca="1">IF(OR($A118="",$N$1="",$M$16&lt;&gt;"C"),"",IFERROR(HLOOKUP($B118,$O$63:Z180,$N$1+1)*IF($D118&gt;42,$D118/30,1),0)+HLOOKUP($B118,$O$78:$Z$80,2)*MIN(3*IF($D118&gt;42,$D118/30,1),$J118)+HLOOKUP($B118,$O$78:$Z$80,3)*MAX(0,$J118-3*IF($D118&gt;42,$D118/30,1)))</f>
        <v>#N/A</v>
      </c>
      <c r="J118" s="55" t="e">
        <f t="shared" ca="1" si="58"/>
        <v>#N/A</v>
      </c>
      <c r="K118" t="e">
        <f t="shared" ca="1" si="59"/>
        <v>#N/A</v>
      </c>
      <c r="L118" s="142">
        <f t="shared" ca="1" si="46"/>
        <v>0</v>
      </c>
    </row>
    <row r="119" spans="1:12" x14ac:dyDescent="0.2">
      <c r="A119" s="2" t="e">
        <f t="shared" ca="1" si="48"/>
        <v>#N/A</v>
      </c>
      <c r="B119" s="4" t="e">
        <f t="shared" ca="1" si="57"/>
        <v>#N/A</v>
      </c>
      <c r="C119" s="17" t="e">
        <f t="shared" ca="1" si="50"/>
        <v>#N/A</v>
      </c>
      <c r="D119" s="17" t="e">
        <f t="shared" ca="1" si="51"/>
        <v>#N/A</v>
      </c>
      <c r="E119" s="47" t="e">
        <f t="shared" ca="1" si="52"/>
        <v>#N/A</v>
      </c>
      <c r="F119" s="7" t="e">
        <f t="shared" ca="1" si="53"/>
        <v>#N/A</v>
      </c>
      <c r="G119" s="19" t="e">
        <f t="shared" ca="1" si="54"/>
        <v>#N/A</v>
      </c>
      <c r="H119" s="19" t="e">
        <f t="shared" ca="1" si="55"/>
        <v>#N/A</v>
      </c>
      <c r="I119" s="19" t="e">
        <f ca="1">IF(OR($A119="",$N$1="",$M$16&lt;&gt;"C"),"",IFERROR(HLOOKUP($B119,$O$63:Z181,$N$1+1)*IF($D119&gt;42,$D119/30,1),0)+HLOOKUP($B119,$O$78:$Z$80,2)*MIN(3*IF($D119&gt;42,$D119/30,1),$J119)+HLOOKUP($B119,$O$78:$Z$80,3)*MAX(0,$J119-3*IF($D119&gt;42,$D119/30,1)))</f>
        <v>#N/A</v>
      </c>
      <c r="J119" s="55" t="e">
        <f t="shared" ca="1" si="58"/>
        <v>#N/A</v>
      </c>
      <c r="K119" t="e">
        <f t="shared" ca="1" si="59"/>
        <v>#N/A</v>
      </c>
      <c r="L119" s="142">
        <f t="shared" ca="1" si="46"/>
        <v>0</v>
      </c>
    </row>
    <row r="120" spans="1:12" x14ac:dyDescent="0.2">
      <c r="A120" s="2" t="e">
        <f t="shared" ca="1" si="48"/>
        <v>#N/A</v>
      </c>
      <c r="B120" s="4" t="e">
        <f t="shared" ca="1" si="57"/>
        <v>#N/A</v>
      </c>
      <c r="C120" s="17" t="e">
        <f t="shared" ca="1" si="50"/>
        <v>#N/A</v>
      </c>
      <c r="D120" s="17" t="e">
        <f t="shared" ca="1" si="51"/>
        <v>#N/A</v>
      </c>
      <c r="E120" s="47" t="e">
        <f t="shared" ca="1" si="52"/>
        <v>#N/A</v>
      </c>
      <c r="F120" s="7" t="e">
        <f t="shared" ca="1" si="53"/>
        <v>#N/A</v>
      </c>
      <c r="G120" s="19" t="e">
        <f t="shared" ca="1" si="54"/>
        <v>#N/A</v>
      </c>
      <c r="H120" s="19" t="e">
        <f t="shared" ca="1" si="55"/>
        <v>#N/A</v>
      </c>
      <c r="I120" s="19" t="e">
        <f ca="1">IF(OR($A120="",$N$1="",$M$16&lt;&gt;"C"),"",IFERROR(HLOOKUP($B120,$O$63:Z182,$N$1+1)*IF($D120&gt;42,$D120/30,1),0)+HLOOKUP($B120,$O$78:$Z$80,2)*MIN(3*IF($D120&gt;42,$D120/30,1),$J120)+HLOOKUP($B120,$O$78:$Z$80,3)*MAX(0,$J120-3*IF($D120&gt;42,$D120/30,1)))</f>
        <v>#N/A</v>
      </c>
      <c r="J120" s="55" t="e">
        <f t="shared" ca="1" si="58"/>
        <v>#N/A</v>
      </c>
      <c r="K120" t="e">
        <f t="shared" ca="1" si="59"/>
        <v>#N/A</v>
      </c>
      <c r="L120" s="142">
        <f t="shared" ca="1" si="46"/>
        <v>0</v>
      </c>
    </row>
    <row r="121" spans="1:12" x14ac:dyDescent="0.2">
      <c r="A121" s="2" t="e">
        <f t="shared" ca="1" si="48"/>
        <v>#N/A</v>
      </c>
      <c r="B121" s="4" t="e">
        <f t="shared" ca="1" si="57"/>
        <v>#N/A</v>
      </c>
      <c r="C121" s="17" t="e">
        <f t="shared" ca="1" si="50"/>
        <v>#N/A</v>
      </c>
      <c r="D121" s="17" t="e">
        <f t="shared" ca="1" si="51"/>
        <v>#N/A</v>
      </c>
      <c r="E121" s="47" t="e">
        <f t="shared" ca="1" si="52"/>
        <v>#N/A</v>
      </c>
      <c r="F121" s="7" t="e">
        <f t="shared" ca="1" si="53"/>
        <v>#N/A</v>
      </c>
      <c r="G121" s="19" t="e">
        <f t="shared" ca="1" si="54"/>
        <v>#N/A</v>
      </c>
      <c r="H121" s="19" t="e">
        <f t="shared" ca="1" si="55"/>
        <v>#N/A</v>
      </c>
      <c r="I121" s="19" t="e">
        <f ca="1">IF(OR($A121="",$N$1="",$M$16&lt;&gt;"C"),"",IFERROR(HLOOKUP($B121,$O$63:Z183,$N$1+1)*IF($D121&gt;42,$D121/30,1),0)+HLOOKUP($B121,$O$78:$Z$80,2)*MIN(3*IF($D121&gt;42,$D121/30,1),$J121)+HLOOKUP($B121,$O$78:$Z$80,3)*MAX(0,$J121-3*IF($D121&gt;42,$D121/30,1)))</f>
        <v>#N/A</v>
      </c>
      <c r="J121" s="55" t="e">
        <f t="shared" ca="1" si="58"/>
        <v>#N/A</v>
      </c>
      <c r="K121" t="e">
        <f t="shared" ca="1" si="59"/>
        <v>#N/A</v>
      </c>
      <c r="L121" s="142">
        <f t="shared" ca="1" si="46"/>
        <v>0</v>
      </c>
    </row>
    <row r="122" spans="1:12" x14ac:dyDescent="0.2">
      <c r="A122" s="2" t="e">
        <f t="shared" ca="1" si="48"/>
        <v>#N/A</v>
      </c>
      <c r="B122" s="4" t="e">
        <f t="shared" ca="1" si="57"/>
        <v>#N/A</v>
      </c>
      <c r="C122" s="17" t="e">
        <f t="shared" ca="1" si="50"/>
        <v>#N/A</v>
      </c>
      <c r="D122" s="17" t="e">
        <f t="shared" ca="1" si="51"/>
        <v>#N/A</v>
      </c>
      <c r="E122" s="47" t="e">
        <f t="shared" ca="1" si="52"/>
        <v>#N/A</v>
      </c>
      <c r="F122" s="7" t="e">
        <f t="shared" ca="1" si="53"/>
        <v>#N/A</v>
      </c>
      <c r="G122" s="19" t="e">
        <f t="shared" ca="1" si="54"/>
        <v>#N/A</v>
      </c>
      <c r="H122" s="19" t="e">
        <f t="shared" ca="1" si="55"/>
        <v>#N/A</v>
      </c>
      <c r="I122" s="19" t="e">
        <f ca="1">IF(OR($A122="",$N$1="",$M$16&lt;&gt;"C"),"",IFERROR(HLOOKUP($B122,$O$63:Z184,$N$1+1)*IF($D122&gt;42,$D122/30,1),0)+HLOOKUP($B122,$O$78:$Z$80,2)*MIN(3*IF($D122&gt;42,$D122/30,1),$J122)+HLOOKUP($B122,$O$78:$Z$80,3)*MAX(0,$J122-3*IF($D122&gt;42,$D122/30,1)))</f>
        <v>#N/A</v>
      </c>
      <c r="J122" s="55" t="e">
        <f t="shared" ca="1" si="58"/>
        <v>#N/A</v>
      </c>
      <c r="K122" t="e">
        <f t="shared" ca="1" si="59"/>
        <v>#N/A</v>
      </c>
      <c r="L122" s="142">
        <f t="shared" ca="1" si="46"/>
        <v>0</v>
      </c>
    </row>
    <row r="123" spans="1:12" x14ac:dyDescent="0.2">
      <c r="A123" s="2" t="e">
        <f t="shared" ca="1" si="48"/>
        <v>#N/A</v>
      </c>
      <c r="B123" s="4" t="e">
        <f t="shared" ca="1" si="57"/>
        <v>#N/A</v>
      </c>
      <c r="C123" s="17" t="e">
        <f t="shared" ca="1" si="50"/>
        <v>#N/A</v>
      </c>
      <c r="D123" s="17" t="e">
        <f t="shared" ca="1" si="51"/>
        <v>#N/A</v>
      </c>
      <c r="E123" s="47" t="e">
        <f t="shared" ca="1" si="52"/>
        <v>#N/A</v>
      </c>
      <c r="F123" s="7" t="e">
        <f t="shared" ca="1" si="53"/>
        <v>#N/A</v>
      </c>
      <c r="G123" s="19" t="e">
        <f t="shared" ca="1" si="54"/>
        <v>#N/A</v>
      </c>
      <c r="H123" s="19" t="e">
        <f t="shared" ca="1" si="55"/>
        <v>#N/A</v>
      </c>
      <c r="I123" s="19" t="e">
        <f ca="1">IF(OR($A123="",$N$1="",$M$16&lt;&gt;"C"),"",IFERROR(HLOOKUP($B123,$O$63:Z185,$N$1+1)*IF($D123&gt;42,$D123/30,1),0)+HLOOKUP($B123,$O$78:$Z$80,2)*MIN(3*IF($D123&gt;42,$D123/30,1),$J123)+HLOOKUP($B123,$O$78:$Z$80,3)*MAX(0,$J123-3*IF($D123&gt;42,$D123/30,1)))</f>
        <v>#N/A</v>
      </c>
      <c r="J123" s="55" t="e">
        <f t="shared" ca="1" si="58"/>
        <v>#N/A</v>
      </c>
      <c r="K123" t="e">
        <f t="shared" ca="1" si="59"/>
        <v>#N/A</v>
      </c>
      <c r="L123" s="142">
        <f t="shared" ca="1" si="46"/>
        <v>0</v>
      </c>
    </row>
    <row r="124" spans="1:12" x14ac:dyDescent="0.2">
      <c r="A124" s="2" t="e">
        <f t="shared" ca="1" si="48"/>
        <v>#N/A</v>
      </c>
      <c r="B124" s="4" t="e">
        <f t="shared" ca="1" si="57"/>
        <v>#N/A</v>
      </c>
      <c r="C124" s="17" t="e">
        <f t="shared" ca="1" si="50"/>
        <v>#N/A</v>
      </c>
      <c r="D124" s="17" t="e">
        <f t="shared" ca="1" si="51"/>
        <v>#N/A</v>
      </c>
      <c r="E124" s="47" t="e">
        <f t="shared" ca="1" si="52"/>
        <v>#N/A</v>
      </c>
      <c r="F124" s="7" t="e">
        <f t="shared" ca="1" si="53"/>
        <v>#N/A</v>
      </c>
      <c r="G124" s="19" t="e">
        <f t="shared" ca="1" si="54"/>
        <v>#N/A</v>
      </c>
      <c r="H124" s="19" t="e">
        <f t="shared" ca="1" si="55"/>
        <v>#N/A</v>
      </c>
      <c r="I124" s="19" t="e">
        <f ca="1">IF(OR($A124="",$N$1="",$M$16&lt;&gt;"C"),"",IFERROR(HLOOKUP($B124,$O$63:Z186,$N$1+1)*IF($D124&gt;42,$D124/30,1),0)+HLOOKUP($B124,$O$78:$Z$80,2)*MIN(3*IF($D124&gt;42,$D124/30,1),$J124)+HLOOKUP($B124,$O$78:$Z$80,3)*MAX(0,$J124-3*IF($D124&gt;42,$D124/30,1)))</f>
        <v>#N/A</v>
      </c>
      <c r="J124" s="55" t="e">
        <f t="shared" ca="1" si="58"/>
        <v>#N/A</v>
      </c>
      <c r="K124" t="e">
        <f t="shared" ca="1" si="59"/>
        <v>#N/A</v>
      </c>
      <c r="L124" s="142">
        <f t="shared" ca="1" si="46"/>
        <v>0</v>
      </c>
    </row>
    <row r="125" spans="1:12" x14ac:dyDescent="0.2">
      <c r="A125" s="2" t="e">
        <f t="shared" ca="1" si="48"/>
        <v>#N/A</v>
      </c>
      <c r="B125" s="4" t="e">
        <f t="shared" ca="1" si="57"/>
        <v>#N/A</v>
      </c>
      <c r="C125" s="17" t="e">
        <f t="shared" ca="1" si="50"/>
        <v>#N/A</v>
      </c>
      <c r="D125" s="17" t="e">
        <f t="shared" ca="1" si="51"/>
        <v>#N/A</v>
      </c>
      <c r="E125" s="47" t="e">
        <f t="shared" ca="1" si="52"/>
        <v>#N/A</v>
      </c>
      <c r="F125" s="7" t="e">
        <f t="shared" ca="1" si="53"/>
        <v>#N/A</v>
      </c>
      <c r="G125" s="19" t="e">
        <f t="shared" ca="1" si="54"/>
        <v>#N/A</v>
      </c>
      <c r="H125" s="19" t="e">
        <f t="shared" ca="1" si="55"/>
        <v>#N/A</v>
      </c>
      <c r="I125" s="19" t="e">
        <f ca="1">IF(OR($A125="",$N$1="",$M$16&lt;&gt;"C"),"",IFERROR(HLOOKUP($B125,$O$63:Z187,$N$1+1)*IF($D125&gt;42,$D125/30,1),0)+HLOOKUP($B125,$O$78:$Z$80,2)*MIN(3*IF($D125&gt;42,$D125/30,1),$J125)+HLOOKUP($B125,$O$78:$Z$80,3)*MAX(0,$J125-3*IF($D125&gt;42,$D125/30,1)))</f>
        <v>#N/A</v>
      </c>
      <c r="J125" s="55" t="e">
        <f t="shared" ca="1" si="58"/>
        <v>#N/A</v>
      </c>
      <c r="K125" t="e">
        <f t="shared" ca="1" si="59"/>
        <v>#N/A</v>
      </c>
      <c r="L125" s="142">
        <f t="shared" ca="1" si="46"/>
        <v>0</v>
      </c>
    </row>
    <row r="126" spans="1:12" x14ac:dyDescent="0.2">
      <c r="A126" s="2" t="e">
        <f t="shared" ca="1" si="48"/>
        <v>#N/A</v>
      </c>
      <c r="B126" s="4" t="e">
        <f t="shared" ca="1" si="57"/>
        <v>#N/A</v>
      </c>
      <c r="C126" s="17" t="e">
        <f t="shared" ca="1" si="50"/>
        <v>#N/A</v>
      </c>
      <c r="D126" s="17" t="e">
        <f t="shared" ca="1" si="51"/>
        <v>#N/A</v>
      </c>
      <c r="E126" s="47" t="e">
        <f t="shared" ca="1" si="52"/>
        <v>#N/A</v>
      </c>
      <c r="F126" s="7" t="e">
        <f t="shared" ca="1" si="53"/>
        <v>#N/A</v>
      </c>
      <c r="G126" s="19" t="e">
        <f t="shared" ca="1" si="54"/>
        <v>#N/A</v>
      </c>
      <c r="H126" s="19" t="e">
        <f t="shared" ca="1" si="55"/>
        <v>#N/A</v>
      </c>
      <c r="I126" s="19" t="e">
        <f ca="1">IF(OR($A126="",$N$1="",$M$16&lt;&gt;"C"),"",IFERROR(HLOOKUP($B126,$O$63:Z188,$N$1+1)*IF($D126&gt;42,$D126/30,1),0)+HLOOKUP($B126,$O$78:$Z$80,2)*MIN(3*IF($D126&gt;42,$D126/30,1),$J126)+HLOOKUP($B126,$O$78:$Z$80,3)*MAX(0,$J126-3*IF($D126&gt;42,$D126/30,1)))</f>
        <v>#N/A</v>
      </c>
      <c r="J126" s="55" t="e">
        <f t="shared" ca="1" si="58"/>
        <v>#N/A</v>
      </c>
      <c r="K126" t="e">
        <f t="shared" ca="1" si="59"/>
        <v>#N/A</v>
      </c>
      <c r="L126" s="142">
        <f t="shared" ca="1" si="46"/>
        <v>0</v>
      </c>
    </row>
    <row r="127" spans="1:12" x14ac:dyDescent="0.2">
      <c r="A127" s="2" t="e">
        <f t="shared" ca="1" si="48"/>
        <v>#N/A</v>
      </c>
      <c r="B127" s="4" t="e">
        <f t="shared" ca="1" si="57"/>
        <v>#N/A</v>
      </c>
      <c r="C127" s="17" t="e">
        <f t="shared" ca="1" si="50"/>
        <v>#N/A</v>
      </c>
      <c r="D127" s="17" t="e">
        <f t="shared" ca="1" si="51"/>
        <v>#N/A</v>
      </c>
      <c r="E127" s="47" t="e">
        <f t="shared" ca="1" si="52"/>
        <v>#N/A</v>
      </c>
      <c r="F127" s="7" t="e">
        <f t="shared" ca="1" si="53"/>
        <v>#N/A</v>
      </c>
      <c r="G127" s="19" t="e">
        <f t="shared" ca="1" si="54"/>
        <v>#N/A</v>
      </c>
      <c r="H127" s="19" t="e">
        <f t="shared" ca="1" si="55"/>
        <v>#N/A</v>
      </c>
      <c r="I127" s="19" t="e">
        <f ca="1">IF(OR($A127="",$N$1="",$M$16&lt;&gt;"C"),"",IFERROR(HLOOKUP($B127,$O$63:Z189,$N$1+1)*IF($D127&gt;42,$D127/30,1),0)+HLOOKUP($B127,$O$78:$Z$80,2)*MIN(3*IF($D127&gt;42,$D127/30,1),$J127)+HLOOKUP($B127,$O$78:$Z$80,3)*MAX(0,$J127-3*IF($D127&gt;42,$D127/30,1)))</f>
        <v>#N/A</v>
      </c>
      <c r="J127" s="55" t="e">
        <f t="shared" ca="1" si="58"/>
        <v>#N/A</v>
      </c>
      <c r="K127" t="e">
        <f t="shared" ca="1" si="59"/>
        <v>#N/A</v>
      </c>
      <c r="L127" s="142">
        <f t="shared" ca="1" si="46"/>
        <v>0</v>
      </c>
    </row>
    <row r="128" spans="1:12" x14ac:dyDescent="0.2">
      <c r="A128" s="2" t="e">
        <f t="shared" ca="1" si="48"/>
        <v>#N/A</v>
      </c>
      <c r="B128" s="4" t="e">
        <f t="shared" ca="1" si="57"/>
        <v>#N/A</v>
      </c>
      <c r="C128" s="17" t="e">
        <f t="shared" ca="1" si="50"/>
        <v>#N/A</v>
      </c>
      <c r="D128" s="17" t="e">
        <f t="shared" ca="1" si="51"/>
        <v>#N/A</v>
      </c>
      <c r="E128" s="47" t="e">
        <f t="shared" ca="1" si="52"/>
        <v>#N/A</v>
      </c>
      <c r="F128" s="7" t="e">
        <f t="shared" ca="1" si="53"/>
        <v>#N/A</v>
      </c>
      <c r="G128" s="19" t="e">
        <f t="shared" ca="1" si="54"/>
        <v>#N/A</v>
      </c>
      <c r="H128" s="19" t="e">
        <f t="shared" ca="1" si="55"/>
        <v>#N/A</v>
      </c>
      <c r="I128" s="19" t="e">
        <f ca="1">IF(OR($A128="",$N$1="",$M$16&lt;&gt;"C"),"",IFERROR(HLOOKUP($B128,$O$63:Z190,$N$1+1)*IF($D128&gt;42,$D128/30,1),0)+HLOOKUP($B128,$O$78:$Z$80,2)*MIN(3*IF($D128&gt;42,$D128/30,1),$J128)+HLOOKUP($B128,$O$78:$Z$80,3)*MAX(0,$J128-3*IF($D128&gt;42,$D128/30,1)))</f>
        <v>#N/A</v>
      </c>
      <c r="J128" s="55" t="e">
        <f t="shared" ca="1" si="58"/>
        <v>#N/A</v>
      </c>
      <c r="K128" t="e">
        <f t="shared" ca="1" si="59"/>
        <v>#N/A</v>
      </c>
      <c r="L128" s="142">
        <f t="shared" ca="1" si="46"/>
        <v>0</v>
      </c>
    </row>
    <row r="129" spans="1:12" x14ac:dyDescent="0.2">
      <c r="A129" s="2" t="e">
        <f t="shared" ca="1" si="48"/>
        <v>#N/A</v>
      </c>
      <c r="B129" s="4" t="e">
        <f t="shared" ca="1" si="57"/>
        <v>#N/A</v>
      </c>
      <c r="C129" s="17" t="e">
        <f t="shared" ca="1" si="50"/>
        <v>#N/A</v>
      </c>
      <c r="D129" s="17" t="e">
        <f t="shared" ca="1" si="51"/>
        <v>#N/A</v>
      </c>
      <c r="E129" s="47" t="e">
        <f t="shared" ca="1" si="52"/>
        <v>#N/A</v>
      </c>
      <c r="F129" s="7" t="e">
        <f t="shared" ca="1" si="53"/>
        <v>#N/A</v>
      </c>
      <c r="G129" s="19" t="e">
        <f t="shared" ca="1" si="54"/>
        <v>#N/A</v>
      </c>
      <c r="H129" s="19" t="e">
        <f t="shared" ca="1" si="55"/>
        <v>#N/A</v>
      </c>
      <c r="I129" s="19" t="e">
        <f ca="1">IF(OR($A129="",$N$1="",$M$16&lt;&gt;"C"),"",IFERROR(HLOOKUP($B129,$O$63:Z191,$N$1+1)*IF($D129&gt;42,$D129/30,1),0)+HLOOKUP($B129,$O$78:$Z$80,2)*MIN(3*IF($D129&gt;42,$D129/30,1),$J129)+HLOOKUP($B129,$O$78:$Z$80,3)*MAX(0,$J129-3*IF($D129&gt;42,$D129/30,1)))</f>
        <v>#N/A</v>
      </c>
      <c r="J129" s="55" t="e">
        <f t="shared" ca="1" si="58"/>
        <v>#N/A</v>
      </c>
      <c r="K129" t="e">
        <f t="shared" ca="1" si="59"/>
        <v>#N/A</v>
      </c>
      <c r="L129" s="142">
        <f t="shared" ca="1" si="46"/>
        <v>0</v>
      </c>
    </row>
    <row r="130" spans="1:12" x14ac:dyDescent="0.2">
      <c r="A130" s="2" t="e">
        <f t="shared" ca="1" si="48"/>
        <v>#N/A</v>
      </c>
      <c r="B130" s="4" t="e">
        <f t="shared" ca="1" si="57"/>
        <v>#N/A</v>
      </c>
      <c r="C130" s="17" t="e">
        <f t="shared" ca="1" si="50"/>
        <v>#N/A</v>
      </c>
      <c r="D130" s="17" t="e">
        <f t="shared" ca="1" si="51"/>
        <v>#N/A</v>
      </c>
      <c r="E130" s="47" t="e">
        <f t="shared" ca="1" si="52"/>
        <v>#N/A</v>
      </c>
      <c r="F130" s="7" t="e">
        <f t="shared" ca="1" si="53"/>
        <v>#N/A</v>
      </c>
      <c r="G130" s="19" t="e">
        <f t="shared" ca="1" si="54"/>
        <v>#N/A</v>
      </c>
      <c r="H130" s="19" t="e">
        <f t="shared" ca="1" si="55"/>
        <v>#N/A</v>
      </c>
      <c r="I130" s="19" t="e">
        <f ca="1">IF(OR($A130="",$N$1="",$M$16&lt;&gt;"C"),"",IFERROR(HLOOKUP($B130,$O$63:Z192,$N$1+1)*IF($D130&gt;42,$D130/30,1),0)+HLOOKUP($B130,$O$78:$Z$80,2)*MIN(3*IF($D130&gt;42,$D130/30,1),$J130)+HLOOKUP($B130,$O$78:$Z$80,3)*MAX(0,$J130-3*IF($D130&gt;42,$D130/30,1)))</f>
        <v>#N/A</v>
      </c>
      <c r="J130" s="55" t="e">
        <f t="shared" ca="1" si="58"/>
        <v>#N/A</v>
      </c>
      <c r="K130" t="e">
        <f t="shared" ca="1" si="59"/>
        <v>#N/A</v>
      </c>
      <c r="L130" s="142">
        <f t="shared" ca="1" si="46"/>
        <v>0</v>
      </c>
    </row>
    <row r="131" spans="1:12" x14ac:dyDescent="0.2">
      <c r="A131" s="2" t="e">
        <f t="shared" ca="1" si="48"/>
        <v>#N/A</v>
      </c>
      <c r="B131" s="4" t="e">
        <f t="shared" ca="1" si="57"/>
        <v>#N/A</v>
      </c>
      <c r="C131" s="17" t="e">
        <f t="shared" ca="1" si="50"/>
        <v>#N/A</v>
      </c>
      <c r="D131" s="17" t="e">
        <f t="shared" ca="1" si="51"/>
        <v>#N/A</v>
      </c>
      <c r="E131" s="47" t="e">
        <f t="shared" ca="1" si="52"/>
        <v>#N/A</v>
      </c>
      <c r="F131" s="7" t="e">
        <f t="shared" ca="1" si="53"/>
        <v>#N/A</v>
      </c>
      <c r="G131" s="19" t="e">
        <f t="shared" ca="1" si="54"/>
        <v>#N/A</v>
      </c>
      <c r="H131" s="19" t="e">
        <f t="shared" ca="1" si="55"/>
        <v>#N/A</v>
      </c>
      <c r="I131" s="19" t="e">
        <f ca="1">IF(OR($A131="",$N$1="",$M$16&lt;&gt;"C"),"",IFERROR(HLOOKUP($B131,$O$63:Z193,$N$1+1)*IF($D131&gt;42,$D131/30,1),0)+HLOOKUP($B131,$O$78:$Z$80,2)*MIN(3*IF($D131&gt;42,$D131/30,1),$J131)+HLOOKUP($B131,$O$78:$Z$80,3)*MAX(0,$J131-3*IF($D131&gt;42,$D131/30,1)))</f>
        <v>#N/A</v>
      </c>
      <c r="J131" s="55" t="e">
        <f t="shared" ca="1" si="58"/>
        <v>#N/A</v>
      </c>
      <c r="K131" t="e">
        <f t="shared" ca="1" si="59"/>
        <v>#N/A</v>
      </c>
      <c r="L131" s="142">
        <f t="shared" ca="1" si="46"/>
        <v>0</v>
      </c>
    </row>
    <row r="132" spans="1:12" x14ac:dyDescent="0.2">
      <c r="A132" s="2" t="e">
        <f t="shared" ca="1" si="48"/>
        <v>#N/A</v>
      </c>
      <c r="B132" s="4" t="e">
        <f t="shared" ca="1" si="57"/>
        <v>#N/A</v>
      </c>
      <c r="C132" s="17" t="e">
        <f t="shared" ca="1" si="50"/>
        <v>#N/A</v>
      </c>
      <c r="D132" s="17" t="e">
        <f t="shared" ca="1" si="51"/>
        <v>#N/A</v>
      </c>
      <c r="E132" s="47" t="e">
        <f t="shared" ca="1" si="52"/>
        <v>#N/A</v>
      </c>
      <c r="F132" s="7" t="e">
        <f t="shared" ca="1" si="53"/>
        <v>#N/A</v>
      </c>
      <c r="G132" s="19" t="e">
        <f t="shared" ca="1" si="54"/>
        <v>#N/A</v>
      </c>
      <c r="H132" s="19" t="e">
        <f t="shared" ca="1" si="55"/>
        <v>#N/A</v>
      </c>
      <c r="I132" s="19" t="e">
        <f ca="1">IF(OR($A132="",$N$1="",$M$16&lt;&gt;"C"),"",IFERROR(HLOOKUP($B132,$O$63:Z194,$N$1+1)*IF($D132&gt;42,$D132/30,1),0)+HLOOKUP($B132,$O$78:$Z$80,2)*MIN(3*IF($D132&gt;42,$D132/30,1),$J132)+HLOOKUP($B132,$O$78:$Z$80,3)*MAX(0,$J132-3*IF($D132&gt;42,$D132/30,1)))</f>
        <v>#N/A</v>
      </c>
      <c r="J132" s="55" t="e">
        <f t="shared" ca="1" si="58"/>
        <v>#N/A</v>
      </c>
      <c r="K132" t="e">
        <f t="shared" ca="1" si="59"/>
        <v>#N/A</v>
      </c>
      <c r="L132" s="142">
        <f t="shared" ca="1" si="46"/>
        <v>0</v>
      </c>
    </row>
    <row r="133" spans="1:12" x14ac:dyDescent="0.2">
      <c r="A133" s="2" t="e">
        <f t="shared" ca="1" si="48"/>
        <v>#N/A</v>
      </c>
      <c r="B133" s="4" t="e">
        <f t="shared" ca="1" si="57"/>
        <v>#N/A</v>
      </c>
      <c r="C133" s="17" t="e">
        <f t="shared" ca="1" si="50"/>
        <v>#N/A</v>
      </c>
      <c r="D133" s="17" t="e">
        <f t="shared" ca="1" si="51"/>
        <v>#N/A</v>
      </c>
      <c r="E133" s="47" t="e">
        <f t="shared" ca="1" si="52"/>
        <v>#N/A</v>
      </c>
      <c r="F133" s="7" t="e">
        <f t="shared" ca="1" si="53"/>
        <v>#N/A</v>
      </c>
      <c r="G133" s="19" t="e">
        <f t="shared" ca="1" si="54"/>
        <v>#N/A</v>
      </c>
      <c r="H133" s="19" t="e">
        <f t="shared" ca="1" si="55"/>
        <v>#N/A</v>
      </c>
      <c r="I133" s="19" t="e">
        <f ca="1">IF(OR($A133="",$N$1="",$M$16&lt;&gt;"C"),"",IFERROR(HLOOKUP($B133,$O$63:Z195,$N$1+1)*IF($D133&gt;42,$D133/30,1),0)+HLOOKUP($B133,$O$78:$Z$80,2)*MIN(3*IF($D133&gt;42,$D133/30,1),$J133)+HLOOKUP($B133,$O$78:$Z$80,3)*MAX(0,$J133-3*IF($D133&gt;42,$D133/30,1)))</f>
        <v>#N/A</v>
      </c>
      <c r="J133" s="55" t="e">
        <f t="shared" ca="1" si="58"/>
        <v>#N/A</v>
      </c>
      <c r="K133" t="e">
        <f t="shared" ca="1" si="59"/>
        <v>#N/A</v>
      </c>
      <c r="L133" s="142">
        <f t="shared" ca="1" si="46"/>
        <v>0</v>
      </c>
    </row>
    <row r="134" spans="1:12" x14ac:dyDescent="0.2">
      <c r="A134" s="2" t="e">
        <f t="shared" ca="1" si="48"/>
        <v>#N/A</v>
      </c>
      <c r="B134" s="4" t="e">
        <f t="shared" ca="1" si="57"/>
        <v>#N/A</v>
      </c>
      <c r="C134" s="17" t="e">
        <f t="shared" ca="1" si="50"/>
        <v>#N/A</v>
      </c>
      <c r="D134" s="17" t="e">
        <f t="shared" ca="1" si="51"/>
        <v>#N/A</v>
      </c>
      <c r="E134" s="47" t="e">
        <f t="shared" ca="1" si="52"/>
        <v>#N/A</v>
      </c>
      <c r="F134" s="7" t="e">
        <f t="shared" ca="1" si="53"/>
        <v>#N/A</v>
      </c>
      <c r="G134" s="19" t="e">
        <f t="shared" ca="1" si="54"/>
        <v>#N/A</v>
      </c>
      <c r="H134" s="19" t="e">
        <f t="shared" ca="1" si="55"/>
        <v>#N/A</v>
      </c>
      <c r="I134" s="19" t="e">
        <f ca="1">IF(OR($A134="",$N$1="",$M$16&lt;&gt;"C"),"",IFERROR(HLOOKUP($B134,$O$63:Z196,$N$1+1)*IF($D134&gt;42,$D134/30,1),0)+HLOOKUP($B134,$O$78:$Z$80,2)*MIN(3*IF($D134&gt;42,$D134/30,1),$J134)+HLOOKUP($B134,$O$78:$Z$80,3)*MAX(0,$J134-3*IF($D134&gt;42,$D134/30,1)))</f>
        <v>#N/A</v>
      </c>
      <c r="J134" s="55" t="e">
        <f t="shared" ca="1" si="58"/>
        <v>#N/A</v>
      </c>
      <c r="K134" t="e">
        <f t="shared" ca="1" si="59"/>
        <v>#N/A</v>
      </c>
      <c r="L134" s="142">
        <f t="shared" ca="1" si="46"/>
        <v>0</v>
      </c>
    </row>
    <row r="135" spans="1:12" x14ac:dyDescent="0.2">
      <c r="A135" s="2" t="e">
        <f t="shared" ca="1" si="48"/>
        <v>#N/A</v>
      </c>
      <c r="B135" s="4" t="e">
        <f t="shared" ca="1" si="57"/>
        <v>#N/A</v>
      </c>
      <c r="C135" s="17" t="e">
        <f t="shared" ca="1" si="50"/>
        <v>#N/A</v>
      </c>
      <c r="D135" s="17" t="e">
        <f t="shared" ca="1" si="51"/>
        <v>#N/A</v>
      </c>
      <c r="E135" s="47" t="e">
        <f t="shared" ca="1" si="52"/>
        <v>#N/A</v>
      </c>
      <c r="F135" s="7" t="e">
        <f t="shared" ca="1" si="53"/>
        <v>#N/A</v>
      </c>
      <c r="G135" s="19" t="e">
        <f t="shared" ca="1" si="54"/>
        <v>#N/A</v>
      </c>
      <c r="H135" s="19" t="e">
        <f t="shared" ca="1" si="55"/>
        <v>#N/A</v>
      </c>
      <c r="I135" s="19" t="e">
        <f ca="1">IF(OR($A135="",$N$1="",$M$16&lt;&gt;"C"),"",IFERROR(HLOOKUP($B135,$O$63:Z197,$N$1+1)*IF($D135&gt;42,$D135/30,1),0)+HLOOKUP($B135,$O$78:$Z$80,2)*MIN(3*IF($D135&gt;42,$D135/30,1),$J135)+HLOOKUP($B135,$O$78:$Z$80,3)*MAX(0,$J135-3*IF($D135&gt;42,$D135/30,1)))</f>
        <v>#N/A</v>
      </c>
      <c r="J135" s="55" t="e">
        <f t="shared" ca="1" si="58"/>
        <v>#N/A</v>
      </c>
      <c r="K135" t="e">
        <f t="shared" ca="1" si="59"/>
        <v>#N/A</v>
      </c>
      <c r="L135" s="142">
        <f t="shared" ca="1" si="46"/>
        <v>0</v>
      </c>
    </row>
    <row r="136" spans="1:12" x14ac:dyDescent="0.2">
      <c r="A136" s="2" t="e">
        <f t="shared" ca="1" si="48"/>
        <v>#N/A</v>
      </c>
      <c r="B136" s="4" t="e">
        <f t="shared" ca="1" si="57"/>
        <v>#N/A</v>
      </c>
      <c r="C136" s="17" t="e">
        <f t="shared" ca="1" si="50"/>
        <v>#N/A</v>
      </c>
      <c r="D136" s="17" t="e">
        <f t="shared" ca="1" si="51"/>
        <v>#N/A</v>
      </c>
      <c r="E136" s="47" t="e">
        <f t="shared" ca="1" si="52"/>
        <v>#N/A</v>
      </c>
      <c r="F136" s="7" t="e">
        <f t="shared" ca="1" si="53"/>
        <v>#N/A</v>
      </c>
      <c r="G136" s="19" t="e">
        <f t="shared" ca="1" si="54"/>
        <v>#N/A</v>
      </c>
      <c r="H136" s="19" t="e">
        <f t="shared" ca="1" si="55"/>
        <v>#N/A</v>
      </c>
      <c r="I136" s="19" t="e">
        <f ca="1">IF(OR($A136="",$N$1="",$M$16&lt;&gt;"C"),"",IFERROR(HLOOKUP($B136,$O$63:Z198,$N$1+1)*IF($D136&gt;42,$D136/30,1),0)+HLOOKUP($B136,$O$78:$Z$80,2)*MIN(3*IF($D136&gt;42,$D136/30,1),$J136)+HLOOKUP($B136,$O$78:$Z$80,3)*MAX(0,$J136-3*IF($D136&gt;42,$D136/30,1)))</f>
        <v>#N/A</v>
      </c>
      <c r="J136" s="55" t="e">
        <f t="shared" ca="1" si="58"/>
        <v>#N/A</v>
      </c>
      <c r="K136" t="e">
        <f t="shared" ca="1" si="59"/>
        <v>#N/A</v>
      </c>
      <c r="L136" s="142">
        <f t="shared" ca="1" si="46"/>
        <v>0</v>
      </c>
    </row>
    <row r="137" spans="1:12" x14ac:dyDescent="0.2">
      <c r="A137" s="2" t="e">
        <f t="shared" ca="1" si="48"/>
        <v>#N/A</v>
      </c>
      <c r="B137" s="4" t="e">
        <f t="shared" ca="1" si="57"/>
        <v>#N/A</v>
      </c>
      <c r="C137" s="17" t="e">
        <f t="shared" ca="1" si="50"/>
        <v>#N/A</v>
      </c>
      <c r="D137" s="17" t="e">
        <f t="shared" ca="1" si="51"/>
        <v>#N/A</v>
      </c>
      <c r="E137" s="47" t="e">
        <f t="shared" ca="1" si="52"/>
        <v>#N/A</v>
      </c>
      <c r="F137" s="7" t="e">
        <f t="shared" ca="1" si="53"/>
        <v>#N/A</v>
      </c>
      <c r="G137" s="19" t="e">
        <f t="shared" ca="1" si="54"/>
        <v>#N/A</v>
      </c>
      <c r="H137" s="19" t="e">
        <f t="shared" ca="1" si="55"/>
        <v>#N/A</v>
      </c>
      <c r="I137" s="19" t="e">
        <f ca="1">IF(OR($A137="",$N$1="",$M$16&lt;&gt;"C"),"",IFERROR(HLOOKUP($B137,$O$63:Z199,$N$1+1)*IF($D137&gt;42,$D137/30,1),0)+HLOOKUP($B137,$O$78:$Z$80,2)*MIN(3*IF($D137&gt;42,$D137/30,1),$J137)+HLOOKUP($B137,$O$78:$Z$80,3)*MAX(0,$J137-3*IF($D137&gt;42,$D137/30,1)))</f>
        <v>#N/A</v>
      </c>
      <c r="J137" s="55" t="e">
        <f t="shared" ca="1" si="58"/>
        <v>#N/A</v>
      </c>
      <c r="K137" t="e">
        <f t="shared" ca="1" si="59"/>
        <v>#N/A</v>
      </c>
      <c r="L137" s="142">
        <f t="shared" ca="1" si="46"/>
        <v>0</v>
      </c>
    </row>
    <row r="138" spans="1:12" x14ac:dyDescent="0.2">
      <c r="A138" s="2" t="e">
        <f t="shared" ca="1" si="48"/>
        <v>#N/A</v>
      </c>
      <c r="B138" s="4" t="e">
        <f t="shared" ca="1" si="57"/>
        <v>#N/A</v>
      </c>
      <c r="C138" s="17" t="e">
        <f t="shared" ca="1" si="50"/>
        <v>#N/A</v>
      </c>
      <c r="D138" s="17" t="e">
        <f t="shared" ca="1" si="51"/>
        <v>#N/A</v>
      </c>
      <c r="E138" s="47" t="e">
        <f t="shared" ca="1" si="52"/>
        <v>#N/A</v>
      </c>
      <c r="F138" s="7" t="e">
        <f t="shared" ca="1" si="53"/>
        <v>#N/A</v>
      </c>
      <c r="G138" s="19" t="e">
        <f t="shared" ca="1" si="54"/>
        <v>#N/A</v>
      </c>
      <c r="H138" s="19" t="e">
        <f t="shared" ca="1" si="55"/>
        <v>#N/A</v>
      </c>
      <c r="I138" s="19" t="e">
        <f ca="1">IF(OR($A138="",$N$1="",$M$16&lt;&gt;"C"),"",IFERROR(HLOOKUP($B138,$O$63:Z200,$N$1+1)*IF($D138&gt;42,$D138/30,1),0)+HLOOKUP($B138,$O$78:$Z$80,2)*MIN(3*IF($D138&gt;42,$D138/30,1),$J138)+HLOOKUP($B138,$O$78:$Z$80,3)*MAX(0,$J138-3*IF($D138&gt;42,$D138/30,1)))</f>
        <v>#N/A</v>
      </c>
      <c r="J138" s="55" t="e">
        <f t="shared" ca="1" si="58"/>
        <v>#N/A</v>
      </c>
      <c r="K138" t="e">
        <f t="shared" ca="1" si="59"/>
        <v>#N/A</v>
      </c>
      <c r="L138" s="142">
        <f t="shared" ca="1" si="46"/>
        <v>0</v>
      </c>
    </row>
    <row r="139" spans="1:12" x14ac:dyDescent="0.2">
      <c r="A139" s="2" t="e">
        <f t="shared" ca="1" si="48"/>
        <v>#N/A</v>
      </c>
      <c r="B139" s="4" t="e">
        <f t="shared" ca="1" si="57"/>
        <v>#N/A</v>
      </c>
      <c r="C139" s="17" t="e">
        <f t="shared" ca="1" si="50"/>
        <v>#N/A</v>
      </c>
      <c r="D139" s="17" t="e">
        <f t="shared" ca="1" si="51"/>
        <v>#N/A</v>
      </c>
      <c r="E139" s="47" t="e">
        <f t="shared" ca="1" si="52"/>
        <v>#N/A</v>
      </c>
      <c r="F139" s="7" t="e">
        <f t="shared" ca="1" si="53"/>
        <v>#N/A</v>
      </c>
      <c r="G139" s="19" t="e">
        <f t="shared" ca="1" si="54"/>
        <v>#N/A</v>
      </c>
      <c r="H139" s="19" t="e">
        <f t="shared" ca="1" si="55"/>
        <v>#N/A</v>
      </c>
      <c r="I139" s="19" t="e">
        <f ca="1">IF(OR($A139="",$N$1="",$M$16&lt;&gt;"C"),"",IFERROR(HLOOKUP($B139,$O$63:Z201,$N$1+1)*IF($D139&gt;42,$D139/30,1),0)+HLOOKUP($B139,$O$78:$Z$80,2)*MIN(3*IF($D139&gt;42,$D139/30,1),$J139)+HLOOKUP($B139,$O$78:$Z$80,3)*MAX(0,$J139-3*IF($D139&gt;42,$D139/30,1)))</f>
        <v>#N/A</v>
      </c>
      <c r="J139" s="55" t="e">
        <f t="shared" ca="1" si="58"/>
        <v>#N/A</v>
      </c>
      <c r="K139" t="e">
        <f t="shared" ca="1" si="59"/>
        <v>#N/A</v>
      </c>
      <c r="L139" s="142">
        <f t="shared" ca="1" si="46"/>
        <v>0</v>
      </c>
    </row>
    <row r="140" spans="1:12" x14ac:dyDescent="0.2">
      <c r="A140" s="2" t="e">
        <f t="shared" ca="1" si="48"/>
        <v>#N/A</v>
      </c>
      <c r="B140" s="4" t="e">
        <f t="shared" ca="1" si="57"/>
        <v>#N/A</v>
      </c>
      <c r="C140" s="17" t="e">
        <f t="shared" ca="1" si="50"/>
        <v>#N/A</v>
      </c>
      <c r="D140" s="17" t="e">
        <f t="shared" ca="1" si="51"/>
        <v>#N/A</v>
      </c>
      <c r="E140" s="47" t="e">
        <f t="shared" ca="1" si="52"/>
        <v>#N/A</v>
      </c>
      <c r="F140" s="7" t="e">
        <f t="shared" ca="1" si="53"/>
        <v>#N/A</v>
      </c>
      <c r="G140" s="19" t="e">
        <f t="shared" ca="1" si="54"/>
        <v>#N/A</v>
      </c>
      <c r="H140" s="19" t="e">
        <f t="shared" ca="1" si="55"/>
        <v>#N/A</v>
      </c>
      <c r="I140" s="19" t="e">
        <f ca="1">IF(OR($A140="",$N$1="",$M$16&lt;&gt;"C"),"",IFERROR(HLOOKUP($B140,$O$63:Z202,$N$1+1)*IF($D140&gt;42,$D140/30,1),0)+HLOOKUP($B140,$O$78:$Z$80,2)*MIN(3*IF($D140&gt;42,$D140/30,1),$J140)+HLOOKUP($B140,$O$78:$Z$80,3)*MAX(0,$J140-3*IF($D140&gt;42,$D140/30,1)))</f>
        <v>#N/A</v>
      </c>
      <c r="J140" s="55" t="e">
        <f t="shared" ca="1" si="58"/>
        <v>#N/A</v>
      </c>
      <c r="K140" t="e">
        <f t="shared" ca="1" si="59"/>
        <v>#N/A</v>
      </c>
      <c r="L140" s="142">
        <f t="shared" ref="L140:L147" ca="1" si="60">IFERROR(H140+I140,0)</f>
        <v>0</v>
      </c>
    </row>
    <row r="141" spans="1:12" x14ac:dyDescent="0.2">
      <c r="A141" s="2" t="e">
        <f t="shared" ref="A141:A204" ca="1" si="61">IF(ROW()&gt;($M$15-$M$14+12),"",INDIRECT("'Reading History'!A"&amp;$K141+$M$14-1))</f>
        <v>#N/A</v>
      </c>
      <c r="B141" s="4" t="e">
        <f t="shared" ca="1" si="57"/>
        <v>#N/A</v>
      </c>
      <c r="C141" s="17" t="e">
        <f t="shared" ref="C141:C204" ca="1" si="62">IF($A141="","",INDIRECT("'Reading History'!G"&amp;$K141+$M$14-1))</f>
        <v>#N/A</v>
      </c>
      <c r="D141" s="17" t="e">
        <f t="shared" ref="D141:D204" ca="1" si="63">IF($A141="","",INDIRECT("'Reading History'!H"&amp;$K141+$M$14-1))</f>
        <v>#N/A</v>
      </c>
      <c r="E141" s="47" t="e">
        <f t="shared" ref="E141:E204" ca="1" si="64">IF($A141="","",INDIRECT("'Reading History'!I"&amp;$K141+$M$14-1))</f>
        <v>#N/A</v>
      </c>
      <c r="F141" s="7" t="e">
        <f t="shared" ref="F141:F204" ca="1" si="65">IF($A141="","",IF(RIGHT(INDIRECT("'Reading History'!E"&amp;$K141+$M$14-1),4)="Read",LEFT(INDIRECT("'Reading History'!E"&amp;$K141+$M$14-1),LEN(INDIRECT("'Reading History'!E"&amp;$K141+$M$14-1))-5),INDIRECT("'Reading History'!E"&amp;$K141+$M$14-1)))</f>
        <v>#N/A</v>
      </c>
      <c r="G141" s="19" t="e">
        <f t="shared" ref="G141:G204" ca="1" si="66">IF($A141="","",ROUND((+HLOOKUP($B141,$O$20:$W$31,$M$1+1)*IF($D141&gt;42,$D141/30,1)+HLOOKUP($B141,IF($M$1&lt;3,$O$35:$W$39,$O$43:$W$47),2)*MIN($E141,5*IF(D141&gt;42,D141/30,1))+HLOOKUP($B141,IF($M$1&lt;3,$O$35:$W$39,$O$43:$W$47),3)*MIN(5*IF(D141&gt;42,D141/30,1),MAX(0,$E141-5*IF(D141&gt;42,D141/30,1)))+HLOOKUP($B141,IF($M$1&lt;3,$O$35:$W$39,$O$43:$W$47),4)*MIN(990*IF(D141&gt;42,D141/30,1),MAX(0,$E141-10*IF(D141&gt;42,D141/30,1)))+HLOOKUP($B141,IF($M$1&lt;3,$O$35:$W$39,$O$43:$W$47),5)*MAX(0,$E141-1000*IF(D141&gt;42,D141/30,1)))*IF($M$16="O",1.3,1),2))</f>
        <v>#N/A</v>
      </c>
      <c r="H141" s="19" t="e">
        <f t="shared" ref="H141:H204" ca="1" si="67">IF(OR($A141="",$N$1=""),"",HLOOKUP($B141,$O$51:$Z$53,IF($M$16="C",2,3))*IF($D141&gt;42,$D141/30,1)+HLOOKUP($B141,$O$57:$Z$59,IF($M$16="C",2,3))*$J141)</f>
        <v>#N/A</v>
      </c>
      <c r="I141" s="19" t="e">
        <f ca="1">IF(OR($A141="",$N$1="",$M$16&lt;&gt;"C"),"",IFERROR(HLOOKUP($B141,$O$63:Z203,$N$1+1)*IF($D141&gt;42,$D141/30,1),0)+HLOOKUP($B141,$O$78:$Z$80,2)*MIN(3*IF($D141&gt;42,$D141/30,1),$J141)+HLOOKUP($B141,$O$78:$Z$80,3)*MAX(0,$J141-3*IF($D141&gt;42,$D141/30,1)))</f>
        <v>#N/A</v>
      </c>
      <c r="J141" s="55" t="e">
        <f t="shared" ca="1" si="58"/>
        <v>#N/A</v>
      </c>
      <c r="K141" t="e">
        <f t="shared" ca="1" si="59"/>
        <v>#N/A</v>
      </c>
      <c r="L141" s="142">
        <f t="shared" ca="1" si="60"/>
        <v>0</v>
      </c>
    </row>
    <row r="142" spans="1:12" x14ac:dyDescent="0.2">
      <c r="A142" s="2" t="e">
        <f t="shared" ca="1" si="61"/>
        <v>#N/A</v>
      </c>
      <c r="B142" s="4" t="e">
        <f t="shared" ca="1" si="57"/>
        <v>#N/A</v>
      </c>
      <c r="C142" s="17" t="e">
        <f t="shared" ca="1" si="62"/>
        <v>#N/A</v>
      </c>
      <c r="D142" s="17" t="e">
        <f t="shared" ca="1" si="63"/>
        <v>#N/A</v>
      </c>
      <c r="E142" s="47" t="e">
        <f t="shared" ca="1" si="64"/>
        <v>#N/A</v>
      </c>
      <c r="F142" s="7" t="e">
        <f t="shared" ca="1" si="65"/>
        <v>#N/A</v>
      </c>
      <c r="G142" s="19" t="e">
        <f t="shared" ca="1" si="66"/>
        <v>#N/A</v>
      </c>
      <c r="H142" s="19" t="e">
        <f t="shared" ca="1" si="67"/>
        <v>#N/A</v>
      </c>
      <c r="I142" s="19" t="e">
        <f ca="1">IF(OR($A142="",$N$1="",$M$16&lt;&gt;"C"),"",IFERROR(HLOOKUP($B142,$O$63:Z204,$N$1+1)*IF($D142&gt;42,$D142/30,1),0)+HLOOKUP($B142,$O$78:$Z$80,2)*MIN(3*IF($D142&gt;42,$D142/30,1),$J142)+HLOOKUP($B142,$O$78:$Z$80,3)*MAX(0,$J142-3*IF($D142&gt;42,$D142/30,1)))</f>
        <v>#N/A</v>
      </c>
      <c r="J142" s="55" t="e">
        <f t="shared" ca="1" si="58"/>
        <v>#N/A</v>
      </c>
      <c r="K142" t="e">
        <f t="shared" ca="1" si="59"/>
        <v>#N/A</v>
      </c>
      <c r="L142" s="142">
        <f t="shared" ca="1" si="60"/>
        <v>0</v>
      </c>
    </row>
    <row r="143" spans="1:12" x14ac:dyDescent="0.2">
      <c r="A143" s="2" t="e">
        <f t="shared" ca="1" si="61"/>
        <v>#N/A</v>
      </c>
      <c r="B143" s="4" t="e">
        <f t="shared" ca="1" si="57"/>
        <v>#N/A</v>
      </c>
      <c r="C143" s="17" t="e">
        <f t="shared" ca="1" si="62"/>
        <v>#N/A</v>
      </c>
      <c r="D143" s="17" t="e">
        <f t="shared" ca="1" si="63"/>
        <v>#N/A</v>
      </c>
      <c r="E143" s="47" t="e">
        <f t="shared" ca="1" si="64"/>
        <v>#N/A</v>
      </c>
      <c r="F143" s="7" t="e">
        <f t="shared" ca="1" si="65"/>
        <v>#N/A</v>
      </c>
      <c r="G143" s="19" t="e">
        <f t="shared" ca="1" si="66"/>
        <v>#N/A</v>
      </c>
      <c r="H143" s="19" t="e">
        <f t="shared" ca="1" si="67"/>
        <v>#N/A</v>
      </c>
      <c r="I143" s="19" t="e">
        <f ca="1">IF(OR($A143="",$N$1="",$M$16&lt;&gt;"C"),"",IFERROR(HLOOKUP($B143,$O$63:Z205,$N$1+1)*IF($D143&gt;42,$D143/30,1),0)+HLOOKUP($B143,$O$78:$Z$80,2)*MIN(3*IF($D143&gt;42,$D143/30,1),$J143)+HLOOKUP($B143,$O$78:$Z$80,3)*MAX(0,$J143-3*IF($D143&gt;42,$D143/30,1)))</f>
        <v>#N/A</v>
      </c>
      <c r="J143" s="55" t="e">
        <f t="shared" ca="1" si="58"/>
        <v>#N/A</v>
      </c>
      <c r="K143" t="e">
        <f t="shared" ca="1" si="59"/>
        <v>#N/A</v>
      </c>
      <c r="L143" s="142">
        <f t="shared" ca="1" si="60"/>
        <v>0</v>
      </c>
    </row>
    <row r="144" spans="1:12" x14ac:dyDescent="0.2">
      <c r="A144" s="2" t="e">
        <f t="shared" ca="1" si="61"/>
        <v>#N/A</v>
      </c>
      <c r="B144" s="4" t="e">
        <f t="shared" ca="1" si="57"/>
        <v>#N/A</v>
      </c>
      <c r="C144" s="17" t="e">
        <f t="shared" ca="1" si="62"/>
        <v>#N/A</v>
      </c>
      <c r="D144" s="17" t="e">
        <f t="shared" ca="1" si="63"/>
        <v>#N/A</v>
      </c>
      <c r="E144" s="47" t="e">
        <f t="shared" ca="1" si="64"/>
        <v>#N/A</v>
      </c>
      <c r="F144" s="7" t="e">
        <f t="shared" ca="1" si="65"/>
        <v>#N/A</v>
      </c>
      <c r="G144" s="19" t="e">
        <f t="shared" ca="1" si="66"/>
        <v>#N/A</v>
      </c>
      <c r="H144" s="19" t="e">
        <f t="shared" ca="1" si="67"/>
        <v>#N/A</v>
      </c>
      <c r="I144" s="19" t="e">
        <f ca="1">IF(OR($A144="",$N$1="",$M$16&lt;&gt;"C"),"",IFERROR(HLOOKUP($B144,$O$63:Z206,$N$1+1)*IF($D144&gt;42,$D144/30,1),0)+HLOOKUP($B144,$O$78:$Z$80,2)*MIN(3*IF($D144&gt;42,$D144/30,1),$J144)+HLOOKUP($B144,$O$78:$Z$80,3)*MAX(0,$J144-3*IF($D144&gt;42,$D144/30,1)))</f>
        <v>#N/A</v>
      </c>
      <c r="J144" s="55" t="e">
        <f t="shared" ca="1" si="58"/>
        <v>#N/A</v>
      </c>
      <c r="K144" t="e">
        <f t="shared" ca="1" si="59"/>
        <v>#N/A</v>
      </c>
      <c r="L144" s="142">
        <f t="shared" ca="1" si="60"/>
        <v>0</v>
      </c>
    </row>
    <row r="145" spans="1:12" x14ac:dyDescent="0.2">
      <c r="A145" s="2" t="e">
        <f t="shared" ca="1" si="61"/>
        <v>#N/A</v>
      </c>
      <c r="B145" s="4" t="e">
        <f t="shared" ca="1" si="57"/>
        <v>#N/A</v>
      </c>
      <c r="C145" s="17" t="e">
        <f t="shared" ca="1" si="62"/>
        <v>#N/A</v>
      </c>
      <c r="D145" s="17" t="e">
        <f t="shared" ca="1" si="63"/>
        <v>#N/A</v>
      </c>
      <c r="E145" s="47" t="e">
        <f t="shared" ca="1" si="64"/>
        <v>#N/A</v>
      </c>
      <c r="F145" s="7" t="e">
        <f t="shared" ca="1" si="65"/>
        <v>#N/A</v>
      </c>
      <c r="G145" s="19" t="e">
        <f t="shared" ca="1" si="66"/>
        <v>#N/A</v>
      </c>
      <c r="H145" s="19" t="e">
        <f t="shared" ca="1" si="67"/>
        <v>#N/A</v>
      </c>
      <c r="I145" s="19" t="e">
        <f ca="1">IF(OR($A145="",$N$1="",$M$16&lt;&gt;"C"),"",IFERROR(HLOOKUP($B145,$O$63:Z207,$N$1+1)*IF($D145&gt;42,$D145/30,1),0)+HLOOKUP($B145,$O$78:$Z$80,2)*MIN(3*IF($D145&gt;42,$D145/30,1),$J145)+HLOOKUP($B145,$O$78:$Z$80,3)*MAX(0,$J145-3*IF($D145&gt;42,$D145/30,1)))</f>
        <v>#N/A</v>
      </c>
      <c r="J145" s="55" t="e">
        <f t="shared" ca="1" si="58"/>
        <v>#N/A</v>
      </c>
      <c r="K145" t="e">
        <f t="shared" ca="1" si="59"/>
        <v>#N/A</v>
      </c>
      <c r="L145" s="142">
        <f t="shared" ca="1" si="60"/>
        <v>0</v>
      </c>
    </row>
    <row r="146" spans="1:12" x14ac:dyDescent="0.2">
      <c r="A146" s="2" t="e">
        <f t="shared" ca="1" si="61"/>
        <v>#N/A</v>
      </c>
      <c r="B146" s="4" t="e">
        <f t="shared" ca="1" si="57"/>
        <v>#N/A</v>
      </c>
      <c r="C146" s="17" t="e">
        <f t="shared" ca="1" si="62"/>
        <v>#N/A</v>
      </c>
      <c r="D146" s="17" t="e">
        <f t="shared" ca="1" si="63"/>
        <v>#N/A</v>
      </c>
      <c r="E146" s="47" t="e">
        <f t="shared" ca="1" si="64"/>
        <v>#N/A</v>
      </c>
      <c r="F146" s="7" t="e">
        <f t="shared" ca="1" si="65"/>
        <v>#N/A</v>
      </c>
      <c r="G146" s="19" t="e">
        <f t="shared" ca="1" si="66"/>
        <v>#N/A</v>
      </c>
      <c r="H146" s="19" t="e">
        <f t="shared" ca="1" si="67"/>
        <v>#N/A</v>
      </c>
      <c r="I146" s="19" t="e">
        <f ca="1">IF(OR($A146="",$N$1="",$M$16&lt;&gt;"C"),"",IFERROR(HLOOKUP($B146,$O$63:Z208,$N$1+1)*IF($D146&gt;42,$D146/30,1),0)+HLOOKUP($B146,$O$78:$Z$80,2)*MIN(3*IF($D146&gt;42,$D146/30,1),$J146)+HLOOKUP($B146,$O$78:$Z$80,3)*MAX(0,$J146-3*IF($D146&gt;42,$D146/30,1)))</f>
        <v>#N/A</v>
      </c>
      <c r="J146" s="55" t="e">
        <f t="shared" ca="1" si="58"/>
        <v>#N/A</v>
      </c>
      <c r="K146" t="e">
        <f t="shared" ca="1" si="59"/>
        <v>#N/A</v>
      </c>
      <c r="L146" s="142">
        <f t="shared" ca="1" si="60"/>
        <v>0</v>
      </c>
    </row>
    <row r="147" spans="1:12" x14ac:dyDescent="0.2">
      <c r="A147" s="2" t="e">
        <f t="shared" ca="1" si="61"/>
        <v>#N/A</v>
      </c>
      <c r="B147" s="4" t="e">
        <f t="shared" ca="1" si="57"/>
        <v>#N/A</v>
      </c>
      <c r="C147" s="17" t="e">
        <f t="shared" ca="1" si="62"/>
        <v>#N/A</v>
      </c>
      <c r="D147" s="17" t="e">
        <f t="shared" ca="1" si="63"/>
        <v>#N/A</v>
      </c>
      <c r="E147" s="47" t="e">
        <f t="shared" ca="1" si="64"/>
        <v>#N/A</v>
      </c>
      <c r="F147" s="7" t="e">
        <f t="shared" ca="1" si="65"/>
        <v>#N/A</v>
      </c>
      <c r="G147" s="19" t="e">
        <f t="shared" ca="1" si="66"/>
        <v>#N/A</v>
      </c>
      <c r="H147" s="19" t="e">
        <f t="shared" ca="1" si="67"/>
        <v>#N/A</v>
      </c>
      <c r="I147" s="19" t="e">
        <f ca="1">IF(OR($A147="",$N$1="",$M$16&lt;&gt;"C"),"",IFERROR(HLOOKUP($B147,$O$63:Z209,$N$1+1)*IF($D147&gt;42,$D147/30,1),0)+HLOOKUP($B147,$O$78:$Z$80,2)*MIN(3*IF($D147&gt;42,$D147/30,1),$J147)+HLOOKUP($B147,$O$78:$Z$80,3)*MAX(0,$J147-3*IF($D147&gt;42,$D147/30,1)))</f>
        <v>#N/A</v>
      </c>
      <c r="J147" s="55" t="e">
        <f t="shared" ca="1" si="58"/>
        <v>#N/A</v>
      </c>
      <c r="K147" t="e">
        <f t="shared" ca="1" si="59"/>
        <v>#N/A</v>
      </c>
      <c r="L147" s="142">
        <f t="shared" ca="1" si="60"/>
        <v>0</v>
      </c>
    </row>
    <row r="148" spans="1:12" x14ac:dyDescent="0.2">
      <c r="A148" s="2" t="e">
        <f t="shared" ca="1" si="61"/>
        <v>#N/A</v>
      </c>
      <c r="B148" s="4" t="e">
        <f t="shared" ca="1" si="57"/>
        <v>#N/A</v>
      </c>
      <c r="C148" s="17" t="e">
        <f t="shared" ca="1" si="62"/>
        <v>#N/A</v>
      </c>
      <c r="D148" s="17" t="e">
        <f t="shared" ca="1" si="63"/>
        <v>#N/A</v>
      </c>
      <c r="E148" s="47" t="e">
        <f t="shared" ca="1" si="64"/>
        <v>#N/A</v>
      </c>
      <c r="F148" s="7" t="e">
        <f t="shared" ca="1" si="65"/>
        <v>#N/A</v>
      </c>
      <c r="G148" s="19" t="e">
        <f t="shared" ca="1" si="66"/>
        <v>#N/A</v>
      </c>
      <c r="H148" s="19" t="e">
        <f t="shared" ca="1" si="67"/>
        <v>#N/A</v>
      </c>
      <c r="I148" s="19" t="e">
        <f ca="1">IF(OR($A148="",$N$1="",$M$16&lt;&gt;"C"),"",IFERROR(HLOOKUP($B148,$O$63:Z210,$N$1+1)*IF($D148&gt;42,$D148/30,1),0)+HLOOKUP($B148,$O$78:$Z$80,2)*MIN(3*IF($D148&gt;42,$D148/30,1),$J148)+HLOOKUP($B148,$O$78:$Z$80,3)*MAX(0,$J148-3*IF($D148&gt;42,$D148/30,1)))</f>
        <v>#N/A</v>
      </c>
      <c r="J148" s="55" t="e">
        <f t="shared" ca="1" si="58"/>
        <v>#N/A</v>
      </c>
      <c r="K148" t="e">
        <f t="shared" ca="1" si="59"/>
        <v>#N/A</v>
      </c>
      <c r="L148" s="142">
        <f t="shared" ref="L148" ca="1" si="68">IFERROR(H148+I148,0)</f>
        <v>0</v>
      </c>
    </row>
    <row r="149" spans="1:12" x14ac:dyDescent="0.2">
      <c r="A149" s="2" t="e">
        <f t="shared" ca="1" si="61"/>
        <v>#N/A</v>
      </c>
      <c r="B149" s="4" t="e">
        <f t="shared" ref="B149:B210" ca="1" si="69">INDIRECT("'Reading History'!B"&amp;$M$14+K148)</f>
        <v>#N/A</v>
      </c>
      <c r="C149" s="17" t="e">
        <f t="shared" ca="1" si="62"/>
        <v>#N/A</v>
      </c>
      <c r="D149" s="17" t="e">
        <f t="shared" ca="1" si="63"/>
        <v>#N/A</v>
      </c>
      <c r="E149" s="47" t="e">
        <f t="shared" ca="1" si="64"/>
        <v>#N/A</v>
      </c>
      <c r="F149" s="168" t="e">
        <f t="shared" ca="1" si="65"/>
        <v>#N/A</v>
      </c>
      <c r="G149" s="19" t="e">
        <f t="shared" ca="1" si="66"/>
        <v>#N/A</v>
      </c>
      <c r="H149" s="19" t="e">
        <f t="shared" ca="1" si="67"/>
        <v>#N/A</v>
      </c>
      <c r="I149" s="19" t="e">
        <f ca="1">IF(OR($A149="",$N$1="",$M$16&lt;&gt;"C"),"",IFERROR(HLOOKUP($B149,$O$63:Z211,$N$1+1)*IF($D149&gt;42,$D149/30,1),0)+HLOOKUP($B149,$O$78:$Z$80,2)*MIN(3*IF($D149&gt;42,$D149/30,1),$J149)+HLOOKUP($B149,$O$78:$Z$80,3)*MAX(0,$J149-3*IF($D149&gt;42,$D149/30,1)))</f>
        <v>#N/A</v>
      </c>
      <c r="J149" s="55" t="e">
        <f t="shared" ref="J149:J210" ca="1" si="70">IF($A149="","",IF(ISNA($M$13),E149,IF(M$14-$M$13&gt;=K149,INDIRECT("'Reading History'!I"&amp;$K149+$M$13-1),E149)))</f>
        <v>#N/A</v>
      </c>
      <c r="K149" t="e">
        <f t="shared" ref="K149:K210" ca="1" si="71">IF(ROW()&gt;($M$15-$M$14+12),0,MATCH(B149,INDIRECT("'Reading History'!B"&amp;$M$14&amp;":b"&amp;$M$15),-1))</f>
        <v>#N/A</v>
      </c>
      <c r="L149" s="142">
        <f t="shared" ref="L149:L210" ca="1" si="72">IFERROR(H149+I149,0)</f>
        <v>0</v>
      </c>
    </row>
    <row r="150" spans="1:12" x14ac:dyDescent="0.2">
      <c r="A150" s="2" t="e">
        <f t="shared" ca="1" si="61"/>
        <v>#N/A</v>
      </c>
      <c r="B150" s="4" t="e">
        <f t="shared" ca="1" si="69"/>
        <v>#N/A</v>
      </c>
      <c r="C150" s="17" t="e">
        <f t="shared" ca="1" si="62"/>
        <v>#N/A</v>
      </c>
      <c r="D150" s="17" t="e">
        <f t="shared" ca="1" si="63"/>
        <v>#N/A</v>
      </c>
      <c r="E150" s="47" t="e">
        <f t="shared" ca="1" si="64"/>
        <v>#N/A</v>
      </c>
      <c r="F150" s="168" t="e">
        <f t="shared" ca="1" si="65"/>
        <v>#N/A</v>
      </c>
      <c r="G150" s="19" t="e">
        <f t="shared" ca="1" si="66"/>
        <v>#N/A</v>
      </c>
      <c r="H150" s="19" t="e">
        <f t="shared" ca="1" si="67"/>
        <v>#N/A</v>
      </c>
      <c r="I150" s="19" t="e">
        <f ca="1">IF(OR($A150="",$N$1="",$M$16&lt;&gt;"C"),"",IFERROR(HLOOKUP($B150,$O$63:Z212,$N$1+1)*IF($D150&gt;42,$D150/30,1),0)+HLOOKUP($B150,$O$78:$Z$80,2)*MIN(3*IF($D150&gt;42,$D150/30,1),$J150)+HLOOKUP($B150,$O$78:$Z$80,3)*MAX(0,$J150-3*IF($D150&gt;42,$D150/30,1)))</f>
        <v>#N/A</v>
      </c>
      <c r="J150" s="55" t="e">
        <f t="shared" ca="1" si="70"/>
        <v>#N/A</v>
      </c>
      <c r="K150" t="e">
        <f t="shared" ca="1" si="71"/>
        <v>#N/A</v>
      </c>
      <c r="L150" s="142">
        <f t="shared" ca="1" si="72"/>
        <v>0</v>
      </c>
    </row>
    <row r="151" spans="1:12" x14ac:dyDescent="0.2">
      <c r="A151" s="2" t="e">
        <f t="shared" ca="1" si="61"/>
        <v>#N/A</v>
      </c>
      <c r="B151" s="4" t="e">
        <f t="shared" ca="1" si="69"/>
        <v>#N/A</v>
      </c>
      <c r="C151" s="17" t="e">
        <f t="shared" ca="1" si="62"/>
        <v>#N/A</v>
      </c>
      <c r="D151" s="17" t="e">
        <f t="shared" ca="1" si="63"/>
        <v>#N/A</v>
      </c>
      <c r="E151" s="47" t="e">
        <f t="shared" ca="1" si="64"/>
        <v>#N/A</v>
      </c>
      <c r="F151" s="168" t="e">
        <f t="shared" ca="1" si="65"/>
        <v>#N/A</v>
      </c>
      <c r="G151" s="19" t="e">
        <f t="shared" ca="1" si="66"/>
        <v>#N/A</v>
      </c>
      <c r="H151" s="19" t="e">
        <f t="shared" ca="1" si="67"/>
        <v>#N/A</v>
      </c>
      <c r="I151" s="19" t="e">
        <f ca="1">IF(OR($A151="",$N$1="",$M$16&lt;&gt;"C"),"",IFERROR(HLOOKUP($B151,$O$63:Z213,$N$1+1)*IF($D151&gt;42,$D151/30,1),0)+HLOOKUP($B151,$O$78:$Z$80,2)*MIN(3*IF($D151&gt;42,$D151/30,1),$J151)+HLOOKUP($B151,$O$78:$Z$80,3)*MAX(0,$J151-3*IF($D151&gt;42,$D151/30,1)))</f>
        <v>#N/A</v>
      </c>
      <c r="J151" s="55" t="e">
        <f t="shared" ca="1" si="70"/>
        <v>#N/A</v>
      </c>
      <c r="K151" t="e">
        <f t="shared" ca="1" si="71"/>
        <v>#N/A</v>
      </c>
      <c r="L151" s="142">
        <f t="shared" ca="1" si="72"/>
        <v>0</v>
      </c>
    </row>
    <row r="152" spans="1:12" x14ac:dyDescent="0.2">
      <c r="A152" s="2" t="e">
        <f t="shared" ca="1" si="61"/>
        <v>#N/A</v>
      </c>
      <c r="B152" s="4" t="e">
        <f t="shared" ca="1" si="69"/>
        <v>#N/A</v>
      </c>
      <c r="C152" s="17" t="e">
        <f t="shared" ca="1" si="62"/>
        <v>#N/A</v>
      </c>
      <c r="D152" s="17" t="e">
        <f t="shared" ca="1" si="63"/>
        <v>#N/A</v>
      </c>
      <c r="E152" s="47" t="e">
        <f t="shared" ca="1" si="64"/>
        <v>#N/A</v>
      </c>
      <c r="F152" s="168" t="e">
        <f t="shared" ca="1" si="65"/>
        <v>#N/A</v>
      </c>
      <c r="G152" s="19" t="e">
        <f t="shared" ca="1" si="66"/>
        <v>#N/A</v>
      </c>
      <c r="H152" s="19" t="e">
        <f t="shared" ca="1" si="67"/>
        <v>#N/A</v>
      </c>
      <c r="I152" s="19" t="e">
        <f ca="1">IF(OR($A152="",$N$1="",$M$16&lt;&gt;"C"),"",IFERROR(HLOOKUP($B152,$O$63:Z214,$N$1+1)*IF($D152&gt;42,$D152/30,1),0)+HLOOKUP($B152,$O$78:$Z$80,2)*MIN(3*IF($D152&gt;42,$D152/30,1),$J152)+HLOOKUP($B152,$O$78:$Z$80,3)*MAX(0,$J152-3*IF($D152&gt;42,$D152/30,1)))</f>
        <v>#N/A</v>
      </c>
      <c r="J152" s="55" t="e">
        <f t="shared" ca="1" si="70"/>
        <v>#N/A</v>
      </c>
      <c r="K152" t="e">
        <f t="shared" ca="1" si="71"/>
        <v>#N/A</v>
      </c>
      <c r="L152" s="142">
        <f t="shared" ca="1" si="72"/>
        <v>0</v>
      </c>
    </row>
    <row r="153" spans="1:12" x14ac:dyDescent="0.2">
      <c r="A153" s="2" t="e">
        <f t="shared" ca="1" si="61"/>
        <v>#N/A</v>
      </c>
      <c r="B153" s="4" t="e">
        <f t="shared" ca="1" si="69"/>
        <v>#N/A</v>
      </c>
      <c r="C153" s="17" t="e">
        <f t="shared" ca="1" si="62"/>
        <v>#N/A</v>
      </c>
      <c r="D153" s="17" t="e">
        <f t="shared" ca="1" si="63"/>
        <v>#N/A</v>
      </c>
      <c r="E153" s="47" t="e">
        <f t="shared" ca="1" si="64"/>
        <v>#N/A</v>
      </c>
      <c r="F153" s="168" t="e">
        <f t="shared" ca="1" si="65"/>
        <v>#N/A</v>
      </c>
      <c r="G153" s="19" t="e">
        <f t="shared" ca="1" si="66"/>
        <v>#N/A</v>
      </c>
      <c r="H153" s="19" t="e">
        <f t="shared" ca="1" si="67"/>
        <v>#N/A</v>
      </c>
      <c r="I153" s="19" t="e">
        <f ca="1">IF(OR($A153="",$N$1="",$M$16&lt;&gt;"C"),"",IFERROR(HLOOKUP($B153,$O$63:Z215,$N$1+1)*IF($D153&gt;42,$D153/30,1),0)+HLOOKUP($B153,$O$78:$Z$80,2)*MIN(3*IF($D153&gt;42,$D153/30,1),$J153)+HLOOKUP($B153,$O$78:$Z$80,3)*MAX(0,$J153-3*IF($D153&gt;42,$D153/30,1)))</f>
        <v>#N/A</v>
      </c>
      <c r="J153" s="55" t="e">
        <f t="shared" ca="1" si="70"/>
        <v>#N/A</v>
      </c>
      <c r="K153" t="e">
        <f t="shared" ca="1" si="71"/>
        <v>#N/A</v>
      </c>
      <c r="L153" s="142">
        <f t="shared" ca="1" si="72"/>
        <v>0</v>
      </c>
    </row>
    <row r="154" spans="1:12" x14ac:dyDescent="0.2">
      <c r="A154" s="2" t="e">
        <f t="shared" ca="1" si="61"/>
        <v>#N/A</v>
      </c>
      <c r="B154" s="4" t="e">
        <f t="shared" ca="1" si="69"/>
        <v>#N/A</v>
      </c>
      <c r="C154" s="17" t="e">
        <f t="shared" ca="1" si="62"/>
        <v>#N/A</v>
      </c>
      <c r="D154" s="17" t="e">
        <f t="shared" ca="1" si="63"/>
        <v>#N/A</v>
      </c>
      <c r="E154" s="47" t="e">
        <f t="shared" ca="1" si="64"/>
        <v>#N/A</v>
      </c>
      <c r="F154" s="168" t="e">
        <f t="shared" ca="1" si="65"/>
        <v>#N/A</v>
      </c>
      <c r="G154" s="19" t="e">
        <f t="shared" ca="1" si="66"/>
        <v>#N/A</v>
      </c>
      <c r="H154" s="19" t="e">
        <f t="shared" ca="1" si="67"/>
        <v>#N/A</v>
      </c>
      <c r="I154" s="19" t="e">
        <f ca="1">IF(OR($A154="",$N$1="",$M$16&lt;&gt;"C"),"",IFERROR(HLOOKUP($B154,$O$63:Z216,$N$1+1)*IF($D154&gt;42,$D154/30,1),0)+HLOOKUP($B154,$O$78:$Z$80,2)*MIN(3*IF($D154&gt;42,$D154/30,1),$J154)+HLOOKUP($B154,$O$78:$Z$80,3)*MAX(0,$J154-3*IF($D154&gt;42,$D154/30,1)))</f>
        <v>#N/A</v>
      </c>
      <c r="J154" s="55" t="e">
        <f t="shared" ca="1" si="70"/>
        <v>#N/A</v>
      </c>
      <c r="K154" t="e">
        <f t="shared" ca="1" si="71"/>
        <v>#N/A</v>
      </c>
      <c r="L154" s="142">
        <f t="shared" ca="1" si="72"/>
        <v>0</v>
      </c>
    </row>
    <row r="155" spans="1:12" x14ac:dyDescent="0.2">
      <c r="A155" s="2" t="e">
        <f t="shared" ca="1" si="61"/>
        <v>#N/A</v>
      </c>
      <c r="B155" s="4" t="e">
        <f t="shared" ca="1" si="69"/>
        <v>#N/A</v>
      </c>
      <c r="C155" s="17" t="e">
        <f t="shared" ca="1" si="62"/>
        <v>#N/A</v>
      </c>
      <c r="D155" s="17" t="e">
        <f t="shared" ca="1" si="63"/>
        <v>#N/A</v>
      </c>
      <c r="E155" s="47" t="e">
        <f t="shared" ca="1" si="64"/>
        <v>#N/A</v>
      </c>
      <c r="F155" s="168" t="e">
        <f t="shared" ca="1" si="65"/>
        <v>#N/A</v>
      </c>
      <c r="G155" s="19" t="e">
        <f t="shared" ca="1" si="66"/>
        <v>#N/A</v>
      </c>
      <c r="H155" s="19" t="e">
        <f t="shared" ca="1" si="67"/>
        <v>#N/A</v>
      </c>
      <c r="I155" s="19" t="e">
        <f ca="1">IF(OR($A155="",$N$1="",$M$16&lt;&gt;"C"),"",IFERROR(HLOOKUP($B155,$O$63:Z217,$N$1+1)*IF($D155&gt;42,$D155/30,1),0)+HLOOKUP($B155,$O$78:$Z$80,2)*MIN(3*IF($D155&gt;42,$D155/30,1),$J155)+HLOOKUP($B155,$O$78:$Z$80,3)*MAX(0,$J155-3*IF($D155&gt;42,$D155/30,1)))</f>
        <v>#N/A</v>
      </c>
      <c r="J155" s="55" t="e">
        <f t="shared" ca="1" si="70"/>
        <v>#N/A</v>
      </c>
      <c r="K155" t="e">
        <f t="shared" ca="1" si="71"/>
        <v>#N/A</v>
      </c>
      <c r="L155" s="142">
        <f t="shared" ca="1" si="72"/>
        <v>0</v>
      </c>
    </row>
    <row r="156" spans="1:12" x14ac:dyDescent="0.2">
      <c r="A156" s="2" t="e">
        <f t="shared" ca="1" si="61"/>
        <v>#N/A</v>
      </c>
      <c r="B156" s="4" t="e">
        <f t="shared" ca="1" si="69"/>
        <v>#N/A</v>
      </c>
      <c r="C156" s="17" t="e">
        <f t="shared" ca="1" si="62"/>
        <v>#N/A</v>
      </c>
      <c r="D156" s="17" t="e">
        <f t="shared" ca="1" si="63"/>
        <v>#N/A</v>
      </c>
      <c r="E156" s="47" t="e">
        <f t="shared" ca="1" si="64"/>
        <v>#N/A</v>
      </c>
      <c r="F156" s="168" t="e">
        <f t="shared" ca="1" si="65"/>
        <v>#N/A</v>
      </c>
      <c r="G156" s="19" t="e">
        <f t="shared" ca="1" si="66"/>
        <v>#N/A</v>
      </c>
      <c r="H156" s="19" t="e">
        <f t="shared" ca="1" si="67"/>
        <v>#N/A</v>
      </c>
      <c r="I156" s="19" t="e">
        <f ca="1">IF(OR($A156="",$N$1="",$M$16&lt;&gt;"C"),"",IFERROR(HLOOKUP($B156,$O$63:Z218,$N$1+1)*IF($D156&gt;42,$D156/30,1),0)+HLOOKUP($B156,$O$78:$Z$80,2)*MIN(3*IF($D156&gt;42,$D156/30,1),$J156)+HLOOKUP($B156,$O$78:$Z$80,3)*MAX(0,$J156-3*IF($D156&gt;42,$D156/30,1)))</f>
        <v>#N/A</v>
      </c>
      <c r="J156" s="55" t="e">
        <f t="shared" ca="1" si="70"/>
        <v>#N/A</v>
      </c>
      <c r="K156" t="e">
        <f t="shared" ca="1" si="71"/>
        <v>#N/A</v>
      </c>
      <c r="L156" s="142">
        <f t="shared" ca="1" si="72"/>
        <v>0</v>
      </c>
    </row>
    <row r="157" spans="1:12" x14ac:dyDescent="0.2">
      <c r="A157" s="2" t="e">
        <f t="shared" ca="1" si="61"/>
        <v>#N/A</v>
      </c>
      <c r="B157" s="4" t="e">
        <f t="shared" ca="1" si="69"/>
        <v>#N/A</v>
      </c>
      <c r="C157" s="17" t="e">
        <f t="shared" ca="1" si="62"/>
        <v>#N/A</v>
      </c>
      <c r="D157" s="17" t="e">
        <f t="shared" ca="1" si="63"/>
        <v>#N/A</v>
      </c>
      <c r="E157" s="47" t="e">
        <f t="shared" ca="1" si="64"/>
        <v>#N/A</v>
      </c>
      <c r="F157" s="168" t="e">
        <f t="shared" ca="1" si="65"/>
        <v>#N/A</v>
      </c>
      <c r="G157" s="19" t="e">
        <f t="shared" ca="1" si="66"/>
        <v>#N/A</v>
      </c>
      <c r="H157" s="19" t="e">
        <f t="shared" ca="1" si="67"/>
        <v>#N/A</v>
      </c>
      <c r="I157" s="19" t="e">
        <f ca="1">IF(OR($A157="",$N$1="",$M$16&lt;&gt;"C"),"",IFERROR(HLOOKUP($B157,$O$63:Z219,$N$1+1)*IF($D157&gt;42,$D157/30,1),0)+HLOOKUP($B157,$O$78:$Z$80,2)*MIN(3*IF($D157&gt;42,$D157/30,1),$J157)+HLOOKUP($B157,$O$78:$Z$80,3)*MAX(0,$J157-3*IF($D157&gt;42,$D157/30,1)))</f>
        <v>#N/A</v>
      </c>
      <c r="J157" s="55" t="e">
        <f t="shared" ca="1" si="70"/>
        <v>#N/A</v>
      </c>
      <c r="K157" t="e">
        <f t="shared" ca="1" si="71"/>
        <v>#N/A</v>
      </c>
      <c r="L157" s="142">
        <f t="shared" ca="1" si="72"/>
        <v>0</v>
      </c>
    </row>
    <row r="158" spans="1:12" x14ac:dyDescent="0.2">
      <c r="A158" s="2" t="e">
        <f t="shared" ca="1" si="61"/>
        <v>#N/A</v>
      </c>
      <c r="B158" s="4" t="e">
        <f t="shared" ca="1" si="69"/>
        <v>#N/A</v>
      </c>
      <c r="C158" s="17" t="e">
        <f t="shared" ca="1" si="62"/>
        <v>#N/A</v>
      </c>
      <c r="D158" s="17" t="e">
        <f t="shared" ca="1" si="63"/>
        <v>#N/A</v>
      </c>
      <c r="E158" s="47" t="e">
        <f t="shared" ca="1" si="64"/>
        <v>#N/A</v>
      </c>
      <c r="F158" s="168" t="e">
        <f t="shared" ca="1" si="65"/>
        <v>#N/A</v>
      </c>
      <c r="G158" s="19" t="e">
        <f t="shared" ca="1" si="66"/>
        <v>#N/A</v>
      </c>
      <c r="H158" s="19" t="e">
        <f t="shared" ca="1" si="67"/>
        <v>#N/A</v>
      </c>
      <c r="I158" s="19" t="e">
        <f ca="1">IF(OR($A158="",$N$1="",$M$16&lt;&gt;"C"),"",IFERROR(HLOOKUP($B158,$O$63:Z220,$N$1+1)*IF($D158&gt;42,$D158/30,1),0)+HLOOKUP($B158,$O$78:$Z$80,2)*MIN(3*IF($D158&gt;42,$D158/30,1),$J158)+HLOOKUP($B158,$O$78:$Z$80,3)*MAX(0,$J158-3*IF($D158&gt;42,$D158/30,1)))</f>
        <v>#N/A</v>
      </c>
      <c r="J158" s="55" t="e">
        <f t="shared" ca="1" si="70"/>
        <v>#N/A</v>
      </c>
      <c r="K158" t="e">
        <f t="shared" ca="1" si="71"/>
        <v>#N/A</v>
      </c>
      <c r="L158" s="142">
        <f t="shared" ca="1" si="72"/>
        <v>0</v>
      </c>
    </row>
    <row r="159" spans="1:12" x14ac:dyDescent="0.2">
      <c r="A159" s="2" t="e">
        <f t="shared" ca="1" si="61"/>
        <v>#N/A</v>
      </c>
      <c r="B159" s="4" t="e">
        <f t="shared" ca="1" si="69"/>
        <v>#N/A</v>
      </c>
      <c r="C159" s="17" t="e">
        <f t="shared" ca="1" si="62"/>
        <v>#N/A</v>
      </c>
      <c r="D159" s="17" t="e">
        <f t="shared" ca="1" si="63"/>
        <v>#N/A</v>
      </c>
      <c r="E159" s="47" t="e">
        <f t="shared" ca="1" si="64"/>
        <v>#N/A</v>
      </c>
      <c r="F159" s="168" t="e">
        <f t="shared" ca="1" si="65"/>
        <v>#N/A</v>
      </c>
      <c r="G159" s="19" t="e">
        <f t="shared" ca="1" si="66"/>
        <v>#N/A</v>
      </c>
      <c r="H159" s="19" t="e">
        <f t="shared" ca="1" si="67"/>
        <v>#N/A</v>
      </c>
      <c r="I159" s="19" t="e">
        <f ca="1">IF(OR($A159="",$N$1="",$M$16&lt;&gt;"C"),"",IFERROR(HLOOKUP($B159,$O$63:Z221,$N$1+1)*IF($D159&gt;42,$D159/30,1),0)+HLOOKUP($B159,$O$78:$Z$80,2)*MIN(3*IF($D159&gt;42,$D159/30,1),$J159)+HLOOKUP($B159,$O$78:$Z$80,3)*MAX(0,$J159-3*IF($D159&gt;42,$D159/30,1)))</f>
        <v>#N/A</v>
      </c>
      <c r="J159" s="55" t="e">
        <f t="shared" ca="1" si="70"/>
        <v>#N/A</v>
      </c>
      <c r="K159" t="e">
        <f t="shared" ca="1" si="71"/>
        <v>#N/A</v>
      </c>
      <c r="L159" s="142">
        <f t="shared" ca="1" si="72"/>
        <v>0</v>
      </c>
    </row>
    <row r="160" spans="1:12" x14ac:dyDescent="0.2">
      <c r="A160" s="2" t="e">
        <f t="shared" ca="1" si="61"/>
        <v>#N/A</v>
      </c>
      <c r="B160" s="4" t="e">
        <f t="shared" ca="1" si="69"/>
        <v>#N/A</v>
      </c>
      <c r="C160" s="17" t="e">
        <f t="shared" ca="1" si="62"/>
        <v>#N/A</v>
      </c>
      <c r="D160" s="17" t="e">
        <f t="shared" ca="1" si="63"/>
        <v>#N/A</v>
      </c>
      <c r="E160" s="47" t="e">
        <f t="shared" ca="1" si="64"/>
        <v>#N/A</v>
      </c>
      <c r="F160" s="168" t="e">
        <f t="shared" ca="1" si="65"/>
        <v>#N/A</v>
      </c>
      <c r="G160" s="19" t="e">
        <f t="shared" ca="1" si="66"/>
        <v>#N/A</v>
      </c>
      <c r="H160" s="19" t="e">
        <f t="shared" ca="1" si="67"/>
        <v>#N/A</v>
      </c>
      <c r="I160" s="19" t="e">
        <f ca="1">IF(OR($A160="",$N$1="",$M$16&lt;&gt;"C"),"",IFERROR(HLOOKUP($B160,$O$63:Z222,$N$1+1)*IF($D160&gt;42,$D160/30,1),0)+HLOOKUP($B160,$O$78:$Z$80,2)*MIN(3*IF($D160&gt;42,$D160/30,1),$J160)+HLOOKUP($B160,$O$78:$Z$80,3)*MAX(0,$J160-3*IF($D160&gt;42,$D160/30,1)))</f>
        <v>#N/A</v>
      </c>
      <c r="J160" s="55" t="e">
        <f t="shared" ca="1" si="70"/>
        <v>#N/A</v>
      </c>
      <c r="K160" t="e">
        <f t="shared" ca="1" si="71"/>
        <v>#N/A</v>
      </c>
      <c r="L160" s="142">
        <f t="shared" ca="1" si="72"/>
        <v>0</v>
      </c>
    </row>
    <row r="161" spans="1:12" x14ac:dyDescent="0.2">
      <c r="A161" s="2" t="e">
        <f t="shared" ca="1" si="61"/>
        <v>#N/A</v>
      </c>
      <c r="B161" s="4" t="e">
        <f t="shared" ca="1" si="69"/>
        <v>#N/A</v>
      </c>
      <c r="C161" s="17" t="e">
        <f t="shared" ca="1" si="62"/>
        <v>#N/A</v>
      </c>
      <c r="D161" s="17" t="e">
        <f t="shared" ca="1" si="63"/>
        <v>#N/A</v>
      </c>
      <c r="E161" s="47" t="e">
        <f t="shared" ca="1" si="64"/>
        <v>#N/A</v>
      </c>
      <c r="F161" s="168" t="e">
        <f t="shared" ca="1" si="65"/>
        <v>#N/A</v>
      </c>
      <c r="G161" s="19" t="e">
        <f t="shared" ca="1" si="66"/>
        <v>#N/A</v>
      </c>
      <c r="H161" s="19" t="e">
        <f t="shared" ca="1" si="67"/>
        <v>#N/A</v>
      </c>
      <c r="I161" s="19" t="e">
        <f ca="1">IF(OR($A161="",$N$1="",$M$16&lt;&gt;"C"),"",IFERROR(HLOOKUP($B161,$O$63:Z223,$N$1+1)*IF($D161&gt;42,$D161/30,1),0)+HLOOKUP($B161,$O$78:$Z$80,2)*MIN(3*IF($D161&gt;42,$D161/30,1),$J161)+HLOOKUP($B161,$O$78:$Z$80,3)*MAX(0,$J161-3*IF($D161&gt;42,$D161/30,1)))</f>
        <v>#N/A</v>
      </c>
      <c r="J161" s="55" t="e">
        <f t="shared" ca="1" si="70"/>
        <v>#N/A</v>
      </c>
      <c r="K161" t="e">
        <f t="shared" ca="1" si="71"/>
        <v>#N/A</v>
      </c>
      <c r="L161" s="142">
        <f t="shared" ca="1" si="72"/>
        <v>0</v>
      </c>
    </row>
    <row r="162" spans="1:12" x14ac:dyDescent="0.2">
      <c r="A162" s="2" t="e">
        <f t="shared" ca="1" si="61"/>
        <v>#N/A</v>
      </c>
      <c r="B162" s="4" t="e">
        <f t="shared" ca="1" si="69"/>
        <v>#N/A</v>
      </c>
      <c r="C162" s="17" t="e">
        <f t="shared" ca="1" si="62"/>
        <v>#N/A</v>
      </c>
      <c r="D162" s="17" t="e">
        <f t="shared" ca="1" si="63"/>
        <v>#N/A</v>
      </c>
      <c r="E162" s="47" t="e">
        <f t="shared" ca="1" si="64"/>
        <v>#N/A</v>
      </c>
      <c r="F162" s="168" t="e">
        <f t="shared" ca="1" si="65"/>
        <v>#N/A</v>
      </c>
      <c r="G162" s="19" t="e">
        <f t="shared" ca="1" si="66"/>
        <v>#N/A</v>
      </c>
      <c r="H162" s="19" t="e">
        <f t="shared" ca="1" si="67"/>
        <v>#N/A</v>
      </c>
      <c r="I162" s="19" t="e">
        <f ca="1">IF(OR($A162="",$N$1="",$M$16&lt;&gt;"C"),"",IFERROR(HLOOKUP($B162,$O$63:Z224,$N$1+1)*IF($D162&gt;42,$D162/30,1),0)+HLOOKUP($B162,$O$78:$Z$80,2)*MIN(3*IF($D162&gt;42,$D162/30,1),$J162)+HLOOKUP($B162,$O$78:$Z$80,3)*MAX(0,$J162-3*IF($D162&gt;42,$D162/30,1)))</f>
        <v>#N/A</v>
      </c>
      <c r="J162" s="55" t="e">
        <f t="shared" ca="1" si="70"/>
        <v>#N/A</v>
      </c>
      <c r="K162" t="e">
        <f t="shared" ca="1" si="71"/>
        <v>#N/A</v>
      </c>
      <c r="L162" s="142">
        <f t="shared" ca="1" si="72"/>
        <v>0</v>
      </c>
    </row>
    <row r="163" spans="1:12" x14ac:dyDescent="0.2">
      <c r="A163" s="2" t="e">
        <f t="shared" ca="1" si="61"/>
        <v>#N/A</v>
      </c>
      <c r="B163" s="4" t="e">
        <f t="shared" ca="1" si="69"/>
        <v>#N/A</v>
      </c>
      <c r="C163" s="17" t="e">
        <f t="shared" ca="1" si="62"/>
        <v>#N/A</v>
      </c>
      <c r="D163" s="17" t="e">
        <f t="shared" ca="1" si="63"/>
        <v>#N/A</v>
      </c>
      <c r="E163" s="47" t="e">
        <f t="shared" ca="1" si="64"/>
        <v>#N/A</v>
      </c>
      <c r="F163" s="168" t="e">
        <f t="shared" ca="1" si="65"/>
        <v>#N/A</v>
      </c>
      <c r="G163" s="19" t="e">
        <f t="shared" ca="1" si="66"/>
        <v>#N/A</v>
      </c>
      <c r="H163" s="19" t="e">
        <f t="shared" ca="1" si="67"/>
        <v>#N/A</v>
      </c>
      <c r="I163" s="19" t="e">
        <f ca="1">IF(OR($A163="",$N$1="",$M$16&lt;&gt;"C"),"",IFERROR(HLOOKUP($B163,$O$63:Z225,$N$1+1)*IF($D163&gt;42,$D163/30,1),0)+HLOOKUP($B163,$O$78:$Z$80,2)*MIN(3*IF($D163&gt;42,$D163/30,1),$J163)+HLOOKUP($B163,$O$78:$Z$80,3)*MAX(0,$J163-3*IF($D163&gt;42,$D163/30,1)))</f>
        <v>#N/A</v>
      </c>
      <c r="J163" s="55" t="e">
        <f t="shared" ca="1" si="70"/>
        <v>#N/A</v>
      </c>
      <c r="K163" t="e">
        <f t="shared" ca="1" si="71"/>
        <v>#N/A</v>
      </c>
      <c r="L163" s="142">
        <f t="shared" ca="1" si="72"/>
        <v>0</v>
      </c>
    </row>
    <row r="164" spans="1:12" x14ac:dyDescent="0.2">
      <c r="A164" s="2" t="e">
        <f t="shared" ca="1" si="61"/>
        <v>#N/A</v>
      </c>
      <c r="B164" s="4" t="e">
        <f t="shared" ca="1" si="69"/>
        <v>#N/A</v>
      </c>
      <c r="C164" s="17" t="e">
        <f t="shared" ca="1" si="62"/>
        <v>#N/A</v>
      </c>
      <c r="D164" s="17" t="e">
        <f t="shared" ca="1" si="63"/>
        <v>#N/A</v>
      </c>
      <c r="E164" s="47" t="e">
        <f t="shared" ca="1" si="64"/>
        <v>#N/A</v>
      </c>
      <c r="F164" s="168" t="e">
        <f t="shared" ca="1" si="65"/>
        <v>#N/A</v>
      </c>
      <c r="G164" s="19" t="e">
        <f t="shared" ca="1" si="66"/>
        <v>#N/A</v>
      </c>
      <c r="H164" s="19" t="e">
        <f t="shared" ca="1" si="67"/>
        <v>#N/A</v>
      </c>
      <c r="I164" s="19" t="e">
        <f ca="1">IF(OR($A164="",$N$1="",$M$16&lt;&gt;"C"),"",IFERROR(HLOOKUP($B164,$O$63:Z226,$N$1+1)*IF($D164&gt;42,$D164/30,1),0)+HLOOKUP($B164,$O$78:$Z$80,2)*MIN(3*IF($D164&gt;42,$D164/30,1),$J164)+HLOOKUP($B164,$O$78:$Z$80,3)*MAX(0,$J164-3*IF($D164&gt;42,$D164/30,1)))</f>
        <v>#N/A</v>
      </c>
      <c r="J164" s="55" t="e">
        <f t="shared" ca="1" si="70"/>
        <v>#N/A</v>
      </c>
      <c r="K164" t="e">
        <f t="shared" ca="1" si="71"/>
        <v>#N/A</v>
      </c>
      <c r="L164" s="142">
        <f t="shared" ca="1" si="72"/>
        <v>0</v>
      </c>
    </row>
    <row r="165" spans="1:12" x14ac:dyDescent="0.2">
      <c r="A165" s="2" t="e">
        <f t="shared" ca="1" si="61"/>
        <v>#N/A</v>
      </c>
      <c r="B165" s="4" t="e">
        <f t="shared" ca="1" si="69"/>
        <v>#N/A</v>
      </c>
      <c r="C165" s="17" t="e">
        <f t="shared" ca="1" si="62"/>
        <v>#N/A</v>
      </c>
      <c r="D165" s="17" t="e">
        <f t="shared" ca="1" si="63"/>
        <v>#N/A</v>
      </c>
      <c r="E165" s="47" t="e">
        <f t="shared" ca="1" si="64"/>
        <v>#N/A</v>
      </c>
      <c r="F165" s="168" t="e">
        <f t="shared" ca="1" si="65"/>
        <v>#N/A</v>
      </c>
      <c r="G165" s="19" t="e">
        <f t="shared" ca="1" si="66"/>
        <v>#N/A</v>
      </c>
      <c r="H165" s="19" t="e">
        <f t="shared" ca="1" si="67"/>
        <v>#N/A</v>
      </c>
      <c r="I165" s="19" t="e">
        <f ca="1">IF(OR($A165="",$N$1="",$M$16&lt;&gt;"C"),"",IFERROR(HLOOKUP($B165,$O$63:Z227,$N$1+1)*IF($D165&gt;42,$D165/30,1),0)+HLOOKUP($B165,$O$78:$Z$80,2)*MIN(3*IF($D165&gt;42,$D165/30,1),$J165)+HLOOKUP($B165,$O$78:$Z$80,3)*MAX(0,$J165-3*IF($D165&gt;42,$D165/30,1)))</f>
        <v>#N/A</v>
      </c>
      <c r="J165" s="55" t="e">
        <f t="shared" ca="1" si="70"/>
        <v>#N/A</v>
      </c>
      <c r="K165" t="e">
        <f t="shared" ca="1" si="71"/>
        <v>#N/A</v>
      </c>
      <c r="L165" s="142">
        <f t="shared" ca="1" si="72"/>
        <v>0</v>
      </c>
    </row>
    <row r="166" spans="1:12" x14ac:dyDescent="0.2">
      <c r="A166" s="2" t="e">
        <f t="shared" ca="1" si="61"/>
        <v>#N/A</v>
      </c>
      <c r="B166" s="4" t="e">
        <f t="shared" ca="1" si="69"/>
        <v>#N/A</v>
      </c>
      <c r="C166" s="17" t="e">
        <f t="shared" ca="1" si="62"/>
        <v>#N/A</v>
      </c>
      <c r="D166" s="17" t="e">
        <f t="shared" ca="1" si="63"/>
        <v>#N/A</v>
      </c>
      <c r="E166" s="47" t="e">
        <f t="shared" ca="1" si="64"/>
        <v>#N/A</v>
      </c>
      <c r="F166" s="168" t="e">
        <f t="shared" ca="1" si="65"/>
        <v>#N/A</v>
      </c>
      <c r="G166" s="19" t="e">
        <f t="shared" ca="1" si="66"/>
        <v>#N/A</v>
      </c>
      <c r="H166" s="19" t="e">
        <f t="shared" ca="1" si="67"/>
        <v>#N/A</v>
      </c>
      <c r="I166" s="19" t="e">
        <f ca="1">IF(OR($A166="",$N$1="",$M$16&lt;&gt;"C"),"",IFERROR(HLOOKUP($B166,$O$63:Z228,$N$1+1)*IF($D166&gt;42,$D166/30,1),0)+HLOOKUP($B166,$O$78:$Z$80,2)*MIN(3*IF($D166&gt;42,$D166/30,1),$J166)+HLOOKUP($B166,$O$78:$Z$80,3)*MAX(0,$J166-3*IF($D166&gt;42,$D166/30,1)))</f>
        <v>#N/A</v>
      </c>
      <c r="J166" s="55" t="e">
        <f t="shared" ca="1" si="70"/>
        <v>#N/A</v>
      </c>
      <c r="K166" t="e">
        <f t="shared" ca="1" si="71"/>
        <v>#N/A</v>
      </c>
      <c r="L166" s="142">
        <f t="shared" ca="1" si="72"/>
        <v>0</v>
      </c>
    </row>
    <row r="167" spans="1:12" x14ac:dyDescent="0.2">
      <c r="A167" s="2" t="e">
        <f t="shared" ca="1" si="61"/>
        <v>#N/A</v>
      </c>
      <c r="B167" s="4" t="e">
        <f t="shared" ca="1" si="69"/>
        <v>#N/A</v>
      </c>
      <c r="C167" s="17" t="e">
        <f t="shared" ca="1" si="62"/>
        <v>#N/A</v>
      </c>
      <c r="D167" s="17" t="e">
        <f t="shared" ca="1" si="63"/>
        <v>#N/A</v>
      </c>
      <c r="E167" s="47" t="e">
        <f t="shared" ca="1" si="64"/>
        <v>#N/A</v>
      </c>
      <c r="F167" s="168" t="e">
        <f t="shared" ca="1" si="65"/>
        <v>#N/A</v>
      </c>
      <c r="G167" s="19" t="e">
        <f t="shared" ca="1" si="66"/>
        <v>#N/A</v>
      </c>
      <c r="H167" s="19" t="e">
        <f t="shared" ca="1" si="67"/>
        <v>#N/A</v>
      </c>
      <c r="I167" s="19" t="e">
        <f ca="1">IF(OR($A167="",$N$1="",$M$16&lt;&gt;"C"),"",IFERROR(HLOOKUP($B167,$O$63:Z229,$N$1+1)*IF($D167&gt;42,$D167/30,1),0)+HLOOKUP($B167,$O$78:$Z$80,2)*MIN(3*IF($D167&gt;42,$D167/30,1),$J167)+HLOOKUP($B167,$O$78:$Z$80,3)*MAX(0,$J167-3*IF($D167&gt;42,$D167/30,1)))</f>
        <v>#N/A</v>
      </c>
      <c r="J167" s="55" t="e">
        <f t="shared" ca="1" si="70"/>
        <v>#N/A</v>
      </c>
      <c r="K167" t="e">
        <f t="shared" ca="1" si="71"/>
        <v>#N/A</v>
      </c>
      <c r="L167" s="142">
        <f t="shared" ca="1" si="72"/>
        <v>0</v>
      </c>
    </row>
    <row r="168" spans="1:12" x14ac:dyDescent="0.2">
      <c r="A168" s="2" t="e">
        <f t="shared" ca="1" si="61"/>
        <v>#N/A</v>
      </c>
      <c r="B168" s="4" t="e">
        <f t="shared" ca="1" si="69"/>
        <v>#N/A</v>
      </c>
      <c r="C168" s="17" t="e">
        <f t="shared" ca="1" si="62"/>
        <v>#N/A</v>
      </c>
      <c r="D168" s="17" t="e">
        <f t="shared" ca="1" si="63"/>
        <v>#N/A</v>
      </c>
      <c r="E168" s="47" t="e">
        <f t="shared" ca="1" si="64"/>
        <v>#N/A</v>
      </c>
      <c r="F168" s="168" t="e">
        <f t="shared" ca="1" si="65"/>
        <v>#N/A</v>
      </c>
      <c r="G168" s="19" t="e">
        <f t="shared" ca="1" si="66"/>
        <v>#N/A</v>
      </c>
      <c r="H168" s="19" t="e">
        <f t="shared" ca="1" si="67"/>
        <v>#N/A</v>
      </c>
      <c r="I168" s="19" t="e">
        <f ca="1">IF(OR($A168="",$N$1="",$M$16&lt;&gt;"C"),"",IFERROR(HLOOKUP($B168,$O$63:Z230,$N$1+1)*IF($D168&gt;42,$D168/30,1),0)+HLOOKUP($B168,$O$78:$Z$80,2)*MIN(3*IF($D168&gt;42,$D168/30,1),$J168)+HLOOKUP($B168,$O$78:$Z$80,3)*MAX(0,$J168-3*IF($D168&gt;42,$D168/30,1)))</f>
        <v>#N/A</v>
      </c>
      <c r="J168" s="55" t="e">
        <f t="shared" ca="1" si="70"/>
        <v>#N/A</v>
      </c>
      <c r="K168" t="e">
        <f t="shared" ca="1" si="71"/>
        <v>#N/A</v>
      </c>
      <c r="L168" s="142">
        <f t="shared" ca="1" si="72"/>
        <v>0</v>
      </c>
    </row>
    <row r="169" spans="1:12" x14ac:dyDescent="0.2">
      <c r="A169" s="2" t="e">
        <f t="shared" ca="1" si="61"/>
        <v>#N/A</v>
      </c>
      <c r="B169" s="4" t="e">
        <f t="shared" ca="1" si="69"/>
        <v>#N/A</v>
      </c>
      <c r="C169" s="17" t="e">
        <f t="shared" ca="1" si="62"/>
        <v>#N/A</v>
      </c>
      <c r="D169" s="17" t="e">
        <f t="shared" ca="1" si="63"/>
        <v>#N/A</v>
      </c>
      <c r="E169" s="47" t="e">
        <f t="shared" ca="1" si="64"/>
        <v>#N/A</v>
      </c>
      <c r="F169" s="168" t="e">
        <f t="shared" ca="1" si="65"/>
        <v>#N/A</v>
      </c>
      <c r="G169" s="19" t="e">
        <f t="shared" ca="1" si="66"/>
        <v>#N/A</v>
      </c>
      <c r="H169" s="19" t="e">
        <f t="shared" ca="1" si="67"/>
        <v>#N/A</v>
      </c>
      <c r="I169" s="19" t="e">
        <f ca="1">IF(OR($A169="",$N$1="",$M$16&lt;&gt;"C"),"",IFERROR(HLOOKUP($B169,$O$63:Z231,$N$1+1)*IF($D169&gt;42,$D169/30,1),0)+HLOOKUP($B169,$O$78:$Z$80,2)*MIN(3*IF($D169&gt;42,$D169/30,1),$J169)+HLOOKUP($B169,$O$78:$Z$80,3)*MAX(0,$J169-3*IF($D169&gt;42,$D169/30,1)))</f>
        <v>#N/A</v>
      </c>
      <c r="J169" s="55" t="e">
        <f t="shared" ca="1" si="70"/>
        <v>#N/A</v>
      </c>
      <c r="K169" t="e">
        <f t="shared" ca="1" si="71"/>
        <v>#N/A</v>
      </c>
      <c r="L169" s="142">
        <f t="shared" ca="1" si="72"/>
        <v>0</v>
      </c>
    </row>
    <row r="170" spans="1:12" x14ac:dyDescent="0.2">
      <c r="A170" s="2" t="e">
        <f t="shared" ca="1" si="61"/>
        <v>#N/A</v>
      </c>
      <c r="B170" s="4" t="e">
        <f t="shared" ca="1" si="69"/>
        <v>#N/A</v>
      </c>
      <c r="C170" s="17" t="e">
        <f t="shared" ca="1" si="62"/>
        <v>#N/A</v>
      </c>
      <c r="D170" s="17" t="e">
        <f t="shared" ca="1" si="63"/>
        <v>#N/A</v>
      </c>
      <c r="E170" s="47" t="e">
        <f t="shared" ca="1" si="64"/>
        <v>#N/A</v>
      </c>
      <c r="F170" s="168" t="e">
        <f t="shared" ca="1" si="65"/>
        <v>#N/A</v>
      </c>
      <c r="G170" s="19" t="e">
        <f t="shared" ca="1" si="66"/>
        <v>#N/A</v>
      </c>
      <c r="H170" s="19" t="e">
        <f t="shared" ca="1" si="67"/>
        <v>#N/A</v>
      </c>
      <c r="I170" s="19" t="e">
        <f ca="1">IF(OR($A170="",$N$1="",$M$16&lt;&gt;"C"),"",IFERROR(HLOOKUP($B170,$O$63:Z232,$N$1+1)*IF($D170&gt;42,$D170/30,1),0)+HLOOKUP($B170,$O$78:$Z$80,2)*MIN(3*IF($D170&gt;42,$D170/30,1),$J170)+HLOOKUP($B170,$O$78:$Z$80,3)*MAX(0,$J170-3*IF($D170&gt;42,$D170/30,1)))</f>
        <v>#N/A</v>
      </c>
      <c r="J170" s="55" t="e">
        <f t="shared" ca="1" si="70"/>
        <v>#N/A</v>
      </c>
      <c r="K170" t="e">
        <f t="shared" ca="1" si="71"/>
        <v>#N/A</v>
      </c>
      <c r="L170" s="142">
        <f t="shared" ca="1" si="72"/>
        <v>0</v>
      </c>
    </row>
    <row r="171" spans="1:12" x14ac:dyDescent="0.2">
      <c r="A171" s="2" t="e">
        <f t="shared" ca="1" si="61"/>
        <v>#N/A</v>
      </c>
      <c r="B171" s="4" t="e">
        <f t="shared" ca="1" si="69"/>
        <v>#N/A</v>
      </c>
      <c r="C171" s="17" t="e">
        <f t="shared" ca="1" si="62"/>
        <v>#N/A</v>
      </c>
      <c r="D171" s="17" t="e">
        <f t="shared" ca="1" si="63"/>
        <v>#N/A</v>
      </c>
      <c r="E171" s="47" t="e">
        <f t="shared" ca="1" si="64"/>
        <v>#N/A</v>
      </c>
      <c r="F171" s="168" t="e">
        <f t="shared" ca="1" si="65"/>
        <v>#N/A</v>
      </c>
      <c r="G171" s="19" t="e">
        <f t="shared" ca="1" si="66"/>
        <v>#N/A</v>
      </c>
      <c r="H171" s="19" t="e">
        <f t="shared" ca="1" si="67"/>
        <v>#N/A</v>
      </c>
      <c r="I171" s="19" t="e">
        <f ca="1">IF(OR($A171="",$N$1="",$M$16&lt;&gt;"C"),"",IFERROR(HLOOKUP($B171,$O$63:Z233,$N$1+1)*IF($D171&gt;42,$D171/30,1),0)+HLOOKUP($B171,$O$78:$Z$80,2)*MIN(3*IF($D171&gt;42,$D171/30,1),$J171)+HLOOKUP($B171,$O$78:$Z$80,3)*MAX(0,$J171-3*IF($D171&gt;42,$D171/30,1)))</f>
        <v>#N/A</v>
      </c>
      <c r="J171" s="55" t="e">
        <f t="shared" ca="1" si="70"/>
        <v>#N/A</v>
      </c>
      <c r="K171" t="e">
        <f t="shared" ca="1" si="71"/>
        <v>#N/A</v>
      </c>
      <c r="L171" s="142">
        <f t="shared" ca="1" si="72"/>
        <v>0</v>
      </c>
    </row>
    <row r="172" spans="1:12" x14ac:dyDescent="0.2">
      <c r="A172" s="2" t="e">
        <f t="shared" ca="1" si="61"/>
        <v>#N/A</v>
      </c>
      <c r="B172" s="4" t="e">
        <f t="shared" ca="1" si="69"/>
        <v>#N/A</v>
      </c>
      <c r="C172" s="17" t="e">
        <f t="shared" ca="1" si="62"/>
        <v>#N/A</v>
      </c>
      <c r="D172" s="17" t="e">
        <f t="shared" ca="1" si="63"/>
        <v>#N/A</v>
      </c>
      <c r="E172" s="47" t="e">
        <f t="shared" ca="1" si="64"/>
        <v>#N/A</v>
      </c>
      <c r="F172" s="168" t="e">
        <f t="shared" ca="1" si="65"/>
        <v>#N/A</v>
      </c>
      <c r="G172" s="19" t="e">
        <f t="shared" ca="1" si="66"/>
        <v>#N/A</v>
      </c>
      <c r="H172" s="19" t="e">
        <f t="shared" ca="1" si="67"/>
        <v>#N/A</v>
      </c>
      <c r="I172" s="19" t="e">
        <f ca="1">IF(OR($A172="",$N$1="",$M$16&lt;&gt;"C"),"",IFERROR(HLOOKUP($B172,$O$63:Z234,$N$1+1)*IF($D172&gt;42,$D172/30,1),0)+HLOOKUP($B172,$O$78:$Z$80,2)*MIN(3*IF($D172&gt;42,$D172/30,1),$J172)+HLOOKUP($B172,$O$78:$Z$80,3)*MAX(0,$J172-3*IF($D172&gt;42,$D172/30,1)))</f>
        <v>#N/A</v>
      </c>
      <c r="J172" s="55" t="e">
        <f t="shared" ca="1" si="70"/>
        <v>#N/A</v>
      </c>
      <c r="K172" t="e">
        <f t="shared" ca="1" si="71"/>
        <v>#N/A</v>
      </c>
      <c r="L172" s="142">
        <f t="shared" ca="1" si="72"/>
        <v>0</v>
      </c>
    </row>
    <row r="173" spans="1:12" x14ac:dyDescent="0.2">
      <c r="A173" s="2" t="e">
        <f t="shared" ca="1" si="61"/>
        <v>#N/A</v>
      </c>
      <c r="B173" s="4" t="e">
        <f t="shared" ca="1" si="69"/>
        <v>#N/A</v>
      </c>
      <c r="C173" s="17" t="e">
        <f t="shared" ca="1" si="62"/>
        <v>#N/A</v>
      </c>
      <c r="D173" s="17" t="e">
        <f t="shared" ca="1" si="63"/>
        <v>#N/A</v>
      </c>
      <c r="E173" s="47" t="e">
        <f t="shared" ca="1" si="64"/>
        <v>#N/A</v>
      </c>
      <c r="F173" s="168" t="e">
        <f t="shared" ca="1" si="65"/>
        <v>#N/A</v>
      </c>
      <c r="G173" s="19" t="e">
        <f t="shared" ca="1" si="66"/>
        <v>#N/A</v>
      </c>
      <c r="H173" s="19" t="e">
        <f t="shared" ca="1" si="67"/>
        <v>#N/A</v>
      </c>
      <c r="I173" s="19" t="e">
        <f ca="1">IF(OR($A173="",$N$1="",$M$16&lt;&gt;"C"),"",IFERROR(HLOOKUP($B173,$O$63:Z235,$N$1+1)*IF($D173&gt;42,$D173/30,1),0)+HLOOKUP($B173,$O$78:$Z$80,2)*MIN(3*IF($D173&gt;42,$D173/30,1),$J173)+HLOOKUP($B173,$O$78:$Z$80,3)*MAX(0,$J173-3*IF($D173&gt;42,$D173/30,1)))</f>
        <v>#N/A</v>
      </c>
      <c r="J173" s="55" t="e">
        <f t="shared" ca="1" si="70"/>
        <v>#N/A</v>
      </c>
      <c r="K173" t="e">
        <f t="shared" ca="1" si="71"/>
        <v>#N/A</v>
      </c>
      <c r="L173" s="142">
        <f t="shared" ca="1" si="72"/>
        <v>0</v>
      </c>
    </row>
    <row r="174" spans="1:12" x14ac:dyDescent="0.2">
      <c r="A174" s="2" t="e">
        <f t="shared" ca="1" si="61"/>
        <v>#N/A</v>
      </c>
      <c r="B174" s="4" t="e">
        <f t="shared" ca="1" si="69"/>
        <v>#N/A</v>
      </c>
      <c r="C174" s="17" t="e">
        <f t="shared" ca="1" si="62"/>
        <v>#N/A</v>
      </c>
      <c r="D174" s="17" t="e">
        <f t="shared" ca="1" si="63"/>
        <v>#N/A</v>
      </c>
      <c r="E174" s="47" t="e">
        <f t="shared" ca="1" si="64"/>
        <v>#N/A</v>
      </c>
      <c r="F174" s="168" t="e">
        <f t="shared" ca="1" si="65"/>
        <v>#N/A</v>
      </c>
      <c r="G174" s="19" t="e">
        <f t="shared" ca="1" si="66"/>
        <v>#N/A</v>
      </c>
      <c r="H174" s="19" t="e">
        <f t="shared" ca="1" si="67"/>
        <v>#N/A</v>
      </c>
      <c r="I174" s="19" t="e">
        <f ca="1">IF(OR($A174="",$N$1="",$M$16&lt;&gt;"C"),"",IFERROR(HLOOKUP($B174,$O$63:Z236,$N$1+1)*IF($D174&gt;42,$D174/30,1),0)+HLOOKUP($B174,$O$78:$Z$80,2)*MIN(3*IF($D174&gt;42,$D174/30,1),$J174)+HLOOKUP($B174,$O$78:$Z$80,3)*MAX(0,$J174-3*IF($D174&gt;42,$D174/30,1)))</f>
        <v>#N/A</v>
      </c>
      <c r="J174" s="55" t="e">
        <f t="shared" ca="1" si="70"/>
        <v>#N/A</v>
      </c>
      <c r="K174" t="e">
        <f t="shared" ca="1" si="71"/>
        <v>#N/A</v>
      </c>
      <c r="L174" s="142">
        <f t="shared" ca="1" si="72"/>
        <v>0</v>
      </c>
    </row>
    <row r="175" spans="1:12" x14ac:dyDescent="0.2">
      <c r="A175" s="2" t="e">
        <f t="shared" ca="1" si="61"/>
        <v>#N/A</v>
      </c>
      <c r="B175" s="4" t="e">
        <f t="shared" ca="1" si="69"/>
        <v>#N/A</v>
      </c>
      <c r="C175" s="17" t="e">
        <f t="shared" ca="1" si="62"/>
        <v>#N/A</v>
      </c>
      <c r="D175" s="17" t="e">
        <f t="shared" ca="1" si="63"/>
        <v>#N/A</v>
      </c>
      <c r="E175" s="47" t="e">
        <f t="shared" ca="1" si="64"/>
        <v>#N/A</v>
      </c>
      <c r="F175" s="168" t="e">
        <f t="shared" ca="1" si="65"/>
        <v>#N/A</v>
      </c>
      <c r="G175" s="19" t="e">
        <f t="shared" ca="1" si="66"/>
        <v>#N/A</v>
      </c>
      <c r="H175" s="19" t="e">
        <f t="shared" ca="1" si="67"/>
        <v>#N/A</v>
      </c>
      <c r="I175" s="19" t="e">
        <f ca="1">IF(OR($A175="",$N$1="",$M$16&lt;&gt;"C"),"",IFERROR(HLOOKUP($B175,$O$63:Z237,$N$1+1)*IF($D175&gt;42,$D175/30,1),0)+HLOOKUP($B175,$O$78:$Z$80,2)*MIN(3*IF($D175&gt;42,$D175/30,1),$J175)+HLOOKUP($B175,$O$78:$Z$80,3)*MAX(0,$J175-3*IF($D175&gt;42,$D175/30,1)))</f>
        <v>#N/A</v>
      </c>
      <c r="J175" s="55" t="e">
        <f t="shared" ca="1" si="70"/>
        <v>#N/A</v>
      </c>
      <c r="K175" t="e">
        <f t="shared" ca="1" si="71"/>
        <v>#N/A</v>
      </c>
      <c r="L175" s="142">
        <f t="shared" ca="1" si="72"/>
        <v>0</v>
      </c>
    </row>
    <row r="176" spans="1:12" x14ac:dyDescent="0.2">
      <c r="A176" s="2" t="e">
        <f t="shared" ca="1" si="61"/>
        <v>#N/A</v>
      </c>
      <c r="B176" s="4" t="e">
        <f t="shared" ca="1" si="69"/>
        <v>#N/A</v>
      </c>
      <c r="C176" s="17" t="e">
        <f t="shared" ca="1" si="62"/>
        <v>#N/A</v>
      </c>
      <c r="D176" s="17" t="e">
        <f t="shared" ca="1" si="63"/>
        <v>#N/A</v>
      </c>
      <c r="E176" s="47" t="e">
        <f t="shared" ca="1" si="64"/>
        <v>#N/A</v>
      </c>
      <c r="F176" s="168" t="e">
        <f t="shared" ca="1" si="65"/>
        <v>#N/A</v>
      </c>
      <c r="G176" s="19" t="e">
        <f t="shared" ca="1" si="66"/>
        <v>#N/A</v>
      </c>
      <c r="H176" s="19" t="e">
        <f t="shared" ca="1" si="67"/>
        <v>#N/A</v>
      </c>
      <c r="I176" s="19" t="e">
        <f ca="1">IF(OR($A176="",$N$1="",$M$16&lt;&gt;"C"),"",IFERROR(HLOOKUP($B176,$O$63:Z238,$N$1+1)*IF($D176&gt;42,$D176/30,1),0)+HLOOKUP($B176,$O$78:$Z$80,2)*MIN(3*IF($D176&gt;42,$D176/30,1),$J176)+HLOOKUP($B176,$O$78:$Z$80,3)*MAX(0,$J176-3*IF($D176&gt;42,$D176/30,1)))</f>
        <v>#N/A</v>
      </c>
      <c r="J176" s="55" t="e">
        <f t="shared" ca="1" si="70"/>
        <v>#N/A</v>
      </c>
      <c r="K176" t="e">
        <f t="shared" ca="1" si="71"/>
        <v>#N/A</v>
      </c>
      <c r="L176" s="142">
        <f t="shared" ca="1" si="72"/>
        <v>0</v>
      </c>
    </row>
    <row r="177" spans="1:12" x14ac:dyDescent="0.2">
      <c r="A177" s="2" t="e">
        <f t="shared" ca="1" si="61"/>
        <v>#N/A</v>
      </c>
      <c r="B177" s="4" t="e">
        <f t="shared" ca="1" si="69"/>
        <v>#N/A</v>
      </c>
      <c r="C177" s="17" t="e">
        <f t="shared" ca="1" si="62"/>
        <v>#N/A</v>
      </c>
      <c r="D177" s="17" t="e">
        <f t="shared" ca="1" si="63"/>
        <v>#N/A</v>
      </c>
      <c r="E177" s="47" t="e">
        <f t="shared" ca="1" si="64"/>
        <v>#N/A</v>
      </c>
      <c r="F177" s="168" t="e">
        <f t="shared" ca="1" si="65"/>
        <v>#N/A</v>
      </c>
      <c r="G177" s="19" t="e">
        <f t="shared" ca="1" si="66"/>
        <v>#N/A</v>
      </c>
      <c r="H177" s="19" t="e">
        <f t="shared" ca="1" si="67"/>
        <v>#N/A</v>
      </c>
      <c r="I177" s="19" t="e">
        <f ca="1">IF(OR($A177="",$N$1="",$M$16&lt;&gt;"C"),"",IFERROR(HLOOKUP($B177,$O$63:Z239,$N$1+1)*IF($D177&gt;42,$D177/30,1),0)+HLOOKUP($B177,$O$78:$Z$80,2)*MIN(3*IF($D177&gt;42,$D177/30,1),$J177)+HLOOKUP($B177,$O$78:$Z$80,3)*MAX(0,$J177-3*IF($D177&gt;42,$D177/30,1)))</f>
        <v>#N/A</v>
      </c>
      <c r="J177" s="55" t="e">
        <f t="shared" ca="1" si="70"/>
        <v>#N/A</v>
      </c>
      <c r="K177" t="e">
        <f t="shared" ca="1" si="71"/>
        <v>#N/A</v>
      </c>
      <c r="L177" s="142">
        <f t="shared" ca="1" si="72"/>
        <v>0</v>
      </c>
    </row>
    <row r="178" spans="1:12" x14ac:dyDescent="0.2">
      <c r="A178" s="2" t="e">
        <f t="shared" ca="1" si="61"/>
        <v>#N/A</v>
      </c>
      <c r="B178" s="4" t="e">
        <f t="shared" ca="1" si="69"/>
        <v>#N/A</v>
      </c>
      <c r="C178" s="17" t="e">
        <f t="shared" ca="1" si="62"/>
        <v>#N/A</v>
      </c>
      <c r="D178" s="17" t="e">
        <f t="shared" ca="1" si="63"/>
        <v>#N/A</v>
      </c>
      <c r="E178" s="47" t="e">
        <f t="shared" ca="1" si="64"/>
        <v>#N/A</v>
      </c>
      <c r="F178" s="168" t="e">
        <f t="shared" ca="1" si="65"/>
        <v>#N/A</v>
      </c>
      <c r="G178" s="19" t="e">
        <f t="shared" ca="1" si="66"/>
        <v>#N/A</v>
      </c>
      <c r="H178" s="19" t="e">
        <f t="shared" ca="1" si="67"/>
        <v>#N/A</v>
      </c>
      <c r="I178" s="19" t="e">
        <f ca="1">IF(OR($A178="",$N$1="",$M$16&lt;&gt;"C"),"",IFERROR(HLOOKUP($B178,$O$63:Z240,$N$1+1)*IF($D178&gt;42,$D178/30,1),0)+HLOOKUP($B178,$O$78:$Z$80,2)*MIN(3*IF($D178&gt;42,$D178/30,1),$J178)+HLOOKUP($B178,$O$78:$Z$80,3)*MAX(0,$J178-3*IF($D178&gt;42,$D178/30,1)))</f>
        <v>#N/A</v>
      </c>
      <c r="J178" s="55" t="e">
        <f t="shared" ca="1" si="70"/>
        <v>#N/A</v>
      </c>
      <c r="K178" t="e">
        <f t="shared" ca="1" si="71"/>
        <v>#N/A</v>
      </c>
      <c r="L178" s="142">
        <f t="shared" ca="1" si="72"/>
        <v>0</v>
      </c>
    </row>
    <row r="179" spans="1:12" x14ac:dyDescent="0.2">
      <c r="A179" s="2" t="e">
        <f t="shared" ca="1" si="61"/>
        <v>#N/A</v>
      </c>
      <c r="B179" s="4" t="e">
        <f t="shared" ca="1" si="69"/>
        <v>#N/A</v>
      </c>
      <c r="C179" s="17" t="e">
        <f t="shared" ca="1" si="62"/>
        <v>#N/A</v>
      </c>
      <c r="D179" s="17" t="e">
        <f t="shared" ca="1" si="63"/>
        <v>#N/A</v>
      </c>
      <c r="E179" s="47" t="e">
        <f t="shared" ca="1" si="64"/>
        <v>#N/A</v>
      </c>
      <c r="F179" s="168" t="e">
        <f t="shared" ca="1" si="65"/>
        <v>#N/A</v>
      </c>
      <c r="G179" s="19" t="e">
        <f t="shared" ca="1" si="66"/>
        <v>#N/A</v>
      </c>
      <c r="H179" s="19" t="e">
        <f t="shared" ca="1" si="67"/>
        <v>#N/A</v>
      </c>
      <c r="I179" s="19" t="e">
        <f ca="1">IF(OR($A179="",$N$1="",$M$16&lt;&gt;"C"),"",IFERROR(HLOOKUP($B179,$O$63:Z241,$N$1+1)*IF($D179&gt;42,$D179/30,1),0)+HLOOKUP($B179,$O$78:$Z$80,2)*MIN(3*IF($D179&gt;42,$D179/30,1),$J179)+HLOOKUP($B179,$O$78:$Z$80,3)*MAX(0,$J179-3*IF($D179&gt;42,$D179/30,1)))</f>
        <v>#N/A</v>
      </c>
      <c r="J179" s="55" t="e">
        <f t="shared" ca="1" si="70"/>
        <v>#N/A</v>
      </c>
      <c r="K179" t="e">
        <f t="shared" ca="1" si="71"/>
        <v>#N/A</v>
      </c>
      <c r="L179" s="142">
        <f t="shared" ca="1" si="72"/>
        <v>0</v>
      </c>
    </row>
    <row r="180" spans="1:12" x14ac:dyDescent="0.2">
      <c r="A180" s="2" t="e">
        <f t="shared" ca="1" si="61"/>
        <v>#N/A</v>
      </c>
      <c r="B180" s="4" t="e">
        <f t="shared" ca="1" si="69"/>
        <v>#N/A</v>
      </c>
      <c r="C180" s="17" t="e">
        <f t="shared" ca="1" si="62"/>
        <v>#N/A</v>
      </c>
      <c r="D180" s="17" t="e">
        <f t="shared" ca="1" si="63"/>
        <v>#N/A</v>
      </c>
      <c r="E180" s="47" t="e">
        <f t="shared" ca="1" si="64"/>
        <v>#N/A</v>
      </c>
      <c r="F180" s="168" t="e">
        <f t="shared" ca="1" si="65"/>
        <v>#N/A</v>
      </c>
      <c r="G180" s="19" t="e">
        <f t="shared" ca="1" si="66"/>
        <v>#N/A</v>
      </c>
      <c r="H180" s="19" t="e">
        <f t="shared" ca="1" si="67"/>
        <v>#N/A</v>
      </c>
      <c r="I180" s="19" t="e">
        <f ca="1">IF(OR($A180="",$N$1="",$M$16&lt;&gt;"C"),"",IFERROR(HLOOKUP($B180,$O$63:Z242,$N$1+1)*IF($D180&gt;42,$D180/30,1),0)+HLOOKUP($B180,$O$78:$Z$80,2)*MIN(3*IF($D180&gt;42,$D180/30,1),$J180)+HLOOKUP($B180,$O$78:$Z$80,3)*MAX(0,$J180-3*IF($D180&gt;42,$D180/30,1)))</f>
        <v>#N/A</v>
      </c>
      <c r="J180" s="55" t="e">
        <f t="shared" ca="1" si="70"/>
        <v>#N/A</v>
      </c>
      <c r="K180" t="e">
        <f t="shared" ca="1" si="71"/>
        <v>#N/A</v>
      </c>
      <c r="L180" s="142">
        <f t="shared" ca="1" si="72"/>
        <v>0</v>
      </c>
    </row>
    <row r="181" spans="1:12" x14ac:dyDescent="0.2">
      <c r="A181" s="2" t="e">
        <f t="shared" ca="1" si="61"/>
        <v>#N/A</v>
      </c>
      <c r="B181" s="4" t="e">
        <f t="shared" ca="1" si="69"/>
        <v>#N/A</v>
      </c>
      <c r="C181" s="17" t="e">
        <f t="shared" ca="1" si="62"/>
        <v>#N/A</v>
      </c>
      <c r="D181" s="17" t="e">
        <f t="shared" ca="1" si="63"/>
        <v>#N/A</v>
      </c>
      <c r="E181" s="47" t="e">
        <f t="shared" ca="1" si="64"/>
        <v>#N/A</v>
      </c>
      <c r="F181" s="168" t="e">
        <f t="shared" ca="1" si="65"/>
        <v>#N/A</v>
      </c>
      <c r="G181" s="19" t="e">
        <f t="shared" ca="1" si="66"/>
        <v>#N/A</v>
      </c>
      <c r="H181" s="19" t="e">
        <f t="shared" ca="1" si="67"/>
        <v>#N/A</v>
      </c>
      <c r="I181" s="19" t="e">
        <f ca="1">IF(OR($A181="",$N$1="",$M$16&lt;&gt;"C"),"",IFERROR(HLOOKUP($B181,$O$63:Z243,$N$1+1)*IF($D181&gt;42,$D181/30,1),0)+HLOOKUP($B181,$O$78:$Z$80,2)*MIN(3*IF($D181&gt;42,$D181/30,1),$J181)+HLOOKUP($B181,$O$78:$Z$80,3)*MAX(0,$J181-3*IF($D181&gt;42,$D181/30,1)))</f>
        <v>#N/A</v>
      </c>
      <c r="J181" s="55" t="e">
        <f t="shared" ca="1" si="70"/>
        <v>#N/A</v>
      </c>
      <c r="K181" t="e">
        <f t="shared" ca="1" si="71"/>
        <v>#N/A</v>
      </c>
      <c r="L181" s="142">
        <f t="shared" ca="1" si="72"/>
        <v>0</v>
      </c>
    </row>
    <row r="182" spans="1:12" x14ac:dyDescent="0.2">
      <c r="A182" s="2" t="e">
        <f t="shared" ca="1" si="61"/>
        <v>#N/A</v>
      </c>
      <c r="B182" s="4" t="e">
        <f t="shared" ca="1" si="69"/>
        <v>#N/A</v>
      </c>
      <c r="C182" s="17" t="e">
        <f t="shared" ca="1" si="62"/>
        <v>#N/A</v>
      </c>
      <c r="D182" s="17" t="e">
        <f t="shared" ca="1" si="63"/>
        <v>#N/A</v>
      </c>
      <c r="E182" s="47" t="e">
        <f t="shared" ca="1" si="64"/>
        <v>#N/A</v>
      </c>
      <c r="F182" s="168" t="e">
        <f t="shared" ca="1" si="65"/>
        <v>#N/A</v>
      </c>
      <c r="G182" s="19" t="e">
        <f t="shared" ca="1" si="66"/>
        <v>#N/A</v>
      </c>
      <c r="H182" s="19" t="e">
        <f t="shared" ca="1" si="67"/>
        <v>#N/A</v>
      </c>
      <c r="I182" s="19" t="e">
        <f ca="1">IF(OR($A182="",$N$1="",$M$16&lt;&gt;"C"),"",IFERROR(HLOOKUP($B182,$O$63:Z244,$N$1+1)*IF($D182&gt;42,$D182/30,1),0)+HLOOKUP($B182,$O$78:$Z$80,2)*MIN(3*IF($D182&gt;42,$D182/30,1),$J182)+HLOOKUP($B182,$O$78:$Z$80,3)*MAX(0,$J182-3*IF($D182&gt;42,$D182/30,1)))</f>
        <v>#N/A</v>
      </c>
      <c r="J182" s="55" t="e">
        <f t="shared" ca="1" si="70"/>
        <v>#N/A</v>
      </c>
      <c r="K182" t="e">
        <f t="shared" ca="1" si="71"/>
        <v>#N/A</v>
      </c>
      <c r="L182" s="142">
        <f t="shared" ca="1" si="72"/>
        <v>0</v>
      </c>
    </row>
    <row r="183" spans="1:12" x14ac:dyDescent="0.2">
      <c r="A183" s="2" t="e">
        <f t="shared" ca="1" si="61"/>
        <v>#N/A</v>
      </c>
      <c r="B183" s="4" t="e">
        <f t="shared" ca="1" si="69"/>
        <v>#N/A</v>
      </c>
      <c r="C183" s="17" t="e">
        <f t="shared" ca="1" si="62"/>
        <v>#N/A</v>
      </c>
      <c r="D183" s="17" t="e">
        <f t="shared" ca="1" si="63"/>
        <v>#N/A</v>
      </c>
      <c r="E183" s="47" t="e">
        <f t="shared" ca="1" si="64"/>
        <v>#N/A</v>
      </c>
      <c r="F183" s="168" t="e">
        <f t="shared" ca="1" si="65"/>
        <v>#N/A</v>
      </c>
      <c r="G183" s="19" t="e">
        <f t="shared" ca="1" si="66"/>
        <v>#N/A</v>
      </c>
      <c r="H183" s="19" t="e">
        <f t="shared" ca="1" si="67"/>
        <v>#N/A</v>
      </c>
      <c r="I183" s="19" t="e">
        <f ca="1">IF(OR($A183="",$N$1="",$M$16&lt;&gt;"C"),"",IFERROR(HLOOKUP($B183,$O$63:Z245,$N$1+1)*IF($D183&gt;42,$D183/30,1),0)+HLOOKUP($B183,$O$78:$Z$80,2)*MIN(3*IF($D183&gt;42,$D183/30,1),$J183)+HLOOKUP($B183,$O$78:$Z$80,3)*MAX(0,$J183-3*IF($D183&gt;42,$D183/30,1)))</f>
        <v>#N/A</v>
      </c>
      <c r="J183" s="55" t="e">
        <f t="shared" ca="1" si="70"/>
        <v>#N/A</v>
      </c>
      <c r="K183" t="e">
        <f t="shared" ca="1" si="71"/>
        <v>#N/A</v>
      </c>
      <c r="L183" s="142">
        <f t="shared" ca="1" si="72"/>
        <v>0</v>
      </c>
    </row>
    <row r="184" spans="1:12" x14ac:dyDescent="0.2">
      <c r="A184" s="2" t="e">
        <f t="shared" ca="1" si="61"/>
        <v>#N/A</v>
      </c>
      <c r="B184" s="4" t="e">
        <f t="shared" ca="1" si="69"/>
        <v>#N/A</v>
      </c>
      <c r="C184" s="17" t="e">
        <f t="shared" ca="1" si="62"/>
        <v>#N/A</v>
      </c>
      <c r="D184" s="17" t="e">
        <f t="shared" ca="1" si="63"/>
        <v>#N/A</v>
      </c>
      <c r="E184" s="47" t="e">
        <f t="shared" ca="1" si="64"/>
        <v>#N/A</v>
      </c>
      <c r="F184" s="168" t="e">
        <f t="shared" ca="1" si="65"/>
        <v>#N/A</v>
      </c>
      <c r="G184" s="19" t="e">
        <f t="shared" ca="1" si="66"/>
        <v>#N/A</v>
      </c>
      <c r="H184" s="19" t="e">
        <f t="shared" ca="1" si="67"/>
        <v>#N/A</v>
      </c>
      <c r="I184" s="19" t="e">
        <f ca="1">IF(OR($A184="",$N$1="",$M$16&lt;&gt;"C"),"",IFERROR(HLOOKUP($B184,$O$63:Z246,$N$1+1)*IF($D184&gt;42,$D184/30,1),0)+HLOOKUP($B184,$O$78:$Z$80,2)*MIN(3*IF($D184&gt;42,$D184/30,1),$J184)+HLOOKUP($B184,$O$78:$Z$80,3)*MAX(0,$J184-3*IF($D184&gt;42,$D184/30,1)))</f>
        <v>#N/A</v>
      </c>
      <c r="J184" s="55" t="e">
        <f t="shared" ca="1" si="70"/>
        <v>#N/A</v>
      </c>
      <c r="K184" t="e">
        <f t="shared" ca="1" si="71"/>
        <v>#N/A</v>
      </c>
      <c r="L184" s="142">
        <f t="shared" ca="1" si="72"/>
        <v>0</v>
      </c>
    </row>
    <row r="185" spans="1:12" x14ac:dyDescent="0.2">
      <c r="A185" s="2" t="e">
        <f t="shared" ca="1" si="61"/>
        <v>#N/A</v>
      </c>
      <c r="B185" s="4" t="e">
        <f t="shared" ca="1" si="69"/>
        <v>#N/A</v>
      </c>
      <c r="C185" s="17" t="e">
        <f t="shared" ca="1" si="62"/>
        <v>#N/A</v>
      </c>
      <c r="D185" s="17" t="e">
        <f t="shared" ca="1" si="63"/>
        <v>#N/A</v>
      </c>
      <c r="E185" s="47" t="e">
        <f t="shared" ca="1" si="64"/>
        <v>#N/A</v>
      </c>
      <c r="F185" s="168" t="e">
        <f t="shared" ca="1" si="65"/>
        <v>#N/A</v>
      </c>
      <c r="G185" s="19" t="e">
        <f t="shared" ca="1" si="66"/>
        <v>#N/A</v>
      </c>
      <c r="H185" s="19" t="e">
        <f t="shared" ca="1" si="67"/>
        <v>#N/A</v>
      </c>
      <c r="I185" s="19" t="e">
        <f ca="1">IF(OR($A185="",$N$1="",$M$16&lt;&gt;"C"),"",IFERROR(HLOOKUP($B185,$O$63:Z247,$N$1+1)*IF($D185&gt;42,$D185/30,1),0)+HLOOKUP($B185,$O$78:$Z$80,2)*MIN(3*IF($D185&gt;42,$D185/30,1),$J185)+HLOOKUP($B185,$O$78:$Z$80,3)*MAX(0,$J185-3*IF($D185&gt;42,$D185/30,1)))</f>
        <v>#N/A</v>
      </c>
      <c r="J185" s="55" t="e">
        <f t="shared" ca="1" si="70"/>
        <v>#N/A</v>
      </c>
      <c r="K185" t="e">
        <f t="shared" ca="1" si="71"/>
        <v>#N/A</v>
      </c>
      <c r="L185" s="142">
        <f t="shared" ca="1" si="72"/>
        <v>0</v>
      </c>
    </row>
    <row r="186" spans="1:12" x14ac:dyDescent="0.2">
      <c r="A186" s="2" t="e">
        <f t="shared" ca="1" si="61"/>
        <v>#N/A</v>
      </c>
      <c r="B186" s="4" t="e">
        <f t="shared" ca="1" si="69"/>
        <v>#N/A</v>
      </c>
      <c r="C186" s="17" t="e">
        <f t="shared" ca="1" si="62"/>
        <v>#N/A</v>
      </c>
      <c r="D186" s="17" t="e">
        <f t="shared" ca="1" si="63"/>
        <v>#N/A</v>
      </c>
      <c r="E186" s="47" t="e">
        <f t="shared" ca="1" si="64"/>
        <v>#N/A</v>
      </c>
      <c r="F186" s="168" t="e">
        <f t="shared" ca="1" si="65"/>
        <v>#N/A</v>
      </c>
      <c r="G186" s="19" t="e">
        <f t="shared" ca="1" si="66"/>
        <v>#N/A</v>
      </c>
      <c r="H186" s="19" t="e">
        <f t="shared" ca="1" si="67"/>
        <v>#N/A</v>
      </c>
      <c r="I186" s="19" t="e">
        <f ca="1">IF(OR($A186="",$N$1="",$M$16&lt;&gt;"C"),"",IFERROR(HLOOKUP($B186,$O$63:Z248,$N$1+1)*IF($D186&gt;42,$D186/30,1),0)+HLOOKUP($B186,$O$78:$Z$80,2)*MIN(3*IF($D186&gt;42,$D186/30,1),$J186)+HLOOKUP($B186,$O$78:$Z$80,3)*MAX(0,$J186-3*IF($D186&gt;42,$D186/30,1)))</f>
        <v>#N/A</v>
      </c>
      <c r="J186" s="55" t="e">
        <f t="shared" ca="1" si="70"/>
        <v>#N/A</v>
      </c>
      <c r="K186" t="e">
        <f t="shared" ca="1" si="71"/>
        <v>#N/A</v>
      </c>
      <c r="L186" s="142">
        <f t="shared" ca="1" si="72"/>
        <v>0</v>
      </c>
    </row>
    <row r="187" spans="1:12" x14ac:dyDescent="0.2">
      <c r="A187" s="2" t="e">
        <f t="shared" ca="1" si="61"/>
        <v>#N/A</v>
      </c>
      <c r="B187" s="4" t="e">
        <f t="shared" ca="1" si="69"/>
        <v>#N/A</v>
      </c>
      <c r="C187" s="17" t="e">
        <f t="shared" ca="1" si="62"/>
        <v>#N/A</v>
      </c>
      <c r="D187" s="17" t="e">
        <f t="shared" ca="1" si="63"/>
        <v>#N/A</v>
      </c>
      <c r="E187" s="47" t="e">
        <f t="shared" ca="1" si="64"/>
        <v>#N/A</v>
      </c>
      <c r="F187" s="168" t="e">
        <f t="shared" ca="1" si="65"/>
        <v>#N/A</v>
      </c>
      <c r="G187" s="19" t="e">
        <f t="shared" ca="1" si="66"/>
        <v>#N/A</v>
      </c>
      <c r="H187" s="19" t="e">
        <f t="shared" ca="1" si="67"/>
        <v>#N/A</v>
      </c>
      <c r="I187" s="19" t="e">
        <f ca="1">IF(OR($A187="",$N$1="",$M$16&lt;&gt;"C"),"",IFERROR(HLOOKUP($B187,$O$63:Z249,$N$1+1)*IF($D187&gt;42,$D187/30,1),0)+HLOOKUP($B187,$O$78:$Z$80,2)*MIN(3*IF($D187&gt;42,$D187/30,1),$J187)+HLOOKUP($B187,$O$78:$Z$80,3)*MAX(0,$J187-3*IF($D187&gt;42,$D187/30,1)))</f>
        <v>#N/A</v>
      </c>
      <c r="J187" s="55" t="e">
        <f t="shared" ca="1" si="70"/>
        <v>#N/A</v>
      </c>
      <c r="K187" t="e">
        <f t="shared" ca="1" si="71"/>
        <v>#N/A</v>
      </c>
      <c r="L187" s="142">
        <f t="shared" ca="1" si="72"/>
        <v>0</v>
      </c>
    </row>
    <row r="188" spans="1:12" x14ac:dyDescent="0.2">
      <c r="A188" s="2" t="e">
        <f t="shared" ca="1" si="61"/>
        <v>#N/A</v>
      </c>
      <c r="B188" s="4" t="e">
        <f t="shared" ca="1" si="69"/>
        <v>#N/A</v>
      </c>
      <c r="C188" s="17" t="e">
        <f t="shared" ca="1" si="62"/>
        <v>#N/A</v>
      </c>
      <c r="D188" s="17" t="e">
        <f t="shared" ca="1" si="63"/>
        <v>#N/A</v>
      </c>
      <c r="E188" s="47" t="e">
        <f t="shared" ca="1" si="64"/>
        <v>#N/A</v>
      </c>
      <c r="F188" s="168" t="e">
        <f t="shared" ca="1" si="65"/>
        <v>#N/A</v>
      </c>
      <c r="G188" s="19" t="e">
        <f t="shared" ca="1" si="66"/>
        <v>#N/A</v>
      </c>
      <c r="H188" s="19" t="e">
        <f t="shared" ca="1" si="67"/>
        <v>#N/A</v>
      </c>
      <c r="I188" s="19" t="e">
        <f ca="1">IF(OR($A188="",$N$1="",$M$16&lt;&gt;"C"),"",IFERROR(HLOOKUP($B188,$O$63:Z250,$N$1+1)*IF($D188&gt;42,$D188/30,1),0)+HLOOKUP($B188,$O$78:$Z$80,2)*MIN(3*IF($D188&gt;42,$D188/30,1),$J188)+HLOOKUP($B188,$O$78:$Z$80,3)*MAX(0,$J188-3*IF($D188&gt;42,$D188/30,1)))</f>
        <v>#N/A</v>
      </c>
      <c r="J188" s="55" t="e">
        <f t="shared" ca="1" si="70"/>
        <v>#N/A</v>
      </c>
      <c r="K188" t="e">
        <f t="shared" ca="1" si="71"/>
        <v>#N/A</v>
      </c>
      <c r="L188" s="142">
        <f t="shared" ca="1" si="72"/>
        <v>0</v>
      </c>
    </row>
    <row r="189" spans="1:12" x14ac:dyDescent="0.2">
      <c r="A189" s="2" t="e">
        <f t="shared" ca="1" si="61"/>
        <v>#N/A</v>
      </c>
      <c r="B189" s="4" t="e">
        <f t="shared" ca="1" si="69"/>
        <v>#N/A</v>
      </c>
      <c r="C189" s="17" t="e">
        <f t="shared" ca="1" si="62"/>
        <v>#N/A</v>
      </c>
      <c r="D189" s="17" t="e">
        <f t="shared" ca="1" si="63"/>
        <v>#N/A</v>
      </c>
      <c r="E189" s="47" t="e">
        <f t="shared" ca="1" si="64"/>
        <v>#N/A</v>
      </c>
      <c r="F189" s="168" t="e">
        <f t="shared" ca="1" si="65"/>
        <v>#N/A</v>
      </c>
      <c r="G189" s="19" t="e">
        <f t="shared" ca="1" si="66"/>
        <v>#N/A</v>
      </c>
      <c r="H189" s="19" t="e">
        <f t="shared" ca="1" si="67"/>
        <v>#N/A</v>
      </c>
      <c r="I189" s="19" t="e">
        <f ca="1">IF(OR($A189="",$N$1="",$M$16&lt;&gt;"C"),"",IFERROR(HLOOKUP($B189,$O$63:Z251,$N$1+1)*IF($D189&gt;42,$D189/30,1),0)+HLOOKUP($B189,$O$78:$Z$80,2)*MIN(3*IF($D189&gt;42,$D189/30,1),$J189)+HLOOKUP($B189,$O$78:$Z$80,3)*MAX(0,$J189-3*IF($D189&gt;42,$D189/30,1)))</f>
        <v>#N/A</v>
      </c>
      <c r="J189" s="55" t="e">
        <f t="shared" ca="1" si="70"/>
        <v>#N/A</v>
      </c>
      <c r="K189" t="e">
        <f t="shared" ca="1" si="71"/>
        <v>#N/A</v>
      </c>
      <c r="L189" s="142">
        <f t="shared" ca="1" si="72"/>
        <v>0</v>
      </c>
    </row>
    <row r="190" spans="1:12" x14ac:dyDescent="0.2">
      <c r="A190" s="2" t="e">
        <f t="shared" ca="1" si="61"/>
        <v>#N/A</v>
      </c>
      <c r="B190" s="4" t="e">
        <f t="shared" ca="1" si="69"/>
        <v>#N/A</v>
      </c>
      <c r="C190" s="17" t="e">
        <f t="shared" ca="1" si="62"/>
        <v>#N/A</v>
      </c>
      <c r="D190" s="17" t="e">
        <f t="shared" ca="1" si="63"/>
        <v>#N/A</v>
      </c>
      <c r="E190" s="47" t="e">
        <f t="shared" ca="1" si="64"/>
        <v>#N/A</v>
      </c>
      <c r="F190" s="168" t="e">
        <f t="shared" ca="1" si="65"/>
        <v>#N/A</v>
      </c>
      <c r="G190" s="19" t="e">
        <f t="shared" ca="1" si="66"/>
        <v>#N/A</v>
      </c>
      <c r="H190" s="19" t="e">
        <f t="shared" ca="1" si="67"/>
        <v>#N/A</v>
      </c>
      <c r="I190" s="19" t="e">
        <f ca="1">IF(OR($A190="",$N$1="",$M$16&lt;&gt;"C"),"",IFERROR(HLOOKUP($B190,$O$63:Z252,$N$1+1)*IF($D190&gt;42,$D190/30,1),0)+HLOOKUP($B190,$O$78:$Z$80,2)*MIN(3*IF($D190&gt;42,$D190/30,1),$J190)+HLOOKUP($B190,$O$78:$Z$80,3)*MAX(0,$J190-3*IF($D190&gt;42,$D190/30,1)))</f>
        <v>#N/A</v>
      </c>
      <c r="J190" s="55" t="e">
        <f t="shared" ca="1" si="70"/>
        <v>#N/A</v>
      </c>
      <c r="K190" t="e">
        <f t="shared" ca="1" si="71"/>
        <v>#N/A</v>
      </c>
      <c r="L190" s="142">
        <f t="shared" ca="1" si="72"/>
        <v>0</v>
      </c>
    </row>
    <row r="191" spans="1:12" x14ac:dyDescent="0.2">
      <c r="A191" s="2" t="e">
        <f t="shared" ca="1" si="61"/>
        <v>#N/A</v>
      </c>
      <c r="B191" s="4" t="e">
        <f t="shared" ca="1" si="69"/>
        <v>#N/A</v>
      </c>
      <c r="C191" s="17" t="e">
        <f t="shared" ca="1" si="62"/>
        <v>#N/A</v>
      </c>
      <c r="D191" s="17" t="e">
        <f t="shared" ca="1" si="63"/>
        <v>#N/A</v>
      </c>
      <c r="E191" s="47" t="e">
        <f t="shared" ca="1" si="64"/>
        <v>#N/A</v>
      </c>
      <c r="F191" s="168" t="e">
        <f t="shared" ca="1" si="65"/>
        <v>#N/A</v>
      </c>
      <c r="G191" s="19" t="e">
        <f t="shared" ca="1" si="66"/>
        <v>#N/A</v>
      </c>
      <c r="H191" s="19" t="e">
        <f t="shared" ca="1" si="67"/>
        <v>#N/A</v>
      </c>
      <c r="I191" s="19" t="e">
        <f ca="1">IF(OR($A191="",$N$1="",$M$16&lt;&gt;"C"),"",IFERROR(HLOOKUP($B191,$O$63:Z253,$N$1+1)*IF($D191&gt;42,$D191/30,1),0)+HLOOKUP($B191,$O$78:$Z$80,2)*MIN(3*IF($D191&gt;42,$D191/30,1),$J191)+HLOOKUP($B191,$O$78:$Z$80,3)*MAX(0,$J191-3*IF($D191&gt;42,$D191/30,1)))</f>
        <v>#N/A</v>
      </c>
      <c r="J191" s="55" t="e">
        <f t="shared" ca="1" si="70"/>
        <v>#N/A</v>
      </c>
      <c r="K191" t="e">
        <f t="shared" ca="1" si="71"/>
        <v>#N/A</v>
      </c>
      <c r="L191" s="142">
        <f t="shared" ca="1" si="72"/>
        <v>0</v>
      </c>
    </row>
    <row r="192" spans="1:12" x14ac:dyDescent="0.2">
      <c r="A192" s="2" t="e">
        <f t="shared" ca="1" si="61"/>
        <v>#N/A</v>
      </c>
      <c r="B192" s="4" t="e">
        <f t="shared" ca="1" si="69"/>
        <v>#N/A</v>
      </c>
      <c r="C192" s="17" t="e">
        <f t="shared" ca="1" si="62"/>
        <v>#N/A</v>
      </c>
      <c r="D192" s="17" t="e">
        <f t="shared" ca="1" si="63"/>
        <v>#N/A</v>
      </c>
      <c r="E192" s="47" t="e">
        <f t="shared" ca="1" si="64"/>
        <v>#N/A</v>
      </c>
      <c r="F192" s="168" t="e">
        <f t="shared" ca="1" si="65"/>
        <v>#N/A</v>
      </c>
      <c r="G192" s="19" t="e">
        <f t="shared" ca="1" si="66"/>
        <v>#N/A</v>
      </c>
      <c r="H192" s="19" t="e">
        <f t="shared" ca="1" si="67"/>
        <v>#N/A</v>
      </c>
      <c r="I192" s="19" t="e">
        <f ca="1">IF(OR($A192="",$N$1="",$M$16&lt;&gt;"C"),"",IFERROR(HLOOKUP($B192,$O$63:Z254,$N$1+1)*IF($D192&gt;42,$D192/30,1),0)+HLOOKUP($B192,$O$78:$Z$80,2)*MIN(3*IF($D192&gt;42,$D192/30,1),$J192)+HLOOKUP($B192,$O$78:$Z$80,3)*MAX(0,$J192-3*IF($D192&gt;42,$D192/30,1)))</f>
        <v>#N/A</v>
      </c>
      <c r="J192" s="55" t="e">
        <f t="shared" ca="1" si="70"/>
        <v>#N/A</v>
      </c>
      <c r="K192" t="e">
        <f t="shared" ca="1" si="71"/>
        <v>#N/A</v>
      </c>
      <c r="L192" s="142">
        <f t="shared" ca="1" si="72"/>
        <v>0</v>
      </c>
    </row>
    <row r="193" spans="1:12" x14ac:dyDescent="0.2">
      <c r="A193" s="2" t="e">
        <f t="shared" ca="1" si="61"/>
        <v>#N/A</v>
      </c>
      <c r="B193" s="4" t="e">
        <f t="shared" ca="1" si="69"/>
        <v>#N/A</v>
      </c>
      <c r="C193" s="17" t="e">
        <f t="shared" ca="1" si="62"/>
        <v>#N/A</v>
      </c>
      <c r="D193" s="17" t="e">
        <f t="shared" ca="1" si="63"/>
        <v>#N/A</v>
      </c>
      <c r="E193" s="47" t="e">
        <f t="shared" ca="1" si="64"/>
        <v>#N/A</v>
      </c>
      <c r="F193" s="168" t="e">
        <f t="shared" ca="1" si="65"/>
        <v>#N/A</v>
      </c>
      <c r="G193" s="19" t="e">
        <f t="shared" ca="1" si="66"/>
        <v>#N/A</v>
      </c>
      <c r="H193" s="19" t="e">
        <f t="shared" ca="1" si="67"/>
        <v>#N/A</v>
      </c>
      <c r="I193" s="19" t="e">
        <f ca="1">IF(OR($A193="",$N$1="",$M$16&lt;&gt;"C"),"",IFERROR(HLOOKUP($B193,$O$63:Z255,$N$1+1)*IF($D193&gt;42,$D193/30,1),0)+HLOOKUP($B193,$O$78:$Z$80,2)*MIN(3*IF($D193&gt;42,$D193/30,1),$J193)+HLOOKUP($B193,$O$78:$Z$80,3)*MAX(0,$J193-3*IF($D193&gt;42,$D193/30,1)))</f>
        <v>#N/A</v>
      </c>
      <c r="J193" s="55" t="e">
        <f t="shared" ca="1" si="70"/>
        <v>#N/A</v>
      </c>
      <c r="K193" t="e">
        <f t="shared" ca="1" si="71"/>
        <v>#N/A</v>
      </c>
      <c r="L193" s="142">
        <f t="shared" ca="1" si="72"/>
        <v>0</v>
      </c>
    </row>
    <row r="194" spans="1:12" x14ac:dyDescent="0.2">
      <c r="A194" s="2" t="e">
        <f t="shared" ca="1" si="61"/>
        <v>#N/A</v>
      </c>
      <c r="B194" s="4" t="e">
        <f t="shared" ca="1" si="69"/>
        <v>#N/A</v>
      </c>
      <c r="C194" s="17" t="e">
        <f t="shared" ca="1" si="62"/>
        <v>#N/A</v>
      </c>
      <c r="D194" s="17" t="e">
        <f t="shared" ca="1" si="63"/>
        <v>#N/A</v>
      </c>
      <c r="E194" s="47" t="e">
        <f t="shared" ca="1" si="64"/>
        <v>#N/A</v>
      </c>
      <c r="F194" s="168" t="e">
        <f t="shared" ca="1" si="65"/>
        <v>#N/A</v>
      </c>
      <c r="G194" s="19" t="e">
        <f t="shared" ca="1" si="66"/>
        <v>#N/A</v>
      </c>
      <c r="H194" s="19" t="e">
        <f t="shared" ca="1" si="67"/>
        <v>#N/A</v>
      </c>
      <c r="I194" s="19" t="e">
        <f ca="1">IF(OR($A194="",$N$1="",$M$16&lt;&gt;"C"),"",IFERROR(HLOOKUP($B194,$O$63:Z256,$N$1+1)*IF($D194&gt;42,$D194/30,1),0)+HLOOKUP($B194,$O$78:$Z$80,2)*MIN(3*IF($D194&gt;42,$D194/30,1),$J194)+HLOOKUP($B194,$O$78:$Z$80,3)*MAX(0,$J194-3*IF($D194&gt;42,$D194/30,1)))</f>
        <v>#N/A</v>
      </c>
      <c r="J194" s="55" t="e">
        <f t="shared" ca="1" si="70"/>
        <v>#N/A</v>
      </c>
      <c r="K194" t="e">
        <f t="shared" ca="1" si="71"/>
        <v>#N/A</v>
      </c>
      <c r="L194" s="142">
        <f t="shared" ca="1" si="72"/>
        <v>0</v>
      </c>
    </row>
    <row r="195" spans="1:12" x14ac:dyDescent="0.2">
      <c r="A195" s="2" t="e">
        <f t="shared" ca="1" si="61"/>
        <v>#N/A</v>
      </c>
      <c r="B195" s="4" t="e">
        <f t="shared" ca="1" si="69"/>
        <v>#N/A</v>
      </c>
      <c r="C195" s="17" t="e">
        <f t="shared" ca="1" si="62"/>
        <v>#N/A</v>
      </c>
      <c r="D195" s="17" t="e">
        <f t="shared" ca="1" si="63"/>
        <v>#N/A</v>
      </c>
      <c r="E195" s="47" t="e">
        <f t="shared" ca="1" si="64"/>
        <v>#N/A</v>
      </c>
      <c r="F195" s="168" t="e">
        <f t="shared" ca="1" si="65"/>
        <v>#N/A</v>
      </c>
      <c r="G195" s="19" t="e">
        <f t="shared" ca="1" si="66"/>
        <v>#N/A</v>
      </c>
      <c r="H195" s="19" t="e">
        <f t="shared" ca="1" si="67"/>
        <v>#N/A</v>
      </c>
      <c r="I195" s="19" t="e">
        <f ca="1">IF(OR($A195="",$N$1="",$M$16&lt;&gt;"C"),"",IFERROR(HLOOKUP($B195,$O$63:Z257,$N$1+1)*IF($D195&gt;42,$D195/30,1),0)+HLOOKUP($B195,$O$78:$Z$80,2)*MIN(3*IF($D195&gt;42,$D195/30,1),$J195)+HLOOKUP($B195,$O$78:$Z$80,3)*MAX(0,$J195-3*IF($D195&gt;42,$D195/30,1)))</f>
        <v>#N/A</v>
      </c>
      <c r="J195" s="55" t="e">
        <f t="shared" ca="1" si="70"/>
        <v>#N/A</v>
      </c>
      <c r="K195" t="e">
        <f t="shared" ca="1" si="71"/>
        <v>#N/A</v>
      </c>
      <c r="L195" s="142">
        <f t="shared" ca="1" si="72"/>
        <v>0</v>
      </c>
    </row>
    <row r="196" spans="1:12" x14ac:dyDescent="0.2">
      <c r="A196" s="2" t="e">
        <f t="shared" ca="1" si="61"/>
        <v>#N/A</v>
      </c>
      <c r="B196" s="4" t="e">
        <f t="shared" ca="1" si="69"/>
        <v>#N/A</v>
      </c>
      <c r="C196" s="17" t="e">
        <f t="shared" ca="1" si="62"/>
        <v>#N/A</v>
      </c>
      <c r="D196" s="17" t="e">
        <f t="shared" ca="1" si="63"/>
        <v>#N/A</v>
      </c>
      <c r="E196" s="47" t="e">
        <f t="shared" ca="1" si="64"/>
        <v>#N/A</v>
      </c>
      <c r="F196" s="168" t="e">
        <f t="shared" ca="1" si="65"/>
        <v>#N/A</v>
      </c>
      <c r="G196" s="19" t="e">
        <f t="shared" ca="1" si="66"/>
        <v>#N/A</v>
      </c>
      <c r="H196" s="19" t="e">
        <f t="shared" ca="1" si="67"/>
        <v>#N/A</v>
      </c>
      <c r="I196" s="19" t="e">
        <f ca="1">IF(OR($A196="",$N$1="",$M$16&lt;&gt;"C"),"",IFERROR(HLOOKUP($B196,$O$63:Z258,$N$1+1)*IF($D196&gt;42,$D196/30,1),0)+HLOOKUP($B196,$O$78:$Z$80,2)*MIN(3*IF($D196&gt;42,$D196/30,1),$J196)+HLOOKUP($B196,$O$78:$Z$80,3)*MAX(0,$J196-3*IF($D196&gt;42,$D196/30,1)))</f>
        <v>#N/A</v>
      </c>
      <c r="J196" s="55" t="e">
        <f t="shared" ca="1" si="70"/>
        <v>#N/A</v>
      </c>
      <c r="K196" t="e">
        <f t="shared" ca="1" si="71"/>
        <v>#N/A</v>
      </c>
      <c r="L196" s="142">
        <f t="shared" ca="1" si="72"/>
        <v>0</v>
      </c>
    </row>
    <row r="197" spans="1:12" x14ac:dyDescent="0.2">
      <c r="A197" s="2" t="e">
        <f t="shared" ca="1" si="61"/>
        <v>#N/A</v>
      </c>
      <c r="B197" s="4" t="e">
        <f t="shared" ca="1" si="69"/>
        <v>#N/A</v>
      </c>
      <c r="C197" s="17" t="e">
        <f t="shared" ca="1" si="62"/>
        <v>#N/A</v>
      </c>
      <c r="D197" s="17" t="e">
        <f t="shared" ca="1" si="63"/>
        <v>#N/A</v>
      </c>
      <c r="E197" s="47" t="e">
        <f t="shared" ca="1" si="64"/>
        <v>#N/A</v>
      </c>
      <c r="F197" s="168" t="e">
        <f t="shared" ca="1" si="65"/>
        <v>#N/A</v>
      </c>
      <c r="G197" s="19" t="e">
        <f t="shared" ca="1" si="66"/>
        <v>#N/A</v>
      </c>
      <c r="H197" s="19" t="e">
        <f t="shared" ca="1" si="67"/>
        <v>#N/A</v>
      </c>
      <c r="I197" s="19" t="e">
        <f ca="1">IF(OR($A197="",$N$1="",$M$16&lt;&gt;"C"),"",IFERROR(HLOOKUP($B197,$O$63:Z259,$N$1+1)*IF($D197&gt;42,$D197/30,1),0)+HLOOKUP($B197,$O$78:$Z$80,2)*MIN(3*IF($D197&gt;42,$D197/30,1),$J197)+HLOOKUP($B197,$O$78:$Z$80,3)*MAX(0,$J197-3*IF($D197&gt;42,$D197/30,1)))</f>
        <v>#N/A</v>
      </c>
      <c r="J197" s="55" t="e">
        <f t="shared" ca="1" si="70"/>
        <v>#N/A</v>
      </c>
      <c r="K197" t="e">
        <f t="shared" ca="1" si="71"/>
        <v>#N/A</v>
      </c>
      <c r="L197" s="142">
        <f t="shared" ca="1" si="72"/>
        <v>0</v>
      </c>
    </row>
    <row r="198" spans="1:12" x14ac:dyDescent="0.2">
      <c r="A198" s="2" t="e">
        <f t="shared" ca="1" si="61"/>
        <v>#N/A</v>
      </c>
      <c r="B198" s="4" t="e">
        <f t="shared" ca="1" si="69"/>
        <v>#N/A</v>
      </c>
      <c r="C198" s="17" t="e">
        <f t="shared" ca="1" si="62"/>
        <v>#N/A</v>
      </c>
      <c r="D198" s="17" t="e">
        <f t="shared" ca="1" si="63"/>
        <v>#N/A</v>
      </c>
      <c r="E198" s="47" t="e">
        <f t="shared" ca="1" si="64"/>
        <v>#N/A</v>
      </c>
      <c r="F198" s="168" t="e">
        <f t="shared" ca="1" si="65"/>
        <v>#N/A</v>
      </c>
      <c r="G198" s="19" t="e">
        <f t="shared" ca="1" si="66"/>
        <v>#N/A</v>
      </c>
      <c r="H198" s="19" t="e">
        <f t="shared" ca="1" si="67"/>
        <v>#N/A</v>
      </c>
      <c r="I198" s="19" t="e">
        <f ca="1">IF(OR($A198="",$N$1="",$M$16&lt;&gt;"C"),"",IFERROR(HLOOKUP($B198,$O$63:Z260,$N$1+1)*IF($D198&gt;42,$D198/30,1),0)+HLOOKUP($B198,$O$78:$Z$80,2)*MIN(3*IF($D198&gt;42,$D198/30,1),$J198)+HLOOKUP($B198,$O$78:$Z$80,3)*MAX(0,$J198-3*IF($D198&gt;42,$D198/30,1)))</f>
        <v>#N/A</v>
      </c>
      <c r="J198" s="55" t="e">
        <f t="shared" ca="1" si="70"/>
        <v>#N/A</v>
      </c>
      <c r="K198" t="e">
        <f t="shared" ca="1" si="71"/>
        <v>#N/A</v>
      </c>
      <c r="L198" s="142">
        <f t="shared" ca="1" si="72"/>
        <v>0</v>
      </c>
    </row>
    <row r="199" spans="1:12" x14ac:dyDescent="0.2">
      <c r="A199" s="2" t="e">
        <f t="shared" ca="1" si="61"/>
        <v>#N/A</v>
      </c>
      <c r="B199" s="4" t="e">
        <f t="shared" ca="1" si="69"/>
        <v>#N/A</v>
      </c>
      <c r="C199" s="17" t="e">
        <f t="shared" ca="1" si="62"/>
        <v>#N/A</v>
      </c>
      <c r="D199" s="17" t="e">
        <f t="shared" ca="1" si="63"/>
        <v>#N/A</v>
      </c>
      <c r="E199" s="47" t="e">
        <f t="shared" ca="1" si="64"/>
        <v>#N/A</v>
      </c>
      <c r="F199" s="168" t="e">
        <f t="shared" ca="1" si="65"/>
        <v>#N/A</v>
      </c>
      <c r="G199" s="19" t="e">
        <f t="shared" ca="1" si="66"/>
        <v>#N/A</v>
      </c>
      <c r="H199" s="19" t="e">
        <f t="shared" ca="1" si="67"/>
        <v>#N/A</v>
      </c>
      <c r="I199" s="19" t="e">
        <f ca="1">IF(OR($A199="",$N$1="",$M$16&lt;&gt;"C"),"",IFERROR(HLOOKUP($B199,$O$63:Z261,$N$1+1)*IF($D199&gt;42,$D199/30,1),0)+HLOOKUP($B199,$O$78:$Z$80,2)*MIN(3*IF($D199&gt;42,$D199/30,1),$J199)+HLOOKUP($B199,$O$78:$Z$80,3)*MAX(0,$J199-3*IF($D199&gt;42,$D199/30,1)))</f>
        <v>#N/A</v>
      </c>
      <c r="J199" s="55" t="e">
        <f t="shared" ca="1" si="70"/>
        <v>#N/A</v>
      </c>
      <c r="K199" t="e">
        <f t="shared" ca="1" si="71"/>
        <v>#N/A</v>
      </c>
      <c r="L199" s="142">
        <f t="shared" ca="1" si="72"/>
        <v>0</v>
      </c>
    </row>
    <row r="200" spans="1:12" x14ac:dyDescent="0.2">
      <c r="A200" s="2" t="e">
        <f t="shared" ca="1" si="61"/>
        <v>#N/A</v>
      </c>
      <c r="B200" s="4" t="e">
        <f t="shared" ca="1" si="69"/>
        <v>#N/A</v>
      </c>
      <c r="C200" s="17" t="e">
        <f t="shared" ca="1" si="62"/>
        <v>#N/A</v>
      </c>
      <c r="D200" s="17" t="e">
        <f t="shared" ca="1" si="63"/>
        <v>#N/A</v>
      </c>
      <c r="E200" s="47" t="e">
        <f t="shared" ca="1" si="64"/>
        <v>#N/A</v>
      </c>
      <c r="F200" s="168" t="e">
        <f t="shared" ca="1" si="65"/>
        <v>#N/A</v>
      </c>
      <c r="G200" s="19" t="e">
        <f t="shared" ca="1" si="66"/>
        <v>#N/A</v>
      </c>
      <c r="H200" s="19" t="e">
        <f t="shared" ca="1" si="67"/>
        <v>#N/A</v>
      </c>
      <c r="I200" s="19" t="e">
        <f ca="1">IF(OR($A200="",$N$1="",$M$16&lt;&gt;"C"),"",IFERROR(HLOOKUP($B200,$O$63:Z262,$N$1+1)*IF($D200&gt;42,$D200/30,1),0)+HLOOKUP($B200,$O$78:$Z$80,2)*MIN(3*IF($D200&gt;42,$D200/30,1),$J200)+HLOOKUP($B200,$O$78:$Z$80,3)*MAX(0,$J200-3*IF($D200&gt;42,$D200/30,1)))</f>
        <v>#N/A</v>
      </c>
      <c r="J200" s="55" t="e">
        <f t="shared" ca="1" si="70"/>
        <v>#N/A</v>
      </c>
      <c r="K200" t="e">
        <f t="shared" ca="1" si="71"/>
        <v>#N/A</v>
      </c>
      <c r="L200" s="142">
        <f t="shared" ca="1" si="72"/>
        <v>0</v>
      </c>
    </row>
    <row r="201" spans="1:12" x14ac:dyDescent="0.2">
      <c r="A201" s="2" t="e">
        <f t="shared" ca="1" si="61"/>
        <v>#N/A</v>
      </c>
      <c r="B201" s="4" t="e">
        <f t="shared" ca="1" si="69"/>
        <v>#N/A</v>
      </c>
      <c r="C201" s="17" t="e">
        <f t="shared" ca="1" si="62"/>
        <v>#N/A</v>
      </c>
      <c r="D201" s="17" t="e">
        <f t="shared" ca="1" si="63"/>
        <v>#N/A</v>
      </c>
      <c r="E201" s="47" t="e">
        <f t="shared" ca="1" si="64"/>
        <v>#N/A</v>
      </c>
      <c r="F201" s="168" t="e">
        <f t="shared" ca="1" si="65"/>
        <v>#N/A</v>
      </c>
      <c r="G201" s="19" t="e">
        <f t="shared" ca="1" si="66"/>
        <v>#N/A</v>
      </c>
      <c r="H201" s="19" t="e">
        <f t="shared" ca="1" si="67"/>
        <v>#N/A</v>
      </c>
      <c r="I201" s="19" t="e">
        <f ca="1">IF(OR($A201="",$N$1="",$M$16&lt;&gt;"C"),"",IFERROR(HLOOKUP($B201,$O$63:Z263,$N$1+1)*IF($D201&gt;42,$D201/30,1),0)+HLOOKUP($B201,$O$78:$Z$80,2)*MIN(3*IF($D201&gt;42,$D201/30,1),$J201)+HLOOKUP($B201,$O$78:$Z$80,3)*MAX(0,$J201-3*IF($D201&gt;42,$D201/30,1)))</f>
        <v>#N/A</v>
      </c>
      <c r="J201" s="55" t="e">
        <f t="shared" ca="1" si="70"/>
        <v>#N/A</v>
      </c>
      <c r="K201" t="e">
        <f t="shared" ca="1" si="71"/>
        <v>#N/A</v>
      </c>
      <c r="L201" s="142">
        <f t="shared" ca="1" si="72"/>
        <v>0</v>
      </c>
    </row>
    <row r="202" spans="1:12" x14ac:dyDescent="0.2">
      <c r="A202" s="2" t="e">
        <f t="shared" ca="1" si="61"/>
        <v>#N/A</v>
      </c>
      <c r="B202" s="4" t="e">
        <f t="shared" ca="1" si="69"/>
        <v>#N/A</v>
      </c>
      <c r="C202" s="17" t="e">
        <f t="shared" ca="1" si="62"/>
        <v>#N/A</v>
      </c>
      <c r="D202" s="17" t="e">
        <f t="shared" ca="1" si="63"/>
        <v>#N/A</v>
      </c>
      <c r="E202" s="47" t="e">
        <f t="shared" ca="1" si="64"/>
        <v>#N/A</v>
      </c>
      <c r="F202" s="168" t="e">
        <f t="shared" ca="1" si="65"/>
        <v>#N/A</v>
      </c>
      <c r="G202" s="19" t="e">
        <f t="shared" ca="1" si="66"/>
        <v>#N/A</v>
      </c>
      <c r="H202" s="19" t="e">
        <f t="shared" ca="1" si="67"/>
        <v>#N/A</v>
      </c>
      <c r="I202" s="19" t="e">
        <f ca="1">IF(OR($A202="",$N$1="",$M$16&lt;&gt;"C"),"",IFERROR(HLOOKUP($B202,$O$63:Z264,$N$1+1)*IF($D202&gt;42,$D202/30,1),0)+HLOOKUP($B202,$O$78:$Z$80,2)*MIN(3*IF($D202&gt;42,$D202/30,1),$J202)+HLOOKUP($B202,$O$78:$Z$80,3)*MAX(0,$J202-3*IF($D202&gt;42,$D202/30,1)))</f>
        <v>#N/A</v>
      </c>
      <c r="J202" s="55" t="e">
        <f t="shared" ca="1" si="70"/>
        <v>#N/A</v>
      </c>
      <c r="K202" t="e">
        <f t="shared" ca="1" si="71"/>
        <v>#N/A</v>
      </c>
      <c r="L202" s="142">
        <f t="shared" ca="1" si="72"/>
        <v>0</v>
      </c>
    </row>
    <row r="203" spans="1:12" x14ac:dyDescent="0.2">
      <c r="A203" s="2" t="e">
        <f t="shared" ca="1" si="61"/>
        <v>#N/A</v>
      </c>
      <c r="B203" s="4" t="e">
        <f t="shared" ca="1" si="69"/>
        <v>#N/A</v>
      </c>
      <c r="C203" s="17" t="e">
        <f t="shared" ca="1" si="62"/>
        <v>#N/A</v>
      </c>
      <c r="D203" s="17" t="e">
        <f t="shared" ca="1" si="63"/>
        <v>#N/A</v>
      </c>
      <c r="E203" s="47" t="e">
        <f t="shared" ca="1" si="64"/>
        <v>#N/A</v>
      </c>
      <c r="F203" s="168" t="e">
        <f t="shared" ca="1" si="65"/>
        <v>#N/A</v>
      </c>
      <c r="G203" s="19" t="e">
        <f t="shared" ca="1" si="66"/>
        <v>#N/A</v>
      </c>
      <c r="H203" s="19" t="e">
        <f t="shared" ca="1" si="67"/>
        <v>#N/A</v>
      </c>
      <c r="I203" s="19" t="e">
        <f ca="1">IF(OR($A203="",$N$1="",$M$16&lt;&gt;"C"),"",IFERROR(HLOOKUP($B203,$O$63:Z265,$N$1+1)*IF($D203&gt;42,$D203/30,1),0)+HLOOKUP($B203,$O$78:$Z$80,2)*MIN(3*IF($D203&gt;42,$D203/30,1),$J203)+HLOOKUP($B203,$O$78:$Z$80,3)*MAX(0,$J203-3*IF($D203&gt;42,$D203/30,1)))</f>
        <v>#N/A</v>
      </c>
      <c r="J203" s="55" t="e">
        <f t="shared" ca="1" si="70"/>
        <v>#N/A</v>
      </c>
      <c r="K203" t="e">
        <f t="shared" ca="1" si="71"/>
        <v>#N/A</v>
      </c>
      <c r="L203" s="142">
        <f t="shared" ca="1" si="72"/>
        <v>0</v>
      </c>
    </row>
    <row r="204" spans="1:12" x14ac:dyDescent="0.2">
      <c r="A204" s="2" t="e">
        <f t="shared" ca="1" si="61"/>
        <v>#N/A</v>
      </c>
      <c r="B204" s="4" t="e">
        <f t="shared" ca="1" si="69"/>
        <v>#N/A</v>
      </c>
      <c r="C204" s="17" t="e">
        <f t="shared" ca="1" si="62"/>
        <v>#N/A</v>
      </c>
      <c r="D204" s="17" t="e">
        <f t="shared" ca="1" si="63"/>
        <v>#N/A</v>
      </c>
      <c r="E204" s="47" t="e">
        <f t="shared" ca="1" si="64"/>
        <v>#N/A</v>
      </c>
      <c r="F204" s="168" t="e">
        <f t="shared" ca="1" si="65"/>
        <v>#N/A</v>
      </c>
      <c r="G204" s="19" t="e">
        <f t="shared" ca="1" si="66"/>
        <v>#N/A</v>
      </c>
      <c r="H204" s="19" t="e">
        <f t="shared" ca="1" si="67"/>
        <v>#N/A</v>
      </c>
      <c r="I204" s="19" t="e">
        <f ca="1">IF(OR($A204="",$N$1="",$M$16&lt;&gt;"C"),"",IFERROR(HLOOKUP($B204,$O$63:Z266,$N$1+1)*IF($D204&gt;42,$D204/30,1),0)+HLOOKUP($B204,$O$78:$Z$80,2)*MIN(3*IF($D204&gt;42,$D204/30,1),$J204)+HLOOKUP($B204,$O$78:$Z$80,3)*MAX(0,$J204-3*IF($D204&gt;42,$D204/30,1)))</f>
        <v>#N/A</v>
      </c>
      <c r="J204" s="55" t="e">
        <f t="shared" ca="1" si="70"/>
        <v>#N/A</v>
      </c>
      <c r="K204" t="e">
        <f t="shared" ca="1" si="71"/>
        <v>#N/A</v>
      </c>
      <c r="L204" s="142">
        <f t="shared" ca="1" si="72"/>
        <v>0</v>
      </c>
    </row>
    <row r="205" spans="1:12" x14ac:dyDescent="0.2">
      <c r="A205" s="2" t="e">
        <f t="shared" ref="A205:A210" ca="1" si="73">IF(ROW()&gt;($M$15-$M$14+12),"",INDIRECT("'Reading History'!A"&amp;$K205+$M$14-1))</f>
        <v>#N/A</v>
      </c>
      <c r="B205" s="4" t="e">
        <f t="shared" ca="1" si="69"/>
        <v>#N/A</v>
      </c>
      <c r="C205" s="17" t="e">
        <f t="shared" ref="C205:C210" ca="1" si="74">IF($A205="","",INDIRECT("'Reading History'!G"&amp;$K205+$M$14-1))</f>
        <v>#N/A</v>
      </c>
      <c r="D205" s="17" t="e">
        <f t="shared" ref="D205:D210" ca="1" si="75">IF($A205="","",INDIRECT("'Reading History'!H"&amp;$K205+$M$14-1))</f>
        <v>#N/A</v>
      </c>
      <c r="E205" s="47" t="e">
        <f t="shared" ref="E205:E210" ca="1" si="76">IF($A205="","",INDIRECT("'Reading History'!I"&amp;$K205+$M$14-1))</f>
        <v>#N/A</v>
      </c>
      <c r="F205" s="168" t="e">
        <f t="shared" ref="F205:F210" ca="1" si="77">IF($A205="","",IF(RIGHT(INDIRECT("'Reading History'!E"&amp;$K205+$M$14-1),4)="Read",LEFT(INDIRECT("'Reading History'!E"&amp;$K205+$M$14-1),LEN(INDIRECT("'Reading History'!E"&amp;$K205+$M$14-1))-5),INDIRECT("'Reading History'!E"&amp;$K205+$M$14-1)))</f>
        <v>#N/A</v>
      </c>
      <c r="G205" s="19" t="e">
        <f t="shared" ref="G205:G210" ca="1" si="78">IF($A205="","",ROUND((+HLOOKUP($B205,$O$20:$W$31,$M$1+1)*IF($D205&gt;42,$D205/30,1)+HLOOKUP($B205,IF($M$1&lt;3,$O$35:$W$39,$O$43:$W$47),2)*MIN($E205,5*IF(D205&gt;42,D205/30,1))+HLOOKUP($B205,IF($M$1&lt;3,$O$35:$W$39,$O$43:$W$47),3)*MIN(5*IF(D205&gt;42,D205/30,1),MAX(0,$E205-5*IF(D205&gt;42,D205/30,1)))+HLOOKUP($B205,IF($M$1&lt;3,$O$35:$W$39,$O$43:$W$47),4)*MIN(990*IF(D205&gt;42,D205/30,1),MAX(0,$E205-10*IF(D205&gt;42,D205/30,1)))+HLOOKUP($B205,IF($M$1&lt;3,$O$35:$W$39,$O$43:$W$47),5)*MAX(0,$E205-1000*IF(D205&gt;42,D205/30,1)))*IF($M$16="O",1.3,1),2))</f>
        <v>#N/A</v>
      </c>
      <c r="H205" s="19" t="e">
        <f t="shared" ref="H205:H210" ca="1" si="79">IF(OR($A205="",$N$1=""),"",HLOOKUP($B205,$O$51:$Z$53,IF($M$16="C",2,3))*IF($D205&gt;42,$D205/30,1)+HLOOKUP($B205,$O$57:$Z$59,IF($M$16="C",2,3))*$J205)</f>
        <v>#N/A</v>
      </c>
      <c r="I205" s="19" t="e">
        <f ca="1">IF(OR($A205="",$N$1="",$M$16&lt;&gt;"C"),"",IFERROR(HLOOKUP($B205,$O$63:Z267,$N$1+1)*IF($D205&gt;42,$D205/30,1),0)+HLOOKUP($B205,$O$78:$Z$80,2)*MIN(3*IF($D205&gt;42,$D205/30,1),$J205)+HLOOKUP($B205,$O$78:$Z$80,3)*MAX(0,$J205-3*IF($D205&gt;42,$D205/30,1)))</f>
        <v>#N/A</v>
      </c>
      <c r="J205" s="55" t="e">
        <f t="shared" ca="1" si="70"/>
        <v>#N/A</v>
      </c>
      <c r="K205" t="e">
        <f t="shared" ca="1" si="71"/>
        <v>#N/A</v>
      </c>
      <c r="L205" s="142">
        <f t="shared" ca="1" si="72"/>
        <v>0</v>
      </c>
    </row>
    <row r="206" spans="1:12" x14ac:dyDescent="0.2">
      <c r="A206" s="2" t="e">
        <f t="shared" ca="1" si="73"/>
        <v>#N/A</v>
      </c>
      <c r="B206" s="4" t="e">
        <f t="shared" ca="1" si="69"/>
        <v>#N/A</v>
      </c>
      <c r="C206" s="17" t="e">
        <f t="shared" ca="1" si="74"/>
        <v>#N/A</v>
      </c>
      <c r="D206" s="17" t="e">
        <f t="shared" ca="1" si="75"/>
        <v>#N/A</v>
      </c>
      <c r="E206" s="47" t="e">
        <f t="shared" ca="1" si="76"/>
        <v>#N/A</v>
      </c>
      <c r="F206" s="168" t="e">
        <f t="shared" ca="1" si="77"/>
        <v>#N/A</v>
      </c>
      <c r="G206" s="19" t="e">
        <f t="shared" ca="1" si="78"/>
        <v>#N/A</v>
      </c>
      <c r="H206" s="19" t="e">
        <f t="shared" ca="1" si="79"/>
        <v>#N/A</v>
      </c>
      <c r="I206" s="19" t="e">
        <f ca="1">IF(OR($A206="",$N$1="",$M$16&lt;&gt;"C"),"",IFERROR(HLOOKUP($B206,$O$63:Z268,$N$1+1)*IF($D206&gt;42,$D206/30,1),0)+HLOOKUP($B206,$O$78:$Z$80,2)*MIN(3*IF($D206&gt;42,$D206/30,1),$J206)+HLOOKUP($B206,$O$78:$Z$80,3)*MAX(0,$J206-3*IF($D206&gt;42,$D206/30,1)))</f>
        <v>#N/A</v>
      </c>
      <c r="J206" s="55" t="e">
        <f t="shared" ca="1" si="70"/>
        <v>#N/A</v>
      </c>
      <c r="K206" t="e">
        <f t="shared" ca="1" si="71"/>
        <v>#N/A</v>
      </c>
      <c r="L206" s="142">
        <f t="shared" ca="1" si="72"/>
        <v>0</v>
      </c>
    </row>
    <row r="207" spans="1:12" x14ac:dyDescent="0.2">
      <c r="A207" s="2" t="e">
        <f t="shared" ca="1" si="73"/>
        <v>#N/A</v>
      </c>
      <c r="B207" s="4" t="e">
        <f t="shared" ca="1" si="69"/>
        <v>#N/A</v>
      </c>
      <c r="C207" s="17" t="e">
        <f t="shared" ca="1" si="74"/>
        <v>#N/A</v>
      </c>
      <c r="D207" s="17" t="e">
        <f t="shared" ca="1" si="75"/>
        <v>#N/A</v>
      </c>
      <c r="E207" s="47" t="e">
        <f t="shared" ca="1" si="76"/>
        <v>#N/A</v>
      </c>
      <c r="F207" s="168" t="e">
        <f t="shared" ca="1" si="77"/>
        <v>#N/A</v>
      </c>
      <c r="G207" s="19" t="e">
        <f t="shared" ca="1" si="78"/>
        <v>#N/A</v>
      </c>
      <c r="H207" s="19" t="e">
        <f t="shared" ca="1" si="79"/>
        <v>#N/A</v>
      </c>
      <c r="I207" s="19" t="e">
        <f ca="1">IF(OR($A207="",$N$1="",$M$16&lt;&gt;"C"),"",IFERROR(HLOOKUP($B207,$O$63:Z269,$N$1+1)*IF($D207&gt;42,$D207/30,1),0)+HLOOKUP($B207,$O$78:$Z$80,2)*MIN(3*IF($D207&gt;42,$D207/30,1),$J207)+HLOOKUP($B207,$O$78:$Z$80,3)*MAX(0,$J207-3*IF($D207&gt;42,$D207/30,1)))</f>
        <v>#N/A</v>
      </c>
      <c r="J207" s="55" t="e">
        <f t="shared" ca="1" si="70"/>
        <v>#N/A</v>
      </c>
      <c r="K207" t="e">
        <f t="shared" ca="1" si="71"/>
        <v>#N/A</v>
      </c>
      <c r="L207" s="142">
        <f t="shared" ca="1" si="72"/>
        <v>0</v>
      </c>
    </row>
    <row r="208" spans="1:12" x14ac:dyDescent="0.2">
      <c r="A208" s="2" t="e">
        <f t="shared" ca="1" si="73"/>
        <v>#N/A</v>
      </c>
      <c r="B208" s="4" t="e">
        <f t="shared" ca="1" si="69"/>
        <v>#N/A</v>
      </c>
      <c r="C208" s="17" t="e">
        <f t="shared" ca="1" si="74"/>
        <v>#N/A</v>
      </c>
      <c r="D208" s="17" t="e">
        <f t="shared" ca="1" si="75"/>
        <v>#N/A</v>
      </c>
      <c r="E208" s="47" t="e">
        <f t="shared" ca="1" si="76"/>
        <v>#N/A</v>
      </c>
      <c r="F208" s="168" t="e">
        <f t="shared" ca="1" si="77"/>
        <v>#N/A</v>
      </c>
      <c r="G208" s="19" t="e">
        <f t="shared" ca="1" si="78"/>
        <v>#N/A</v>
      </c>
      <c r="H208" s="19" t="e">
        <f t="shared" ca="1" si="79"/>
        <v>#N/A</v>
      </c>
      <c r="I208" s="19" t="e">
        <f ca="1">IF(OR($A208="",$N$1="",$M$16&lt;&gt;"C"),"",IFERROR(HLOOKUP($B208,$O$63:Z270,$N$1+1)*IF($D208&gt;42,$D208/30,1),0)+HLOOKUP($B208,$O$78:$Z$80,2)*MIN(3*IF($D208&gt;42,$D208/30,1),$J208)+HLOOKUP($B208,$O$78:$Z$80,3)*MAX(0,$J208-3*IF($D208&gt;42,$D208/30,1)))</f>
        <v>#N/A</v>
      </c>
      <c r="J208" s="55" t="e">
        <f t="shared" ca="1" si="70"/>
        <v>#N/A</v>
      </c>
      <c r="K208" t="e">
        <f t="shared" ca="1" si="71"/>
        <v>#N/A</v>
      </c>
      <c r="L208" s="142">
        <f t="shared" ca="1" si="72"/>
        <v>0</v>
      </c>
    </row>
    <row r="209" spans="1:12" x14ac:dyDescent="0.2">
      <c r="A209" s="2" t="e">
        <f t="shared" ca="1" si="73"/>
        <v>#N/A</v>
      </c>
      <c r="B209" s="4" t="e">
        <f t="shared" ca="1" si="69"/>
        <v>#N/A</v>
      </c>
      <c r="C209" s="17" t="e">
        <f t="shared" ca="1" si="74"/>
        <v>#N/A</v>
      </c>
      <c r="D209" s="17" t="e">
        <f t="shared" ca="1" si="75"/>
        <v>#N/A</v>
      </c>
      <c r="E209" s="47" t="e">
        <f t="shared" ca="1" si="76"/>
        <v>#N/A</v>
      </c>
      <c r="F209" s="168" t="e">
        <f t="shared" ca="1" si="77"/>
        <v>#N/A</v>
      </c>
      <c r="G209" s="19" t="e">
        <f t="shared" ca="1" si="78"/>
        <v>#N/A</v>
      </c>
      <c r="H209" s="19" t="e">
        <f t="shared" ca="1" si="79"/>
        <v>#N/A</v>
      </c>
      <c r="I209" s="19" t="e">
        <f ca="1">IF(OR($A209="",$N$1="",$M$16&lt;&gt;"C"),"",IFERROR(HLOOKUP($B209,$O$63:Z271,$N$1+1)*IF($D209&gt;42,$D209/30,1),0)+HLOOKUP($B209,$O$78:$Z$80,2)*MIN(3*IF($D209&gt;42,$D209/30,1),$J209)+HLOOKUP($B209,$O$78:$Z$80,3)*MAX(0,$J209-3*IF($D209&gt;42,$D209/30,1)))</f>
        <v>#N/A</v>
      </c>
      <c r="J209" s="55" t="e">
        <f t="shared" ca="1" si="70"/>
        <v>#N/A</v>
      </c>
      <c r="K209" t="e">
        <f t="shared" ca="1" si="71"/>
        <v>#N/A</v>
      </c>
      <c r="L209" s="142">
        <f t="shared" ca="1" si="72"/>
        <v>0</v>
      </c>
    </row>
    <row r="210" spans="1:12" x14ac:dyDescent="0.2">
      <c r="A210" s="2" t="e">
        <f t="shared" ca="1" si="73"/>
        <v>#N/A</v>
      </c>
      <c r="B210" s="4" t="e">
        <f t="shared" ca="1" si="69"/>
        <v>#N/A</v>
      </c>
      <c r="C210" s="17" t="e">
        <f t="shared" ca="1" si="74"/>
        <v>#N/A</v>
      </c>
      <c r="D210" s="17" t="e">
        <f t="shared" ca="1" si="75"/>
        <v>#N/A</v>
      </c>
      <c r="E210" s="47" t="e">
        <f t="shared" ca="1" si="76"/>
        <v>#N/A</v>
      </c>
      <c r="F210" s="168" t="e">
        <f t="shared" ca="1" si="77"/>
        <v>#N/A</v>
      </c>
      <c r="G210" s="19" t="e">
        <f t="shared" ca="1" si="78"/>
        <v>#N/A</v>
      </c>
      <c r="H210" s="19" t="e">
        <f t="shared" ca="1" si="79"/>
        <v>#N/A</v>
      </c>
      <c r="I210" s="19" t="e">
        <f ca="1">IF(OR($A210="",$N$1="",$M$16&lt;&gt;"C"),"",IFERROR(HLOOKUP($B210,$O$63:Z272,$N$1+1)*IF($D210&gt;42,$D210/30,1),0)+HLOOKUP($B210,$O$78:$Z$80,2)*MIN(3*IF($D210&gt;42,$D210/30,1),$J210)+HLOOKUP($B210,$O$78:$Z$80,3)*MAX(0,$J210-3*IF($D210&gt;42,$D210/30,1)))</f>
        <v>#N/A</v>
      </c>
      <c r="J210" s="55" t="e">
        <f t="shared" ca="1" si="70"/>
        <v>#N/A</v>
      </c>
      <c r="K210" t="e">
        <f t="shared" ca="1" si="71"/>
        <v>#N/A</v>
      </c>
      <c r="L210" s="142">
        <f t="shared" ca="1" si="72"/>
        <v>0</v>
      </c>
    </row>
  </sheetData>
  <mergeCells count="2">
    <mergeCell ref="G7:I7"/>
    <mergeCell ref="G8:I8"/>
  </mergeCells>
  <phoneticPr fontId="0" type="noConversion"/>
  <conditionalFormatting sqref="A14:I210 A12:F13">
    <cfRule type="expression" dxfId="22" priority="16">
      <formula>+$B12=$C$8</formula>
    </cfRule>
  </conditionalFormatting>
  <conditionalFormatting sqref="A7:B7">
    <cfRule type="expression" dxfId="21" priority="47">
      <formula>AND(LEFT($C$7,2)&lt;&gt;"C0",LEFT($C$7,2)&lt;&gt;"O0")</formula>
    </cfRule>
  </conditionalFormatting>
  <conditionalFormatting sqref="E10 J10:J210">
    <cfRule type="expression" dxfId="20" priority="40">
      <formula>ISNA($M$13)</formula>
    </cfRule>
  </conditionalFormatting>
  <conditionalFormatting sqref="B13:B210">
    <cfRule type="expression" dxfId="19" priority="15">
      <formula>$A13=""</formula>
    </cfRule>
  </conditionalFormatting>
  <conditionalFormatting sqref="M13 N1">
    <cfRule type="expression" dxfId="18" priority="27">
      <formula>ISNUMBER($M$13)</formula>
    </cfRule>
  </conditionalFormatting>
  <conditionalFormatting sqref="D12:D47">
    <cfRule type="expression" dxfId="17" priority="22">
      <formula>OR($D12&lt;25,$D12&gt;42)</formula>
    </cfRule>
  </conditionalFormatting>
  <conditionalFormatting sqref="O21:V31 O36:V39 O44:V47">
    <cfRule type="expression" dxfId="16" priority="50">
      <formula>AND(NOW()&gt;O$20,NOW()&lt;P$20)</formula>
    </cfRule>
  </conditionalFormatting>
  <conditionalFormatting sqref="O52:V53 O58:V59">
    <cfRule type="expression" dxfId="15" priority="57">
      <formula>AND(NOW()&gt;O$51,NOW()&lt;P$51)</formula>
    </cfRule>
  </conditionalFormatting>
  <conditionalFormatting sqref="O64:Y74 O79:Y80">
    <cfRule type="expression" dxfId="14" priority="61">
      <formula>AND(NOW()&gt;O$63,NOW()&lt;P$63)</formula>
    </cfRule>
  </conditionalFormatting>
  <conditionalFormatting sqref="W52:Y53 W58:Y59">
    <cfRule type="expression" dxfId="13" priority="2">
      <formula>AND(NOW()&gt;W$51,NOW()&lt;X$51)</formula>
    </cfRule>
  </conditionalFormatting>
  <conditionalFormatting sqref="G12:I210">
    <cfRule type="expression" dxfId="12" priority="1">
      <formula>+$B12=$C$8</formula>
    </cfRule>
  </conditionalFormatting>
  <dataValidations count="1">
    <dataValidation type="list" allowBlank="1" showInputMessage="1" showErrorMessage="1" sqref="C7" xr:uid="{00000000-0002-0000-0300-000000000000}">
      <formula1>$X$1:$X$21</formula1>
    </dataValidation>
  </dataValidations>
  <pageMargins left="0.75" right="0.5" top="0.5" bottom="0.6" header="0.5" footer="0.3"/>
  <pageSetup scale="92" fitToHeight="0" orientation="portrait" r:id="rId1"/>
  <headerFooter alignWithMargins="0">
    <oddFooter>&amp;L&amp;8 * 750 gallons per Unit of water&amp;C&amp;7Page #&amp;P&amp;R&amp;7printed 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C2:AE40"/>
  <sheetViews>
    <sheetView zoomScale="80" zoomScaleNormal="80" workbookViewId="0">
      <selection activeCell="C2" sqref="C2:G2"/>
    </sheetView>
  </sheetViews>
  <sheetFormatPr defaultRowHeight="12.75" x14ac:dyDescent="0.2"/>
  <cols>
    <col min="1" max="1" width="3.28515625" customWidth="1"/>
    <col min="8" max="8" width="15.42578125" customWidth="1"/>
    <col min="9" max="9" width="4.140625" customWidth="1"/>
    <col min="16" max="16" width="15.85546875" customWidth="1"/>
    <col min="17" max="17" width="4.140625" customWidth="1"/>
    <col min="24" max="24" width="15" customWidth="1"/>
    <col min="25" max="25" width="4" customWidth="1"/>
  </cols>
  <sheetData>
    <row r="2" spans="3:31" x14ac:dyDescent="0.2">
      <c r="C2" s="219" t="s">
        <v>182</v>
      </c>
      <c r="D2" s="219"/>
      <c r="E2" s="219"/>
      <c r="F2" s="219"/>
      <c r="G2" s="219"/>
      <c r="K2" s="220" t="s">
        <v>185</v>
      </c>
      <c r="L2" s="219"/>
      <c r="M2" s="219"/>
      <c r="N2" s="219"/>
      <c r="O2" s="219"/>
      <c r="S2" s="220" t="s">
        <v>129</v>
      </c>
      <c r="T2" s="219"/>
      <c r="U2" s="219"/>
      <c r="V2" s="219"/>
      <c r="W2" s="219"/>
      <c r="AA2" s="218" t="s">
        <v>205</v>
      </c>
      <c r="AB2" s="219"/>
      <c r="AC2" s="219"/>
      <c r="AD2" s="219"/>
      <c r="AE2" s="219"/>
    </row>
    <row r="3" spans="3:31" x14ac:dyDescent="0.2">
      <c r="AA3" s="147"/>
      <c r="AB3" s="143"/>
      <c r="AC3" s="143"/>
      <c r="AD3" s="143"/>
      <c r="AE3" s="143"/>
    </row>
    <row r="40" spans="11:23" x14ac:dyDescent="0.2">
      <c r="K40" s="218" t="s">
        <v>204</v>
      </c>
      <c r="L40" s="219"/>
      <c r="M40" s="219"/>
      <c r="N40" s="219"/>
      <c r="O40" s="219"/>
      <c r="S40" s="220" t="s">
        <v>186</v>
      </c>
      <c r="T40" s="219"/>
      <c r="U40" s="219"/>
      <c r="V40" s="219"/>
      <c r="W40" s="219"/>
    </row>
  </sheetData>
  <mergeCells count="6">
    <mergeCell ref="AA2:AE2"/>
    <mergeCell ref="C2:G2"/>
    <mergeCell ref="K2:O2"/>
    <mergeCell ref="S2:W2"/>
    <mergeCell ref="S40:W40"/>
    <mergeCell ref="K40:O40"/>
  </mergeCells>
  <pageMargins left="1" right="0.5" top="0.75" bottom="0.75" header="0.3" footer="0.3"/>
  <pageSetup scale="30" orientation="portrait" r:id="rId1"/>
  <headerFooter scaleWithDoc="0">
    <oddFooter>&amp;L&amp;9&amp;F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transitionEvaluation="1">
    <tabColor rgb="FFFF5050"/>
  </sheetPr>
  <dimension ref="A1:BD204"/>
  <sheetViews>
    <sheetView zoomScaleNormal="100" workbookViewId="0">
      <pane ySplit="5" topLeftCell="A6" activePane="bottomLeft" state="frozen"/>
      <selection pane="bottomLeft" activeCell="B13" sqref="B13"/>
    </sheetView>
  </sheetViews>
  <sheetFormatPr defaultColWidth="12.5703125" defaultRowHeight="15" x14ac:dyDescent="0.2"/>
  <cols>
    <col min="1" max="1" width="3.5703125" style="27" customWidth="1"/>
    <col min="2" max="2" width="9.140625" style="27" bestFit="1" customWidth="1"/>
    <col min="3" max="3" width="14.42578125" style="23" customWidth="1"/>
    <col min="4" max="4" width="13.42578125" style="23" customWidth="1"/>
    <col min="5" max="5" width="12.5703125" style="23"/>
    <col min="6" max="6" width="6.42578125" style="23" bestFit="1" customWidth="1"/>
    <col min="7" max="7" width="3.7109375" style="23" customWidth="1"/>
    <col min="8" max="9" width="12.5703125" style="23"/>
    <col min="10" max="10" width="12.5703125" style="23" customWidth="1"/>
    <col min="11" max="11" width="15.140625" style="23" customWidth="1"/>
    <col min="12" max="12" width="15.5703125" style="23" customWidth="1"/>
    <col min="13" max="13" width="16" style="23" customWidth="1"/>
    <col min="14" max="14" width="14.7109375" style="23" bestFit="1" customWidth="1"/>
    <col min="15" max="15" width="14" style="23" customWidth="1"/>
    <col min="16" max="16" width="14.7109375" style="23" bestFit="1" customWidth="1"/>
    <col min="17" max="18" width="14.7109375" style="23" customWidth="1"/>
    <col min="19" max="19" width="14" style="23" customWidth="1"/>
    <col min="20" max="20" width="12.5703125" style="23" customWidth="1"/>
    <col min="21" max="26" width="12.5703125" style="23"/>
    <col min="27" max="27" width="9" style="23" customWidth="1"/>
    <col min="28" max="29" width="12.5703125" style="23"/>
    <col min="30" max="36" width="12.5703125" style="23" customWidth="1"/>
    <col min="37" max="16384" width="12.5703125" style="23"/>
  </cols>
  <sheetData>
    <row r="1" spans="1:55" ht="15.75" x14ac:dyDescent="0.25">
      <c r="A1" s="23"/>
      <c r="B1" s="23"/>
      <c r="E1" s="3" t="s">
        <v>138</v>
      </c>
      <c r="H1" s="221" t="str">
        <f>+Electric!B3&amp;" - "&amp;Electric!B2</f>
        <v>HANSON PROFESSIONAL SRVC INC - Account Number: 192752162</v>
      </c>
      <c r="I1" s="219"/>
      <c r="J1" s="219"/>
      <c r="K1" s="219"/>
      <c r="L1" s="219"/>
      <c r="M1" s="219"/>
      <c r="N1" s="74" t="s">
        <v>125</v>
      </c>
      <c r="O1" s="75">
        <v>6</v>
      </c>
      <c r="P1" s="112"/>
      <c r="Q1" s="33">
        <f>IF(VALUE(O1)&lt;8,8,IF(AND(VALUE(O1)&gt;16,VALUE(O1)&lt;&gt;81),-8,0))</f>
        <v>8</v>
      </c>
      <c r="R1" s="23" t="s">
        <v>126</v>
      </c>
      <c r="AB1" s="83" t="s">
        <v>174</v>
      </c>
      <c r="AC1" s="83">
        <f>VALUE(MID(Residential!$C$7,2,2))</f>
        <v>30</v>
      </c>
    </row>
    <row r="2" spans="1:55" ht="15.75" x14ac:dyDescent="0.25">
      <c r="A2" s="23"/>
      <c r="B2" s="23"/>
      <c r="E2" s="93" t="s">
        <v>139</v>
      </c>
      <c r="F2" s="94">
        <v>22</v>
      </c>
      <c r="H2" s="90"/>
      <c r="I2" s="7"/>
      <c r="J2" s="7"/>
      <c r="K2" s="7"/>
      <c r="L2" s="7"/>
      <c r="M2" s="7"/>
      <c r="N2" s="113"/>
      <c r="O2" s="103">
        <v>0</v>
      </c>
      <c r="P2" s="104" t="s">
        <v>152</v>
      </c>
      <c r="Q2" s="222" t="s">
        <v>154</v>
      </c>
      <c r="W2" s="33"/>
      <c r="AB2" s="83" t="s">
        <v>175</v>
      </c>
      <c r="AC2" s="83">
        <f>VALUE(MID(Electric!$C$7,2,2))</f>
        <v>46</v>
      </c>
    </row>
    <row r="3" spans="1:55" ht="15.75" x14ac:dyDescent="0.25">
      <c r="A3" s="23"/>
      <c r="B3" s="23"/>
      <c r="D3" s="26">
        <f ca="1">SUM(D6:D17)</f>
        <v>58225.453380410559</v>
      </c>
      <c r="E3" s="93" t="s">
        <v>140</v>
      </c>
      <c r="F3" s="94">
        <v>38</v>
      </c>
      <c r="H3" s="90"/>
      <c r="I3" s="7"/>
      <c r="J3" s="34" t="str">
        <f ca="1">"prior "&amp;TEXT(SUM(F6:F17)/30.4,"0")&amp;" MONTH TOTALS"</f>
        <v>prior 12 MONTH TOTALS</v>
      </c>
      <c r="K3" s="26">
        <f ca="1">SUM(K6:K17)</f>
        <v>61993.64058315249</v>
      </c>
      <c r="L3" s="26">
        <f ca="1">SUM(L6:L17)</f>
        <v>57647.915284912029</v>
      </c>
      <c r="M3" s="26">
        <f ca="1">SUM(M6:M17)</f>
        <v>64787.95112664027</v>
      </c>
      <c r="O3" s="105">
        <v>0</v>
      </c>
      <c r="P3" s="104" t="s">
        <v>153</v>
      </c>
      <c r="Q3" s="222"/>
      <c r="S3" s="26"/>
      <c r="W3" s="33"/>
      <c r="AC3" s="148" t="str">
        <f ca="1">IF(AND(Electric!$G$12=0,Rates!$AC$2&lt;&gt;44),"Residential","Commercial")</f>
        <v>Commercial</v>
      </c>
    </row>
    <row r="4" spans="1:55" x14ac:dyDescent="0.2">
      <c r="A4" s="23"/>
      <c r="B4" s="25"/>
      <c r="N4" s="31" t="s">
        <v>97</v>
      </c>
      <c r="O4" s="31" t="s">
        <v>97</v>
      </c>
      <c r="P4" s="31" t="s">
        <v>97</v>
      </c>
      <c r="Q4" s="31" t="s">
        <v>97</v>
      </c>
      <c r="R4" s="31" t="s">
        <v>97</v>
      </c>
      <c r="V4" s="23" t="s">
        <v>96</v>
      </c>
      <c r="W4" s="23" t="s">
        <v>96</v>
      </c>
      <c r="Y4" s="23" t="s">
        <v>96</v>
      </c>
      <c r="Z4" s="23" t="s">
        <v>96</v>
      </c>
    </row>
    <row r="5" spans="1:55" x14ac:dyDescent="0.2">
      <c r="A5" s="24"/>
      <c r="B5" s="28" t="s">
        <v>37</v>
      </c>
      <c r="D5" s="24" t="str">
        <f ca="1">IF($B$7&lt;70,"RATE 40-44","RATE 46-44")</f>
        <v>RATE 40-44</v>
      </c>
      <c r="E5" s="31" t="s">
        <v>70</v>
      </c>
      <c r="F5" s="39" t="s">
        <v>6</v>
      </c>
      <c r="H5" s="24" t="s">
        <v>36</v>
      </c>
      <c r="I5" s="35" t="s">
        <v>41</v>
      </c>
      <c r="J5" s="35" t="s">
        <v>42</v>
      </c>
      <c r="K5" s="35" t="s">
        <v>43</v>
      </c>
      <c r="L5" s="35" t="s">
        <v>44</v>
      </c>
      <c r="M5" s="35" t="s">
        <v>45</v>
      </c>
      <c r="N5" s="44" t="s">
        <v>91</v>
      </c>
      <c r="O5" s="44" t="s">
        <v>92</v>
      </c>
      <c r="P5" s="69" t="s">
        <v>23</v>
      </c>
      <c r="Q5" s="58" t="s">
        <v>94</v>
      </c>
      <c r="R5" s="58" t="s">
        <v>95</v>
      </c>
      <c r="S5" s="35" t="s">
        <v>46</v>
      </c>
      <c r="T5" s="35" t="s">
        <v>176</v>
      </c>
      <c r="U5" s="35" t="s">
        <v>177</v>
      </c>
      <c r="V5" s="58" t="s">
        <v>91</v>
      </c>
      <c r="W5" s="58" t="s">
        <v>92</v>
      </c>
      <c r="X5" s="58" t="s">
        <v>93</v>
      </c>
      <c r="Y5" s="58" t="s">
        <v>94</v>
      </c>
      <c r="Z5" s="58" t="s">
        <v>95</v>
      </c>
    </row>
    <row r="6" spans="1:55" x14ac:dyDescent="0.2">
      <c r="A6" s="32"/>
      <c r="B6" s="29">
        <f ca="1">MINA(I6:I17)*B11</f>
        <v>22260</v>
      </c>
      <c r="C6" s="26" t="s">
        <v>38</v>
      </c>
      <c r="D6" s="26">
        <f t="shared" ref="D6:D14" ca="1" si="0">IF(OR($F6&gt;$F$3,$F6&lt;$F$2),$F6,30)/30*HLOOKUP(($H6+$Q$1),$AC$80:$AQ$98,MATCH($B$13,$AB$80:$AB$98,0))+"base CC"+(ROUND(($E6/$F6)*$B$6,0)*HLOOKUP(($H6+$Q$1),$AC$30:$AQ$48,MATCH($B$13,$AB$30:$AB$48,0))+"Summer base kWh"+ROUND((($F6-$E6)/$F6)*$B$6,0)*HLOOKUP(($H6+$Q$1),$AC$8:$AQ$26,MATCH($B$13,$AB$8:$AB$26,0))+"Winter base kWh")+($E6/IF($F6&lt;=$F$3,$F6,30)*$B$7*HLOOKUP(($H6+$Q$1),$AC$66:$AQ$76,MATCH($B$13,$AB$66:$AB$76,0))+"Summer base kW"+(($F6-$E6)/IF($F6&lt;=$F$3,$F6,30)*$B$7)*HLOOKUP(($H6+$Q$1),$AC$52:$AQ$62,MATCH($B$13,$AB$52:$AB$62,0))+"Winter base kW")+IF(OR($F6&gt;$F$3,$F6&lt;$F$2),$F6,30)/30*HLOOKUP(($H6+$Q$1),$AC$80:$AQ$98,MATCH(44,$AB$80:$AB$98,0))+"44 CC"+(ROUND(($E6/$F6)*(I6-$B$6),0)*HLOOKUP(($H6+$Q$1),$AC$30:$AQ$48,MATCH(44,$AB$30:$AB$48,0))+"Summer 44 kWh"+ROUND((($F6-$E6)/$F6)*(I6-$B$6),0)*HLOOKUP(($H6+$Q$1),$AC$8:$AQ$26,MATCH(44,$AB$8:$AB$26,0))+"Winter kWh")+(Q6+"total tax")+(X6+"total FAF")</f>
        <v>4367.7147367741927</v>
      </c>
      <c r="E6" s="38">
        <f ca="1">MIN(F6,MAX((H6-DATE(YEAR(H6),5,15)),0),MAX(0,(DATE(YEAR(H6),9,15)-(H6-F6))))</f>
        <v>19</v>
      </c>
      <c r="F6" s="37">
        <f ca="1">Electric!X12</f>
        <v>31</v>
      </c>
      <c r="G6" s="123">
        <f ca="1">H6+Electric!$AB12</f>
        <v>43985</v>
      </c>
      <c r="H6" s="32">
        <f ca="1">IF(ROW()&gt;(Electric!$Y$6-Electric!$Y$5+6),"",+Electric!V12)</f>
        <v>43985</v>
      </c>
      <c r="I6" s="33">
        <f ca="1">+Electric!F12</f>
        <v>36400</v>
      </c>
      <c r="J6" s="43">
        <f ca="1">+Electric!G12</f>
        <v>124.22</v>
      </c>
      <c r="K6" s="26">
        <f t="shared" ref="K6:M25" ca="1" si="1">(1-$O$2)*(IF(OR($F6&gt;$F$3,$F6&lt;$F$2),$F6,30)/30*HLOOKUP(($H6+$Q$1),$AC$80:$AQ$98,MATCH(VALUE(RIGHT(TRIM(K$5),2)),$AB$80:$AB$98,0))+"CC"+(ROUND(($E6/$F6)*$I6,0)*HLOOKUP(($H6+$Q$1),$AC$30:$AQ$48,MATCH(VALUE(RIGHT(TRIM(K$5),2)),$AB$30:$AB$48,0))+"Summer kWh"+ROUND((($F6-$E6)/$F6)*$I6,0)*HLOOKUP(($H6+$Q$1),$AC$8:$AQ$26,MATCH(VALUE(RIGHT(TRIM(K$5),2)),$AB$8:$AB$26,0))+"Winter kWh")+(IF(($H6+$Q$1)&gt;DATE(2009,7,1),$I6*0.0209*$O$3,0)+"State Wind Energy kWh Surcharge")+($E6/IF($F6&lt;=$F$3,$F6,30)*$J6*HLOOKUP(($H6+$Q$1),$AC$66:$AQ$76,MATCH(VALUE(RIGHT(TRIM(K$5),2)),$AB$66:$AB$76,0))+"Summer kW"+(($F6-$E6)/IF($F6&lt;=$F$3,$F6,30)*$J6)*HLOOKUP(($H6+$Q$1),$AC$52:$AQ$62,MATCH(VALUE(RIGHT(TRIM(K$5),2)),$AB$52:$AB$62,0))+"Winter kW")+$X6)+$Q6</f>
        <v>4722.3400645161291</v>
      </c>
      <c r="L6" s="26">
        <f t="shared" ca="1" si="1"/>
        <v>4402.6481935483871</v>
      </c>
      <c r="M6" s="26">
        <f t="shared" ca="1" si="1"/>
        <v>5002.2330580645157</v>
      </c>
      <c r="N6" s="26">
        <f ca="1">IFERROR(IF(OR($F6&gt;$F$3,$F6&lt;$F$2),$F6,30)/30*(($H6-HLOOKUP($H6,$AC$80:$AQ$80,1))*HLOOKUP($H6,$AC$80:$AQ$98,MATCH($AC$2,$AB$80:$AB$98,0))+(HLOOKUP($H6,$AC$80:$AQ$80,1)-$H6+$F6)*HLOOKUP($H6-$F6,$AC$80:$AQ$98,MATCH($AC$2,$AB$80:$AB$98,0)))/$F6,0)</f>
        <v>257.89999999999998</v>
      </c>
      <c r="O6" s="26">
        <f t="shared" ref="O6:O48" ca="1" si="2">+(ROUND(($E6/$F6)*$I6,0)*HLOOKUP(($H6+$Q$1),$AC$30:$AQ$48,MATCH($AC$2,$AB$30:$AB$48,0))+"Summer"+ROUND((($F6-$E6)/$F6)*$I6,0)/$F6*(($H6-HLOOKUP($H6,$AC$8:$AQ$8,1))*HLOOKUP($H6,$AC$8:$AQ$26,MATCH($AC$2,$AB$8:$AB$26,0))+(HLOOKUP($H6,$AC$8:$AQ$8,1)-$H6+$F6)*HLOOKUP($H6-$F6,$AC$8:$AQ$26,MATCH($AC$2,$AB$8:$AB$26,0)))+"Winter")+(ROUND($I6*HLOOKUP($H6,$AR$72:$BD$73,2)*$O$3,2)+"State Wind Energy Surcharge")</f>
        <v>3411.8570000000004</v>
      </c>
      <c r="P6" s="73">
        <f ca="1">IF(I6=0,0,+$E6/IF($F6&lt;=$F$3,$F6,30)*$J6*HLOOKUP(($H6+$Q$1),$AC$66:$AQ$76,MATCH($AC$2,$AB$66:$AB$76,0))+"Summer"+(($F6-$E6)/IF($F6&lt;=$F$3,$F6,30)*$J6)/$F6*(($H6-HLOOKUP($H6,$AC$52:$AQ$52,1))*HLOOKUP($H6,$AC$52:$AQ$62,MATCH($AC$2,$AB$52:$AB$62,0))+(HLOOKUP($H6,$AC$52:$AQ$52,1)-$H6+$F6)*HLOOKUP($H6-$F6,$AC$52:$AQ$62,MATCH($AC$2,$AB$52:$AB$62,0)))+"Winter")</f>
        <v>1638.3816580645162</v>
      </c>
      <c r="Q6" s="26">
        <f ca="1">MIN(0.0032*$I6,0.05*(O6+P6+$X6))</f>
        <v>116.48</v>
      </c>
      <c r="R6" s="26">
        <f t="shared" ref="R6:R70" ca="1" si="3">N6+ROUND(O6,2)+ROUND(P6,2)+ROUND(Q6,2)+ROUND(X6,2)-ROUND($O$2*(N6+O6+P6+X6),2)</f>
        <v>5002.2299999999996</v>
      </c>
      <c r="S6" s="26">
        <f ca="1">(1-$O$2)*(IF(OR($F6&gt;$F$3,$F6&lt;$F$2),$F6,30)/30*HLOOKUP(($H6+$Q$1),$AC$80:$AQ$98,MATCH(VALUE(RIGHT(TRIM(S$5),2)),$AB$80:$AB$98,0))+"CC"++(ROUND(($E6/$F6)*$I6,0)*HLOOKUP(($H6+$Q$1),$AC$30:$AQ$48,MATCH(VALUE(RIGHT(TRIM(S$5),2)),$AB$30:$AB$48,0))+"Summer kWh"+ROUND((($F6-$E6)/$F6)*$I6,0)*HLOOKUP(($H6+$Q$1),$AC$8:$AQ$26,MATCH(VALUE(RIGHT(TRIM(S$5),2)),$AB$8:$AB$26,0))+"Winter kWh")+(IF($H6&gt;DATE(2009,7,1),$I6*0.0209*$O$3,0)+"State Wind Energy kWh Surcharge")+($E6/IF($F6&lt;=$F$3,$F6,30)*$J6*HLOOKUP(($H6+$Q$1),$AC$66:$AQ$76,MATCH(VALUE(RIGHT(TRIM(S$5),2)),$AB$66:$AB$76,0))+"Summer kW"+(($F6-$E6)/IF($F6&lt;=$F$3,$F6,30)*$J6)*HLOOKUP(($H6+$Q$1),$AC$52:$AQ$62,MATCH(VALUE(RIGHT(TRIM(S$5),2)),$AB$52:$AB$62,0))+"Winter kW")+$X6)+$Q6</f>
        <v>3904.5064000000002</v>
      </c>
      <c r="T6" s="26">
        <f t="shared" ref="T6:U25" ca="1" si="4">IF(OR($F6&gt;$F$3,$F6&lt;$F$2),$F6,30)/30*HLOOKUP(($H6+$Q$1),$AC$80:$AQ$98,MATCH(VALUE(RIGHT(TRIM(T$5),2)),$AB$80:$AB$98,0))+"CC"++(ROUND(($E6/$F6)*$I6,0)*HLOOKUP(($H6),$AC$30:$AQ$48,MATCH(VALUE(RIGHT(TRIM(T$5),2)),$AB$30:$AB$48,0))+"Summer kWh"+ROUND((($F6-$E6)/$F6)*$I6,0)*HLOOKUP(($H6),$AC$8:$AQ$26,MATCH(VALUE(RIGHT(TRIM(T$5),2)),$AB$8:$AB$26,0))+"Winter kWh")+(IF($H6&gt;DATE(2009,7,1),$I6*0.0209*$O$3,0)+"State Wind Energy kWh Surcharge")+$X6+$Q6</f>
        <v>3640.1253999999999</v>
      </c>
      <c r="U6" s="26">
        <f t="shared" ca="1" si="4"/>
        <v>3507.6794</v>
      </c>
      <c r="V6" s="26">
        <f ca="1">IFERROR(IF(OR($F6&gt;$F$3,$F6&lt;$F$2),$F6,30)/30*(($H6-HLOOKUP($H6,$AC$80:$AQ$80,1))*HLOOKUP($H6,$AC$80:$AQ$98,MATCH($AC$1,$AB$80:$AB$98,0))+(HLOOKUP($H6,$AC$80:$AQ$80,1)-$H6+$F6)*HLOOKUP($H6-$F6,$AC$80:$AQ$98,MATCH($AC$1,$AB$80:$AB$98,0)))/$F6,0)</f>
        <v>12.83</v>
      </c>
      <c r="W6" s="26">
        <f ca="1">+IFERROR(ROUND(($E6/$F6)*$I6,0)*HLOOKUP(($H6),$AC$30:$AQ$48,MATCH($AC$1,$AB$30:$AB$48,0))+"Summer"+ROUND((($F6-$E6)/$F6)*$I6,0)/$F6*(($H6-HLOOKUP($H6,$AC$8:$AQ$8,1))*HLOOKUP($H6,$AC$8:$AQ$26,MATCH($AC$1,$AB$8:$AB$26,0))+(HLOOKUP($H6,$AC$8:$AQ$8,1)-$H6+$F6)*HLOOKUP($H6-$F6,$AC$8:$AQ$26,MATCH($AC$1,$AB$8:$AB$26,0)))+"Winter",0)</f>
        <v>3933.2010000000009</v>
      </c>
      <c r="X6" s="26">
        <f ca="1">VLOOKUP(DATE(YEAR(H6+Electric!AB12),MONTH(H6+Electric!AB12),1),'FAF &amp; DDs'!$A$2:$B$321,2,FALSE)*I6</f>
        <v>-422.38560000000001</v>
      </c>
      <c r="Y6" s="26">
        <f t="shared" ref="Y6" ca="1" si="5">IFERROR(MIN(0.0032*I6,0.05*(W6+X6)),0)</f>
        <v>116.48</v>
      </c>
      <c r="Z6" s="26">
        <f ca="1">V6+ROUND(W6,2)+ROUND(X6,2)+ROUND(Y6,2)</f>
        <v>3640.12</v>
      </c>
      <c r="AB6"/>
      <c r="AC6"/>
      <c r="AD6" s="1" t="s">
        <v>159</v>
      </c>
      <c r="AE6"/>
      <c r="AF6"/>
      <c r="AG6"/>
      <c r="AH6"/>
      <c r="AI6"/>
      <c r="AJ6"/>
    </row>
    <row r="7" spans="1:55" x14ac:dyDescent="0.2">
      <c r="A7" s="32"/>
      <c r="B7" s="115">
        <f ca="1">MINA(J6:J17)*$B$11</f>
        <v>69.397999999999996</v>
      </c>
      <c r="C7" s="26" t="s">
        <v>39</v>
      </c>
      <c r="D7" s="26">
        <f t="shared" ca="1" si="0"/>
        <v>3665.2684999999997</v>
      </c>
      <c r="E7" s="38">
        <f ca="1">MIN(F7,MAX((H7-DATE(YEAR(H7),5,15)),0),MAX(0,(DATE(YEAR(H7),9,15)-(H7-F7))))</f>
        <v>0</v>
      </c>
      <c r="F7" s="37">
        <f ca="1">Electric!X13</f>
        <v>28</v>
      </c>
      <c r="G7" s="123">
        <f ca="1">H7+Electric!$AB13</f>
        <v>43954</v>
      </c>
      <c r="H7" s="32">
        <f ca="1">IF(ROW()&gt;(Electric!$Y$6-Electric!$Y$5+6),"",+Electric!V13)</f>
        <v>43954</v>
      </c>
      <c r="I7" s="33">
        <f ca="1">IF($H7="","",+Electric!F13)</f>
        <v>31800</v>
      </c>
      <c r="J7" s="43">
        <f ca="1">IF($H7="","",+Electric!G13)</f>
        <v>115.68</v>
      </c>
      <c r="K7" s="26">
        <f t="shared" ca="1" si="1"/>
        <v>3948.6074000000003</v>
      </c>
      <c r="L7" s="26">
        <f t="shared" ca="1" si="1"/>
        <v>3645.4374000000003</v>
      </c>
      <c r="M7" s="26">
        <f t="shared" ca="1" si="1"/>
        <v>4225.7666000000008</v>
      </c>
      <c r="N7" s="26">
        <f t="shared" ref="N7:N70" ca="1" si="6">IFERROR(IF(OR($F7&gt;$F$3,$F7&lt;$F$2),$F7,30)/30*(($H7-HLOOKUP($H7,$AC$80:$AQ$80,1))*HLOOKUP($H7,$AC$80:$AQ$98,MATCH($AC$2,$AB$80:$AB$98,0))+(HLOOKUP($H7,$AC$80:$AQ$80,1)-$H7+$F7)*HLOOKUP($H7-$F7,$AC$80:$AQ$98,MATCH($AC$2,$AB$80:$AB$98,0)))/$F7,0)</f>
        <v>257.89999999999998</v>
      </c>
      <c r="O7" s="26">
        <f t="shared" ca="1" si="2"/>
        <v>2811.1200000000013</v>
      </c>
      <c r="P7" s="73">
        <f t="shared" ref="P7:P70" ca="1" si="7">IF(I7=0,0,+$E7/IF($F7&lt;=$F$3,$F7,30)*$J7*HLOOKUP(($H7+$Q$1),$AC$66:$AQ$76,MATCH($AC$2,$AB$66:$AB$76,0))+"Summer"+(($F7-$E7)/IF($F7&lt;=$F$3,$F7,30)*$J7)/$F7*(($H7-HLOOKUP($H7,$AC$52:$AQ$52,1))*HLOOKUP($H7,$AC$52:$AQ$62,MATCH($AC$2,$AB$52:$AB$62,0))+(HLOOKUP($H7,$AC$52:$AQ$52,1)-$H7+$F7)*HLOOKUP($H7-$F7,$AC$52:$AQ$62,MATCH($AC$2,$AB$52:$AB$62,0)))+"Winter")</f>
        <v>1375.4352000000003</v>
      </c>
      <c r="Q7" s="26">
        <f t="shared" ref="Q7:Q70" ca="1" si="8">MIN(0.0032*$I7,0.05*(O7+P7+$X7))</f>
        <v>101.76</v>
      </c>
      <c r="R7" s="26">
        <f t="shared" ca="1" si="3"/>
        <v>4225.7700000000004</v>
      </c>
      <c r="S7" s="26">
        <f t="shared" ref="S7:S70" ca="1" si="9">(1-$O$2)*(IF(OR($F7&gt;$F$3,$F7&lt;$F$2),$F7,30)/30*HLOOKUP(($H7+$Q$1),$AC$80:$AQ$98,MATCH(VALUE(RIGHT(TRIM(S$5),2)),$AB$80:$AB$98,0))+"CC"++(ROUND(($E7/$F7)*$I7,0)*HLOOKUP(($H7+$Q$1),$AC$30:$AQ$48,MATCH(VALUE(RIGHT(TRIM(S$5),2)),$AB$30:$AB$48,0))+"Summer kWh"+ROUND((($F7-$E7)/$F7)*$I7,0)*HLOOKUP(($H7+$Q$1),$AC$8:$AQ$26,MATCH(VALUE(RIGHT(TRIM(S$5),2)),$AB$8:$AB$26,0))+"Winter kWh")+(IF($H7&gt;DATE(2009,7,1),$I7*0.0209*$O$3,0)+"State Wind Energy kWh Surcharge")+($E7/IF($F7&lt;=$F$3,$F7,30)*$J7*HLOOKUP(($H7+$Q$1),$AC$66:$AQ$76,MATCH(VALUE(RIGHT(TRIM(S$5),2)),$AB$66:$AB$76,0))+"Summer kW"+(($F7-$E7)/IF($F7&lt;=$F$3,$F7,30)*$J7)*HLOOKUP(($H7+$Q$1),$AC$52:$AQ$62,MATCH(VALUE(RIGHT(TRIM(S$5),2)),$AB$52:$AB$62,0))+"Winter kW")+$X7)+$Q7</f>
        <v>3244.5913999999998</v>
      </c>
      <c r="T7" s="26">
        <f t="shared" ca="1" si="4"/>
        <v>2935.9814000000001</v>
      </c>
      <c r="U7" s="26">
        <f t="shared" ca="1" si="4"/>
        <v>2637.0613999999996</v>
      </c>
      <c r="V7" s="26">
        <f t="shared" ref="V7:V70" ca="1" si="10">IFERROR(IF(OR($F7&gt;$F$3,$F7&lt;$F$2),$F7,30)/30*(($H7-HLOOKUP($H7,$AC$80:$AQ$80,1))*HLOOKUP($H7,$AC$80:$AQ$98,MATCH($AC$1,$AB$80:$AB$98,0))+(HLOOKUP($H7,$AC$80:$AQ$80,1)-$H7+$F7)*HLOOKUP($H7-$F7,$AC$80:$AQ$98,MATCH($AC$1,$AB$80:$AB$98,0)))/$F7,0)</f>
        <v>12.829999999999998</v>
      </c>
      <c r="W7" s="26">
        <f t="shared" ref="W7:W70" ca="1" si="11">+IFERROR(ROUND(($E7/$F7)*$I7,0)*HLOOKUP(($H7),$AC$30:$AQ$48,MATCH($AC$1,$AB$30:$AB$48,0))+"Summer"+ROUND((($F7-$E7)/$F7)*$I7,0)/$F7*(($H7-HLOOKUP($H7,$AC$8:$AQ$8,1))*HLOOKUP($H7,$AC$8:$AQ$26,MATCH($AC$1,$AB$8:$AB$26,0))+(HLOOKUP($H7,$AC$8:$AQ$8,1)-$H7+$F7)*HLOOKUP($H7-$F7,$AC$8:$AQ$26,MATCH($AC$1,$AB$8:$AB$26,0)))+"Winter",0)</f>
        <v>3141.839999999997</v>
      </c>
      <c r="X7" s="26">
        <f ca="1">VLOOKUP(DATE(YEAR(H7+Electric!AB13),MONTH(H7+Electric!AB13),1),'FAF &amp; DDs'!$A$2:$B$321,2,FALSE)*I7</f>
        <v>-320.4486</v>
      </c>
      <c r="Y7" s="26">
        <f t="shared" ref="Y7:Y70" ca="1" si="12">IFERROR(MIN(0.0032*I7,0.05*(W7+X7)),0)</f>
        <v>101.76</v>
      </c>
      <c r="Z7" s="26">
        <f t="shared" ref="Z7:Z70" ca="1" si="13">V7+ROUND(W7,2)+ROUND(X7,2)+ROUND(Y7,2)</f>
        <v>2935.9800000000005</v>
      </c>
      <c r="AB7" s="1"/>
      <c r="AC7" s="1" t="s">
        <v>36</v>
      </c>
      <c r="AD7" s="1"/>
      <c r="AE7" s="1"/>
      <c r="AF7" s="1"/>
      <c r="AG7" s="1"/>
      <c r="AH7" s="1"/>
      <c r="AI7" s="1"/>
      <c r="AJ7" s="1"/>
    </row>
    <row r="8" spans="1:55" x14ac:dyDescent="0.2">
      <c r="A8" s="32"/>
      <c r="B8" s="23"/>
      <c r="D8" s="26">
        <f t="shared" ca="1" si="0"/>
        <v>4308.3718999999992</v>
      </c>
      <c r="E8" s="38">
        <f t="shared" ref="E8:E71" ca="1" si="14">MIN(F8,MAX((H8-DATE(YEAR(H8),5,15)),0),MAX(0,(DATE(YEAR(H8),9,15)-(H8-F8))))</f>
        <v>0</v>
      </c>
      <c r="F8" s="37">
        <f ca="1">Electric!X14</f>
        <v>32</v>
      </c>
      <c r="G8" s="123">
        <f ca="1">H8+Electric!$AB14</f>
        <v>43926</v>
      </c>
      <c r="H8" s="32">
        <f ca="1">IF(ROW()&gt;(Electric!$Y$6-Electric!$Y$5+6),"",+Electric!V14)</f>
        <v>43926</v>
      </c>
      <c r="I8" s="33">
        <f ca="1">IF($H8="","",+Electric!F14)</f>
        <v>35600</v>
      </c>
      <c r="J8" s="43">
        <f ca="1">IF($H8="","",+Electric!G14)</f>
        <v>105.56</v>
      </c>
      <c r="K8" s="26">
        <f t="shared" ca="1" si="1"/>
        <v>4473.5167999999994</v>
      </c>
      <c r="L8" s="26">
        <f t="shared" ca="1" si="1"/>
        <v>4133.4867999999997</v>
      </c>
      <c r="M8" s="26">
        <f t="shared" ca="1" si="1"/>
        <v>4673.6832000000004</v>
      </c>
      <c r="N8" s="26">
        <f t="shared" ca="1" si="6"/>
        <v>257.89999999999998</v>
      </c>
      <c r="O8" s="26">
        <f t="shared" ca="1" si="2"/>
        <v>3147.0399999999931</v>
      </c>
      <c r="P8" s="73">
        <f t="shared" ca="1" si="7"/>
        <v>1255.1084000000017</v>
      </c>
      <c r="Q8" s="26">
        <f t="shared" ca="1" si="8"/>
        <v>113.92</v>
      </c>
      <c r="R8" s="26">
        <f t="shared" ca="1" si="3"/>
        <v>4673.68</v>
      </c>
      <c r="S8" s="26">
        <f t="shared" ca="1" si="9"/>
        <v>3887.6948000000002</v>
      </c>
      <c r="T8" s="26">
        <f t="shared" ca="1" si="4"/>
        <v>3543.7447999999999</v>
      </c>
      <c r="U8" s="26">
        <f t="shared" ca="1" si="4"/>
        <v>3209.1048000000001</v>
      </c>
      <c r="V8" s="26">
        <f t="shared" ca="1" si="10"/>
        <v>12.83</v>
      </c>
      <c r="W8" s="26">
        <f t="shared" ca="1" si="11"/>
        <v>3517.2799999999997</v>
      </c>
      <c r="X8" s="26">
        <f ca="1">VLOOKUP(DATE(YEAR(H8+Electric!AB14),MONTH(H8+Electric!AB14),1),'FAF &amp; DDs'!$A$2:$B$321,2,FALSE)*I8</f>
        <v>-100.2852</v>
      </c>
      <c r="Y8" s="26">
        <f t="shared" ca="1" si="12"/>
        <v>113.92</v>
      </c>
      <c r="Z8" s="26">
        <f t="shared" ca="1" si="13"/>
        <v>3543.7400000000002</v>
      </c>
      <c r="AB8" s="1" t="s">
        <v>160</v>
      </c>
      <c r="AC8" s="109">
        <v>37043</v>
      </c>
      <c r="AD8" s="84">
        <v>38657</v>
      </c>
      <c r="AE8" s="84">
        <v>38808</v>
      </c>
      <c r="AF8" s="84">
        <v>38991</v>
      </c>
      <c r="AG8" s="84">
        <v>39173</v>
      </c>
      <c r="AH8" s="84">
        <v>39356</v>
      </c>
      <c r="AI8" s="84">
        <v>39539</v>
      </c>
      <c r="AJ8" s="84">
        <v>40969</v>
      </c>
      <c r="AK8" s="84">
        <v>41334</v>
      </c>
      <c r="AL8" s="84">
        <v>42370</v>
      </c>
      <c r="AM8" s="84">
        <v>42795</v>
      </c>
      <c r="AN8" s="84">
        <v>43160</v>
      </c>
      <c r="AO8" s="84">
        <v>43525</v>
      </c>
      <c r="AP8" s="106">
        <f>DATE(2040,3,1)</f>
        <v>51196</v>
      </c>
      <c r="AQ8" s="106">
        <f>DATE(2041,3,1)</f>
        <v>51561</v>
      </c>
    </row>
    <row r="9" spans="1:55" x14ac:dyDescent="0.2">
      <c r="A9" s="32"/>
      <c r="B9" s="92">
        <f ca="1">B6/(B7*30*24)</f>
        <v>0.44549794902831014</v>
      </c>
      <c r="C9" s="23" t="s">
        <v>137</v>
      </c>
      <c r="D9" s="26">
        <f t="shared" ca="1" si="0"/>
        <v>4315.2574999999997</v>
      </c>
      <c r="E9" s="38">
        <f t="shared" ca="1" si="14"/>
        <v>0</v>
      </c>
      <c r="F9" s="37">
        <f ca="1">Electric!X15</f>
        <v>29</v>
      </c>
      <c r="G9" s="123">
        <f ca="1">H9+Electric!$AB15</f>
        <v>43894</v>
      </c>
      <c r="H9" s="32">
        <f ca="1">IF(ROW()&gt;(Electric!$Y$6-Electric!$Y$5+6),"",+Electric!V15)</f>
        <v>43894</v>
      </c>
      <c r="I9" s="33">
        <f ca="1">IF($H9="","",+Electric!F15)</f>
        <v>37400</v>
      </c>
      <c r="J9" s="43">
        <f ca="1">IF($H9="","",+Electric!G15)</f>
        <v>108.28</v>
      </c>
      <c r="K9" s="26">
        <f t="shared" ca="1" si="1"/>
        <v>4487.9064000000008</v>
      </c>
      <c r="L9" s="26">
        <f t="shared" ca="1" si="1"/>
        <v>4130.4164000000001</v>
      </c>
      <c r="M9" s="26">
        <f t="shared" ca="1" si="1"/>
        <v>4677.4496000000008</v>
      </c>
      <c r="N9" s="26">
        <f t="shared" ca="1" si="6"/>
        <v>254.48413793103447</v>
      </c>
      <c r="O9" s="26">
        <f t="shared" ca="1" si="2"/>
        <v>3306.1600000000058</v>
      </c>
      <c r="P9" s="73">
        <f t="shared" ca="1" si="7"/>
        <v>1287.4491999999982</v>
      </c>
      <c r="Q9" s="26">
        <f t="shared" ca="1" si="8"/>
        <v>119.68</v>
      </c>
      <c r="R9" s="26">
        <f t="shared" ca="1" si="3"/>
        <v>4674.0341379310348</v>
      </c>
      <c r="S9" s="26">
        <f t="shared" ca="1" si="9"/>
        <v>3894.5803999999998</v>
      </c>
      <c r="T9" s="26">
        <f t="shared" ca="1" si="4"/>
        <v>3533.8903999999998</v>
      </c>
      <c r="U9" s="26">
        <f t="shared" ca="1" si="4"/>
        <v>3182.3303999999998</v>
      </c>
      <c r="V9" s="26">
        <f t="shared" ca="1" si="10"/>
        <v>12.659655172413792</v>
      </c>
      <c r="W9" s="26">
        <f t="shared" ca="1" si="11"/>
        <v>3695.1200000000017</v>
      </c>
      <c r="X9" s="26">
        <f ca="1">VLOOKUP(DATE(YEAR(H9+Electric!AB15),MONTH(H9+Electric!AB15),1),'FAF &amp; DDs'!$A$2:$B$321,2,FALSE)*I9</f>
        <v>-293.7396</v>
      </c>
      <c r="Y9" s="26">
        <f t="shared" ca="1" si="12"/>
        <v>119.68</v>
      </c>
      <c r="Z9" s="26">
        <f t="shared" ca="1" si="13"/>
        <v>3533.7196551724132</v>
      </c>
      <c r="AB9" s="1">
        <v>30</v>
      </c>
      <c r="AC9" s="110">
        <v>5.2600000000000001E-2</v>
      </c>
      <c r="AD9" s="110">
        <v>5.7299999999999997E-2</v>
      </c>
      <c r="AE9" s="110">
        <v>6.1100000000000002E-2</v>
      </c>
      <c r="AF9" s="110">
        <v>6.5000000000000002E-2</v>
      </c>
      <c r="AG9" s="110">
        <v>6.6900000000000001E-2</v>
      </c>
      <c r="AH9" s="110">
        <v>6.8900000000000003E-2</v>
      </c>
      <c r="AI9" s="110">
        <v>7.0599999999999996E-2</v>
      </c>
      <c r="AJ9" s="110">
        <v>9.8799999999999999E-2</v>
      </c>
      <c r="AK9" s="110">
        <v>0.1008</v>
      </c>
      <c r="AL9" s="110">
        <v>9.8799999999999999E-2</v>
      </c>
      <c r="AM9" s="110">
        <v>9.8799999999999999E-2</v>
      </c>
      <c r="AN9" s="110">
        <v>9.8799999999999999E-2</v>
      </c>
      <c r="AO9" s="110">
        <v>9.8799999999999999E-2</v>
      </c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3"/>
      <c r="BC9" s="163"/>
    </row>
    <row r="10" spans="1:55" x14ac:dyDescent="0.2">
      <c r="A10" s="32"/>
      <c r="B10" s="23"/>
      <c r="D10" s="26">
        <f t="shared" ca="1" si="0"/>
        <v>4316.4251000000004</v>
      </c>
      <c r="E10" s="38">
        <f t="shared" ca="1" si="14"/>
        <v>0</v>
      </c>
      <c r="F10" s="37">
        <f ca="1">Electric!X16</f>
        <v>28</v>
      </c>
      <c r="G10" s="123">
        <f ca="1">H10+Electric!$AB16</f>
        <v>43865</v>
      </c>
      <c r="H10" s="32">
        <f ca="1">IF(ROW()&gt;(Electric!$Y$6-Electric!$Y$5+6),"",+Electric!V16)</f>
        <v>43865</v>
      </c>
      <c r="I10" s="33">
        <f ca="1">IF($H10="","",+Electric!F16)</f>
        <v>36800</v>
      </c>
      <c r="J10" s="43">
        <f ca="1">IF($H10="","",+Electric!G16)</f>
        <v>105.9199</v>
      </c>
      <c r="K10" s="26">
        <f t="shared" ca="1" si="1"/>
        <v>4474.6711550000009</v>
      </c>
      <c r="L10" s="26">
        <f t="shared" ca="1" si="1"/>
        <v>4122.9211550000009</v>
      </c>
      <c r="M10" s="26">
        <f t="shared" ca="1" si="1"/>
        <v>4659.3256110000011</v>
      </c>
      <c r="N10" s="26">
        <f t="shared" ca="1" si="6"/>
        <v>254.09000000000015</v>
      </c>
      <c r="O10" s="26">
        <f t="shared" ca="1" si="2"/>
        <v>3253.1199999999963</v>
      </c>
      <c r="P10" s="73">
        <f t="shared" ca="1" si="7"/>
        <v>1259.3876110000003</v>
      </c>
      <c r="Q10" s="26">
        <f t="shared" ca="1" si="8"/>
        <v>117.76</v>
      </c>
      <c r="R10" s="26">
        <f t="shared" ca="1" si="3"/>
        <v>4659.3300000000008</v>
      </c>
      <c r="S10" s="26">
        <f t="shared" ca="1" si="9"/>
        <v>3896.1280000000002</v>
      </c>
      <c r="T10" s="26">
        <f t="shared" ca="1" si="4"/>
        <v>3541.2080000000001</v>
      </c>
      <c r="U10" s="26">
        <f t="shared" ca="1" si="4"/>
        <v>3195.2879999999996</v>
      </c>
      <c r="V10" s="26">
        <f t="shared" ca="1" si="10"/>
        <v>12.640000000000002</v>
      </c>
      <c r="W10" s="26">
        <f t="shared" ca="1" si="11"/>
        <v>3635.8399999999961</v>
      </c>
      <c r="X10" s="26">
        <f ca="1">VLOOKUP(DATE(YEAR(H10+Electric!AB16),MONTH(H10+Electric!AB16),1),'FAF &amp; DDs'!$A$2:$B$321,2,FALSE)*I10</f>
        <v>-225.03199999999998</v>
      </c>
      <c r="Y10" s="26">
        <f t="shared" ca="1" si="12"/>
        <v>117.76</v>
      </c>
      <c r="Z10" s="26">
        <f t="shared" ca="1" si="13"/>
        <v>3541.21</v>
      </c>
      <c r="AB10" s="1">
        <v>31</v>
      </c>
      <c r="AC10" s="110">
        <v>5.2600000000000001E-2</v>
      </c>
      <c r="AD10" s="110">
        <v>5.7299999999999997E-2</v>
      </c>
      <c r="AE10" s="110">
        <v>6.1100000000000002E-2</v>
      </c>
      <c r="AF10" s="110">
        <v>6.5000000000000002E-2</v>
      </c>
      <c r="AG10" s="110">
        <v>6.6900000000000001E-2</v>
      </c>
      <c r="AH10" s="110">
        <v>6.8900000000000003E-2</v>
      </c>
      <c r="AI10" s="110">
        <v>7.0599999999999996E-2</v>
      </c>
      <c r="AJ10" s="110">
        <v>9.8799999999999999E-2</v>
      </c>
      <c r="AK10" s="110">
        <v>0.1008</v>
      </c>
      <c r="AL10" s="110">
        <v>9.8799999999999999E-2</v>
      </c>
      <c r="AM10" s="110">
        <v>9.8799999999999999E-2</v>
      </c>
      <c r="AN10" s="110">
        <v>9.8799999999999999E-2</v>
      </c>
      <c r="AO10" s="110">
        <v>9.8799999999999999E-2</v>
      </c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</row>
    <row r="11" spans="1:55" x14ac:dyDescent="0.2">
      <c r="A11" s="32"/>
      <c r="B11" s="91">
        <v>0.7</v>
      </c>
      <c r="C11" s="23" t="s">
        <v>173</v>
      </c>
      <c r="D11" s="26">
        <f t="shared" ca="1" si="0"/>
        <v>4393.7370999999994</v>
      </c>
      <c r="E11" s="38">
        <f t="shared" ca="1" si="14"/>
        <v>0</v>
      </c>
      <c r="F11" s="37">
        <f ca="1">Electric!X17</f>
        <v>32</v>
      </c>
      <c r="G11" s="123">
        <f ca="1">H11+Electric!$AB17</f>
        <v>43837</v>
      </c>
      <c r="H11" s="32">
        <f ca="1">IF(ROW()&gt;(Electric!$Y$6-Electric!$Y$5+6),"",+Electric!V17)</f>
        <v>43837</v>
      </c>
      <c r="I11" s="33">
        <f ca="1">IF($H11="","",+Electric!F17)</f>
        <v>36000</v>
      </c>
      <c r="J11" s="43">
        <f ca="1">IF($H11="","",+Electric!G17)</f>
        <v>99.14</v>
      </c>
      <c r="K11" s="26">
        <f t="shared" ca="1" si="1"/>
        <v>4501.5729999999994</v>
      </c>
      <c r="L11" s="26">
        <f t="shared" ca="1" si="1"/>
        <v>4157.5830000000005</v>
      </c>
      <c r="M11" s="26">
        <f t="shared" ca="1" si="1"/>
        <v>4671.7846</v>
      </c>
      <c r="N11" s="26">
        <f t="shared" ca="1" si="6"/>
        <v>254.09000000000015</v>
      </c>
      <c r="O11" s="26">
        <f t="shared" ca="1" si="2"/>
        <v>3182.4000000000015</v>
      </c>
      <c r="P11" s="73">
        <f t="shared" ca="1" si="7"/>
        <v>1178.7746</v>
      </c>
      <c r="Q11" s="26">
        <f t="shared" ca="1" si="8"/>
        <v>115.2</v>
      </c>
      <c r="R11" s="26">
        <f t="shared" ca="1" si="3"/>
        <v>4671.78</v>
      </c>
      <c r="S11" s="26">
        <f t="shared" ca="1" si="9"/>
        <v>3973.44</v>
      </c>
      <c r="T11" s="26">
        <f t="shared" ca="1" si="4"/>
        <v>3625.96</v>
      </c>
      <c r="U11" s="26">
        <f t="shared" ca="1" si="4"/>
        <v>3287.5599999999995</v>
      </c>
      <c r="V11" s="26">
        <f t="shared" ca="1" si="10"/>
        <v>12.64</v>
      </c>
      <c r="W11" s="26">
        <f t="shared" ca="1" si="11"/>
        <v>3556.8</v>
      </c>
      <c r="X11" s="26">
        <f ca="1">VLOOKUP(DATE(YEAR(H11+Electric!AB17),MONTH(H11+Electric!AB17),1),'FAF &amp; DDs'!$A$2:$B$321,2,FALSE)*I11</f>
        <v>-58.68</v>
      </c>
      <c r="Y11" s="26">
        <f t="shared" ca="1" si="12"/>
        <v>115.2</v>
      </c>
      <c r="Z11" s="26">
        <f t="shared" ca="1" si="13"/>
        <v>3625.96</v>
      </c>
      <c r="AB11" s="1">
        <v>32</v>
      </c>
      <c r="AC11" s="110">
        <f>+AC10*0.9</f>
        <v>4.734E-2</v>
      </c>
      <c r="AD11" s="110">
        <f t="shared" ref="AD11:AI11" si="15">+AD10*0.9</f>
        <v>5.1569999999999998E-2</v>
      </c>
      <c r="AE11" s="110">
        <f t="shared" si="15"/>
        <v>5.4990000000000004E-2</v>
      </c>
      <c r="AF11" s="110">
        <f t="shared" si="15"/>
        <v>5.8500000000000003E-2</v>
      </c>
      <c r="AG11" s="110">
        <f t="shared" si="15"/>
        <v>6.021E-2</v>
      </c>
      <c r="AH11" s="110">
        <f t="shared" si="15"/>
        <v>6.2010000000000003E-2</v>
      </c>
      <c r="AI11" s="110">
        <f t="shared" si="15"/>
        <v>6.3539999999999999E-2</v>
      </c>
      <c r="AJ11" s="110">
        <f>+AJ10*0.9</f>
        <v>8.8919999999999999E-2</v>
      </c>
      <c r="AK11" s="110">
        <f>+AK10*0.9</f>
        <v>9.0720000000000009E-2</v>
      </c>
      <c r="AL11" s="110">
        <f t="shared" ref="AL11:AO11" si="16">+AL10*0.9</f>
        <v>8.8919999999999999E-2</v>
      </c>
      <c r="AM11" s="110">
        <f t="shared" si="16"/>
        <v>8.8919999999999999E-2</v>
      </c>
      <c r="AN11" s="110">
        <f t="shared" si="16"/>
        <v>8.8919999999999999E-2</v>
      </c>
      <c r="AO11" s="110">
        <f t="shared" si="16"/>
        <v>8.8919999999999999E-2</v>
      </c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</row>
    <row r="12" spans="1:55" x14ac:dyDescent="0.2">
      <c r="A12" s="32"/>
      <c r="B12" s="23"/>
      <c r="D12" s="26">
        <f t="shared" ca="1" si="0"/>
        <v>4225.9018999999998</v>
      </c>
      <c r="E12" s="38">
        <f t="shared" ca="1" si="14"/>
        <v>0</v>
      </c>
      <c r="F12" s="37">
        <f ca="1">Electric!X18</f>
        <v>30</v>
      </c>
      <c r="G12" s="123">
        <f ca="1">H12+Electric!$AB18</f>
        <v>43805</v>
      </c>
      <c r="H12" s="32">
        <f ca="1">IF(ROW()&gt;(Electric!$Y$6-Electric!$Y$5+6),"",+Electric!V18)</f>
        <v>43805</v>
      </c>
      <c r="I12" s="33">
        <f ca="1">IF($H12="","",+Electric!F18)</f>
        <v>34400</v>
      </c>
      <c r="J12" s="43">
        <f ca="1">IF($H12="","",+Electric!G18)</f>
        <v>104.28</v>
      </c>
      <c r="K12" s="26">
        <f t="shared" ca="1" si="1"/>
        <v>4390.9308000000001</v>
      </c>
      <c r="L12" s="26">
        <f t="shared" ca="1" si="1"/>
        <v>4062.4608000000007</v>
      </c>
      <c r="M12" s="26">
        <f t="shared" ca="1" si="1"/>
        <v>4596.5840000000007</v>
      </c>
      <c r="N12" s="26">
        <f t="shared" ca="1" si="6"/>
        <v>254.08999999999989</v>
      </c>
      <c r="O12" s="26">
        <f t="shared" ca="1" si="2"/>
        <v>3040.9600000000014</v>
      </c>
      <c r="P12" s="73">
        <f t="shared" ca="1" si="7"/>
        <v>1239.889200000001</v>
      </c>
      <c r="Q12" s="26">
        <f t="shared" ca="1" si="8"/>
        <v>110.08</v>
      </c>
      <c r="R12" s="26">
        <f t="shared" ca="1" si="3"/>
        <v>4596.58</v>
      </c>
      <c r="S12" s="26">
        <f t="shared" ca="1" si="9"/>
        <v>3805.6048000000001</v>
      </c>
      <c r="T12" s="26">
        <f t="shared" ca="1" si="4"/>
        <v>3473.0047999999997</v>
      </c>
      <c r="U12" s="26">
        <f t="shared" ca="1" si="4"/>
        <v>3149.6447999999996</v>
      </c>
      <c r="V12" s="26">
        <f t="shared" ca="1" si="10"/>
        <v>12.640000000000009</v>
      </c>
      <c r="W12" s="26">
        <f t="shared" ca="1" si="11"/>
        <v>3398.7200000000025</v>
      </c>
      <c r="X12" s="26">
        <f ca="1">VLOOKUP(DATE(YEAR(H12+Electric!AB18),MONTH(H12+Electric!AB18),1),'FAF &amp; DDs'!$A$2:$B$321,2,FALSE)*I12</f>
        <v>-48.435200000000002</v>
      </c>
      <c r="Y12" s="26">
        <f t="shared" ca="1" si="12"/>
        <v>110.08</v>
      </c>
      <c r="Z12" s="26">
        <f t="shared" ca="1" si="13"/>
        <v>3472.9999999999995</v>
      </c>
      <c r="AB12" s="1">
        <v>33</v>
      </c>
      <c r="AC12" s="110">
        <f>+AC9*0.9</f>
        <v>4.734E-2</v>
      </c>
      <c r="AD12" s="110">
        <f t="shared" ref="AD12:AI12" si="17">+AD9*0.9</f>
        <v>5.1569999999999998E-2</v>
      </c>
      <c r="AE12" s="110">
        <f t="shared" si="17"/>
        <v>5.4990000000000004E-2</v>
      </c>
      <c r="AF12" s="110">
        <f t="shared" si="17"/>
        <v>5.8500000000000003E-2</v>
      </c>
      <c r="AG12" s="110">
        <f t="shared" si="17"/>
        <v>6.021E-2</v>
      </c>
      <c r="AH12" s="110">
        <f t="shared" si="17"/>
        <v>6.2010000000000003E-2</v>
      </c>
      <c r="AI12" s="110">
        <f t="shared" si="17"/>
        <v>6.3539999999999999E-2</v>
      </c>
      <c r="AJ12" s="110">
        <f>+AJ9*0.9</f>
        <v>8.8919999999999999E-2</v>
      </c>
      <c r="AK12" s="110">
        <f>+AK9*0.9</f>
        <v>9.0720000000000009E-2</v>
      </c>
      <c r="AL12" s="110">
        <f t="shared" ref="AL12:AO12" si="18">+AL9*0.9</f>
        <v>8.8919999999999999E-2</v>
      </c>
      <c r="AM12" s="110">
        <f t="shared" si="18"/>
        <v>8.8919999999999999E-2</v>
      </c>
      <c r="AN12" s="110">
        <f t="shared" si="18"/>
        <v>8.8919999999999999E-2</v>
      </c>
      <c r="AO12" s="110">
        <f t="shared" si="18"/>
        <v>8.8919999999999999E-2</v>
      </c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</row>
    <row r="13" spans="1:55" x14ac:dyDescent="0.2">
      <c r="A13" s="32"/>
      <c r="B13" s="23">
        <f ca="1">IF($B$7&lt;70,40,46)</f>
        <v>40</v>
      </c>
      <c r="C13" s="114" t="s">
        <v>172</v>
      </c>
      <c r="D13" s="26">
        <f t="shared" ca="1" si="0"/>
        <v>4434.8707000000004</v>
      </c>
      <c r="E13" s="38">
        <f t="shared" ca="1" si="14"/>
        <v>0</v>
      </c>
      <c r="F13" s="37">
        <f ca="1">Electric!X19</f>
        <v>29</v>
      </c>
      <c r="G13" s="123">
        <f ca="1">H13+Electric!$AB19</f>
        <v>43775</v>
      </c>
      <c r="H13" s="32">
        <f ca="1">IF(ROW()&gt;(Electric!$Y$6-Electric!$Y$5+6),"",+Electric!V19)</f>
        <v>43775</v>
      </c>
      <c r="I13" s="33">
        <f ca="1">IF($H13="","",+Electric!F19)</f>
        <v>37200</v>
      </c>
      <c r="J13" s="43">
        <f ca="1">IF($H13="","",+Electric!G19)</f>
        <v>122.8</v>
      </c>
      <c r="K13" s="26">
        <f t="shared" ca="1" si="1"/>
        <v>4732.3136000000004</v>
      </c>
      <c r="L13" s="26">
        <f t="shared" ca="1" si="1"/>
        <v>4376.6836000000003</v>
      </c>
      <c r="M13" s="26">
        <f t="shared" ca="1" si="1"/>
        <v>4970.5956000000006</v>
      </c>
      <c r="N13" s="26">
        <f t="shared" ca="1" si="6"/>
        <v>254.09000000000003</v>
      </c>
      <c r="O13" s="26">
        <f t="shared" ca="1" si="2"/>
        <v>3288.4800000000009</v>
      </c>
      <c r="P13" s="73">
        <f t="shared" ca="1" si="7"/>
        <v>1460.0919999999999</v>
      </c>
      <c r="Q13" s="26">
        <f t="shared" ca="1" si="8"/>
        <v>119.04</v>
      </c>
      <c r="R13" s="26">
        <f t="shared" ca="1" si="3"/>
        <v>4970.59</v>
      </c>
      <c r="S13" s="26">
        <f t="shared" ca="1" si="9"/>
        <v>4014.5736000000002</v>
      </c>
      <c r="T13" s="26">
        <f t="shared" ca="1" si="4"/>
        <v>3655.9335999999998</v>
      </c>
      <c r="U13" s="26">
        <f t="shared" ca="1" si="4"/>
        <v>3306.2535999999996</v>
      </c>
      <c r="V13" s="26">
        <f t="shared" ca="1" si="10"/>
        <v>12.639999999999999</v>
      </c>
      <c r="W13" s="26">
        <f t="shared" ca="1" si="11"/>
        <v>3675.3599999999974</v>
      </c>
      <c r="X13" s="26">
        <f ca="1">VLOOKUP(DATE(YEAR(H13+Electric!AB19),MONTH(H13+Electric!AB19),1),'FAF &amp; DDs'!$A$2:$B$321,2,FALSE)*I13</f>
        <v>-151.10639999999998</v>
      </c>
      <c r="Y13" s="26">
        <f t="shared" ca="1" si="12"/>
        <v>119.04</v>
      </c>
      <c r="Z13" s="26">
        <f t="shared" ca="1" si="13"/>
        <v>3655.93</v>
      </c>
      <c r="AB13" s="1">
        <v>34</v>
      </c>
      <c r="AC13" s="110">
        <v>4.5999999999999999E-2</v>
      </c>
      <c r="AD13" s="110">
        <v>5.0099999999999999E-2</v>
      </c>
      <c r="AE13" s="110">
        <v>5.3400000000000003E-2</v>
      </c>
      <c r="AF13" s="110">
        <v>5.6800000000000003E-2</v>
      </c>
      <c r="AG13" s="110">
        <v>5.8500000000000003E-2</v>
      </c>
      <c r="AH13" s="110">
        <v>6.0299999999999999E-2</v>
      </c>
      <c r="AI13" s="110">
        <v>6.1699999999999998E-2</v>
      </c>
      <c r="AJ13" s="110">
        <v>8.9499999999999996E-2</v>
      </c>
      <c r="AK13" s="110">
        <v>9.1200000000000003E-2</v>
      </c>
      <c r="AL13" s="110">
        <v>8.9399999999999993E-2</v>
      </c>
      <c r="AM13" s="110">
        <v>8.9399999999999993E-2</v>
      </c>
      <c r="AN13" s="110">
        <v>8.9399999999999993E-2</v>
      </c>
      <c r="AO13" s="110">
        <v>8.9399999999999993E-2</v>
      </c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</row>
    <row r="14" spans="1:55" x14ac:dyDescent="0.2">
      <c r="A14" s="32"/>
      <c r="B14" s="33"/>
      <c r="C14" s="43"/>
      <c r="D14" s="26">
        <f t="shared" ca="1" si="0"/>
        <v>5559.9944636363634</v>
      </c>
      <c r="E14" s="38">
        <f t="shared" ca="1" si="14"/>
        <v>10</v>
      </c>
      <c r="F14" s="37">
        <f ca="1">Electric!X20</f>
        <v>33</v>
      </c>
      <c r="G14" s="123">
        <f ca="1">H14+Electric!$AB20</f>
        <v>43746</v>
      </c>
      <c r="H14" s="32">
        <f ca="1">IF(ROW()&gt;(Electric!$Y$6-Electric!$Y$5+6),"",+Electric!V20)</f>
        <v>43746</v>
      </c>
      <c r="I14" s="33">
        <f ca="1">IF($H14="","",+Electric!F20)</f>
        <v>46000</v>
      </c>
      <c r="J14" s="43">
        <f ca="1">IF($H14="","",+Electric!G20)</f>
        <v>151.69999999999999</v>
      </c>
      <c r="K14" s="26">
        <f t="shared" ca="1" si="1"/>
        <v>6052.8405636363632</v>
      </c>
      <c r="L14" s="26">
        <f t="shared" ca="1" si="1"/>
        <v>5628.207136363636</v>
      </c>
      <c r="M14" s="26">
        <f t="shared" ca="1" si="1"/>
        <v>6307.5540575757586</v>
      </c>
      <c r="N14" s="26">
        <f t="shared" ca="1" si="6"/>
        <v>254.09000000000003</v>
      </c>
      <c r="O14" s="26">
        <f t="shared" ca="1" si="2"/>
        <v>4187.6692999999977</v>
      </c>
      <c r="P14" s="73">
        <f t="shared" ca="1" si="7"/>
        <v>1901.1687575757571</v>
      </c>
      <c r="Q14" s="26">
        <f t="shared" ca="1" si="8"/>
        <v>147.20000000000002</v>
      </c>
      <c r="R14" s="26">
        <f t="shared" ca="1" si="3"/>
        <v>6307.56</v>
      </c>
      <c r="S14" s="26">
        <f t="shared" ca="1" si="9"/>
        <v>5118.6628000000001</v>
      </c>
      <c r="T14" s="26">
        <f t="shared" ca="1" si="4"/>
        <v>4732.5449000000008</v>
      </c>
      <c r="U14" s="26">
        <f t="shared" ca="1" si="4"/>
        <v>4431.1715000000004</v>
      </c>
      <c r="V14" s="26">
        <f t="shared" ca="1" si="10"/>
        <v>12.639999999999997</v>
      </c>
      <c r="W14" s="26">
        <f t="shared" ca="1" si="11"/>
        <v>4755.2789000000002</v>
      </c>
      <c r="X14" s="26">
        <f ca="1">VLOOKUP(DATE(YEAR(H14+Electric!AB20),MONTH(H14+Electric!AB20),1),'FAF &amp; DDs'!$A$2:$B$321,2,FALSE)*I14</f>
        <v>-182.57400000000001</v>
      </c>
      <c r="Y14" s="26">
        <f t="shared" ca="1" si="12"/>
        <v>147.20000000000002</v>
      </c>
      <c r="Z14" s="26">
        <f t="shared" ca="1" si="13"/>
        <v>4732.55</v>
      </c>
      <c r="AB14" s="1">
        <v>35</v>
      </c>
      <c r="AC14" s="110">
        <v>4.5999999999999999E-2</v>
      </c>
      <c r="AD14" s="110">
        <v>5.0099999999999999E-2</v>
      </c>
      <c r="AE14" s="110">
        <v>5.3400000000000003E-2</v>
      </c>
      <c r="AF14" s="110">
        <v>5.6800000000000003E-2</v>
      </c>
      <c r="AG14" s="110">
        <v>5.8500000000000003E-2</v>
      </c>
      <c r="AH14" s="110">
        <v>6.0299999999999999E-2</v>
      </c>
      <c r="AI14" s="110">
        <v>6.1699999999999998E-2</v>
      </c>
      <c r="AJ14" s="110">
        <v>8.9499999999999996E-2</v>
      </c>
      <c r="AK14" s="110">
        <v>9.1200000000000003E-2</v>
      </c>
      <c r="AL14" s="110">
        <v>8.9399999999999993E-2</v>
      </c>
      <c r="AM14" s="110">
        <v>8.9399999999999993E-2</v>
      </c>
      <c r="AN14" s="110">
        <v>8.9399999999999993E-2</v>
      </c>
      <c r="AO14" s="110">
        <v>8.9399999999999993E-2</v>
      </c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</row>
    <row r="15" spans="1:55" x14ac:dyDescent="0.2">
      <c r="A15" s="32"/>
      <c r="B15" s="33"/>
      <c r="C15" s="43"/>
      <c r="D15" s="26">
        <f ca="1">IF(OR($F15&gt;$F$3,$F15&lt;$F$2),$F15,30)/30*HLOOKUP(($H15+$Q$1),$AC$80:$AQ$98,MATCH($B$13,$AB$80:$AB$98,0))+"base CC"+(ROUND(($E15/$F15)*$B$6,0)*HLOOKUP(($H15+$Q$1),$AC$30:$AQ$48,MATCH($B$13,$AB$30:$AB$48,0))+"Summer base kWh"+ROUND((($F15-$E15)/$F15)*$B$6,0)*HLOOKUP(($H15+$Q$1),$AC$8:$AQ$26,MATCH($B$13,$AB$8:$AB$26,0))+"Winter base kWh")+($E15/IF($F15&lt;=$F$3,$F15,30)*$B$7*HLOOKUP(($H15+$Q$1),$AC$66:$AQ$76,MATCH($B$13,$AB$66:$AB$76,0))+"Summer base kW"+(($F15-$E15)/IF($F15&lt;=$F$3,$F15,30)*$B$7)*HLOOKUP(($H15+$Q$1),$AC$52:$AQ$62,MATCH($B$13,$AB$52:$AB$62,0))+"Winter base kW")+IF(OR($F15&gt;$F$3,$F15&lt;$F$2),$F15,30)/30*HLOOKUP(($H15+$Q$1),$AC$80:$AQ$98,MATCH(44,$AB$80:$AB$98,0))+"44 CC"+(ROUND(($E15/$F15)*(I15-$B$6),0)*HLOOKUP(($H15+$Q$1),$AC$30:$AQ$48,MATCH(44,$AB$30:$AB$48,0))+"Summer 44 kWh"+ROUND((($F15-$E15)/$F15)*(I15-$B$6),0)*HLOOKUP(($H15+$Q$1),$AC$8:$AQ$26,MATCH(44,$AB$8:$AB$26,0))+"Winter kWh")+(Q15+"total tax")+(X15+"total FAF")</f>
        <v>5892.2681600000014</v>
      </c>
      <c r="E15" s="38">
        <f t="shared" ca="1" si="14"/>
        <v>31</v>
      </c>
      <c r="F15" s="37">
        <f ca="1">Electric!X21</f>
        <v>31</v>
      </c>
      <c r="G15" s="123">
        <f ca="1">H15+Electric!$AB21</f>
        <v>43713</v>
      </c>
      <c r="H15" s="32">
        <f ca="1">IF(ROW()&gt;(Electric!$Y$6-Electric!$Y$5+6),"",+Electric!V21)</f>
        <v>43713</v>
      </c>
      <c r="I15" s="33">
        <f ca="1">IF($H15="","",+Electric!F21)</f>
        <v>45800</v>
      </c>
      <c r="J15" s="43">
        <f ca="1">IF($H15="","",+Electric!G21)</f>
        <v>148.19999999999999</v>
      </c>
      <c r="K15" s="26">
        <f t="shared" ca="1" si="1"/>
        <v>6413.3645999999999</v>
      </c>
      <c r="L15" s="26">
        <f t="shared" ca="1" si="1"/>
        <v>6025.9246000000003</v>
      </c>
      <c r="M15" s="26">
        <f t="shared" ca="1" si="1"/>
        <v>6690.8526000000002</v>
      </c>
      <c r="N15" s="26">
        <f t="shared" ca="1" si="6"/>
        <v>254.09000000000003</v>
      </c>
      <c r="O15" s="26">
        <f t="shared" ca="1" si="2"/>
        <v>4447.18</v>
      </c>
      <c r="P15" s="73">
        <f t="shared" ca="1" si="7"/>
        <v>2076.2819999999997</v>
      </c>
      <c r="Q15" s="26">
        <f t="shared" ca="1" si="8"/>
        <v>146.56</v>
      </c>
      <c r="R15" s="26">
        <f t="shared" ca="1" si="3"/>
        <v>6690.8500000000013</v>
      </c>
      <c r="S15" s="26">
        <f t="shared" ca="1" si="9"/>
        <v>5402.5606000000007</v>
      </c>
      <c r="T15" s="26">
        <f t="shared" ca="1" si="4"/>
        <v>5142.5606000000007</v>
      </c>
      <c r="U15" s="26">
        <f t="shared" ca="1" si="4"/>
        <v>5142.5606000000007</v>
      </c>
      <c r="V15" s="26">
        <f t="shared" ca="1" si="10"/>
        <v>12.640000000000004</v>
      </c>
      <c r="W15" s="26">
        <f t="shared" ca="1" si="11"/>
        <v>5216.62</v>
      </c>
      <c r="X15" s="26">
        <f ca="1">VLOOKUP(DATE(YEAR(H15+Electric!AB21),MONTH(H15+Electric!AB21),1),'FAF &amp; DDs'!$A$2:$B$321,2,FALSE)*I15</f>
        <v>-233.25940000000003</v>
      </c>
      <c r="Y15" s="26">
        <f t="shared" ca="1" si="12"/>
        <v>146.56</v>
      </c>
      <c r="Z15" s="26">
        <f t="shared" ca="1" si="13"/>
        <v>5142.5600000000004</v>
      </c>
      <c r="AB15" s="1">
        <v>36</v>
      </c>
      <c r="AC15" s="110">
        <f t="shared" ref="AC15:AI15" si="19">+AC14*0.9</f>
        <v>4.1399999999999999E-2</v>
      </c>
      <c r="AD15" s="110">
        <f t="shared" si="19"/>
        <v>4.5089999999999998E-2</v>
      </c>
      <c r="AE15" s="110">
        <f t="shared" si="19"/>
        <v>4.8060000000000005E-2</v>
      </c>
      <c r="AF15" s="110">
        <f t="shared" si="19"/>
        <v>5.1120000000000006E-2</v>
      </c>
      <c r="AG15" s="110">
        <f t="shared" si="19"/>
        <v>5.2650000000000002E-2</v>
      </c>
      <c r="AH15" s="110">
        <f t="shared" si="19"/>
        <v>5.4269999999999999E-2</v>
      </c>
      <c r="AI15" s="110">
        <f t="shared" si="19"/>
        <v>5.5529999999999996E-2</v>
      </c>
      <c r="AJ15" s="110">
        <f>+AJ14*0.9</f>
        <v>8.0549999999999997E-2</v>
      </c>
      <c r="AK15" s="110">
        <f>+AK14*0.9</f>
        <v>8.208E-2</v>
      </c>
      <c r="AL15" s="110">
        <f t="shared" ref="AL15:AO15" si="20">+AL14*0.9</f>
        <v>8.045999999999999E-2</v>
      </c>
      <c r="AM15" s="110">
        <f t="shared" si="20"/>
        <v>8.045999999999999E-2</v>
      </c>
      <c r="AN15" s="110">
        <f t="shared" si="20"/>
        <v>8.045999999999999E-2</v>
      </c>
      <c r="AO15" s="110">
        <f t="shared" si="20"/>
        <v>8.045999999999999E-2</v>
      </c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</row>
    <row r="16" spans="1:55" x14ac:dyDescent="0.2">
      <c r="A16" s="32"/>
      <c r="B16" s="33"/>
      <c r="C16" s="43"/>
      <c r="D16" s="26">
        <f t="shared" ref="D16:D17" ca="1" si="21">IF(OR($F16&gt;$F$3,$F16&lt;$F$2),$F16,30)/30*HLOOKUP(($H16+$Q$1),$AC$80:$AQ$98,MATCH($B$13,$AB$80:$AB$98,0))+"base CC"+(ROUND(($E16/$F16)*$B$6,0)*HLOOKUP(($H16+$Q$1),$AC$30:$AQ$48,MATCH($B$13,$AB$30:$AB$48,0))+"Summer base kWh"+ROUND((($F16-$E16)/$F16)*$B$6,0)*HLOOKUP(($H16+$Q$1),$AC$8:$AQ$26,MATCH($B$13,$AB$8:$AB$26,0))+"Winter base kWh")+($E16/IF($F16&lt;=$F$3,$F16,30)*$B$7*HLOOKUP(($H16+$Q$1),$AC$66:$AQ$76,MATCH($B$13,$AB$66:$AB$76,0))+"Summer base kW"+(($F16-$E16)/IF($F16&lt;=$F$3,$F16,30)*$B$7)*HLOOKUP(($H16+$Q$1),$AC$52:$AQ$62,MATCH($B$13,$AB$52:$AB$62,0))+"Winter base kW")+IF(OR($F16&gt;$F$3,$F16&lt;$F$2),$F16,30)/30*HLOOKUP(($H16+$Q$1),$AC$80:$AQ$98,MATCH(44,$AB$80:$AB$98,0))+"44 CC"+(ROUND(($E16/$F16)*(I16-$B$6),0)*HLOOKUP(($H16+$Q$1),$AC$30:$AQ$48,MATCH(44,$AB$30:$AB$48,0))+"Summer 44 kWh"+ROUND((($F16-$E16)/$F16)*(I16-$B$6),0)*HLOOKUP(($H16+$Q$1),$AC$8:$AQ$26,MATCH(44,$AB$8:$AB$26,0))+"Winter kWh")+(Q16+"total tax")+(X16+"total FAF")</f>
        <v>6628.1837600000008</v>
      </c>
      <c r="E16" s="38">
        <f t="shared" ca="1" si="14"/>
        <v>27</v>
      </c>
      <c r="F16" s="37">
        <f ca="1">Electric!X22</f>
        <v>27</v>
      </c>
      <c r="G16" s="123">
        <f ca="1">H16+Electric!$AB22</f>
        <v>43682</v>
      </c>
      <c r="H16" s="32">
        <f ca="1">IF(ROW()&gt;(Electric!$Y$6-Electric!$Y$5+6),"",+Electric!V22)</f>
        <v>43682</v>
      </c>
      <c r="I16" s="33">
        <f ca="1">IF($H16="","",+Electric!F22)</f>
        <v>51400</v>
      </c>
      <c r="J16" s="43">
        <f ca="1">IF($H16="","",+Electric!G22)</f>
        <v>155.18</v>
      </c>
      <c r="K16" s="26">
        <f t="shared" ca="1" si="1"/>
        <v>7159.015800000001</v>
      </c>
      <c r="L16" s="26">
        <f t="shared" ca="1" si="1"/>
        <v>6715.2108000000007</v>
      </c>
      <c r="M16" s="26">
        <f t="shared" ca="1" si="1"/>
        <v>7400.2380000000012</v>
      </c>
      <c r="N16" s="26">
        <f t="shared" ca="1" si="6"/>
        <v>254.09</v>
      </c>
      <c r="O16" s="26">
        <f t="shared" ca="1" si="2"/>
        <v>4990.9400000000005</v>
      </c>
      <c r="P16" s="73">
        <f t="shared" ca="1" si="7"/>
        <v>2174.0718000000002</v>
      </c>
      <c r="Q16" s="26">
        <f t="shared" ca="1" si="8"/>
        <v>164.48000000000002</v>
      </c>
      <c r="R16" s="26">
        <f t="shared" ca="1" si="3"/>
        <v>7400.24</v>
      </c>
      <c r="S16" s="26">
        <f t="shared" ca="1" si="9"/>
        <v>6138.476200000001</v>
      </c>
      <c r="T16" s="26">
        <f t="shared" ca="1" si="4"/>
        <v>5848.2362000000012</v>
      </c>
      <c r="U16" s="26">
        <f t="shared" ca="1" si="4"/>
        <v>5848.2362000000012</v>
      </c>
      <c r="V16" s="26">
        <f t="shared" ca="1" si="10"/>
        <v>12.639999999999999</v>
      </c>
      <c r="W16" s="26">
        <f t="shared" ca="1" si="11"/>
        <v>5854.46</v>
      </c>
      <c r="X16" s="26">
        <f ca="1">VLOOKUP(DATE(YEAR(H16+Electric!AB22),MONTH(H16+Electric!AB22),1),'FAF &amp; DDs'!$A$2:$B$321,2,FALSE)*I16</f>
        <v>-183.34379999999999</v>
      </c>
      <c r="Y16" s="26">
        <f t="shared" ca="1" si="12"/>
        <v>164.48000000000002</v>
      </c>
      <c r="Z16" s="26">
        <f t="shared" ca="1" si="13"/>
        <v>5848.24</v>
      </c>
      <c r="AB16" s="1">
        <v>37</v>
      </c>
      <c r="AC16" s="110">
        <f>+AC13*0.9</f>
        <v>4.1399999999999999E-2</v>
      </c>
      <c r="AD16" s="110">
        <f t="shared" ref="AD16:AJ16" si="22">+AD13*0.9</f>
        <v>4.5089999999999998E-2</v>
      </c>
      <c r="AE16" s="110">
        <f t="shared" si="22"/>
        <v>4.8060000000000005E-2</v>
      </c>
      <c r="AF16" s="110">
        <f t="shared" si="22"/>
        <v>5.1120000000000006E-2</v>
      </c>
      <c r="AG16" s="110">
        <f t="shared" si="22"/>
        <v>5.2650000000000002E-2</v>
      </c>
      <c r="AH16" s="110">
        <f t="shared" si="22"/>
        <v>5.4269999999999999E-2</v>
      </c>
      <c r="AI16" s="110">
        <f t="shared" si="22"/>
        <v>5.5529999999999996E-2</v>
      </c>
      <c r="AJ16" s="110">
        <f t="shared" si="22"/>
        <v>8.0549999999999997E-2</v>
      </c>
      <c r="AK16" s="110">
        <f>+AK13*0.9</f>
        <v>8.208E-2</v>
      </c>
      <c r="AL16" s="110">
        <f t="shared" ref="AL16:AO16" si="23">+AL13*0.9</f>
        <v>8.045999999999999E-2</v>
      </c>
      <c r="AM16" s="110">
        <f t="shared" si="23"/>
        <v>8.045999999999999E-2</v>
      </c>
      <c r="AN16" s="110">
        <f t="shared" si="23"/>
        <v>8.045999999999999E-2</v>
      </c>
      <c r="AO16" s="110">
        <f t="shared" si="23"/>
        <v>8.045999999999999E-2</v>
      </c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</row>
    <row r="17" spans="1:55" x14ac:dyDescent="0.2">
      <c r="A17" s="32"/>
      <c r="B17" s="33"/>
      <c r="C17" s="43"/>
      <c r="D17" s="26">
        <f t="shared" ca="1" si="21"/>
        <v>6117.4595600000002</v>
      </c>
      <c r="E17" s="38">
        <f t="shared" ca="1" si="14"/>
        <v>33</v>
      </c>
      <c r="F17" s="37">
        <f ca="1">Electric!X23</f>
        <v>33</v>
      </c>
      <c r="G17" s="123">
        <f ca="1">H17+Electric!$AB23</f>
        <v>43655</v>
      </c>
      <c r="H17" s="32">
        <f ca="1">IF(ROW()&gt;(Electric!$Y$6-Electric!$Y$5+6),"",+Electric!V23)</f>
        <v>43655</v>
      </c>
      <c r="I17" s="33">
        <f ca="1">IF($H17="","",+Electric!F23)</f>
        <v>46000</v>
      </c>
      <c r="J17" s="43">
        <f ca="1">IF($H17="","",+Electric!G23)</f>
        <v>148.22</v>
      </c>
      <c r="K17" s="26">
        <f t="shared" ca="1" si="1"/>
        <v>6636.5603999999985</v>
      </c>
      <c r="L17" s="26">
        <f t="shared" ca="1" si="1"/>
        <v>6246.9353999999994</v>
      </c>
      <c r="M17" s="26">
        <f t="shared" ca="1" si="1"/>
        <v>6911.8842000000004</v>
      </c>
      <c r="N17" s="26">
        <f t="shared" ca="1" si="6"/>
        <v>254.08999999999992</v>
      </c>
      <c r="O17" s="26">
        <f t="shared" ca="1" si="2"/>
        <v>4466.6000000000004</v>
      </c>
      <c r="P17" s="73">
        <f t="shared" ca="1" si="7"/>
        <v>2076.5621999999998</v>
      </c>
      <c r="Q17" s="26">
        <f t="shared" ca="1" si="8"/>
        <v>147.20000000000002</v>
      </c>
      <c r="R17" s="26">
        <f t="shared" ca="1" si="3"/>
        <v>6911.88</v>
      </c>
      <c r="S17" s="26">
        <f t="shared" ca="1" si="9"/>
        <v>5627.7519999999995</v>
      </c>
      <c r="T17" s="26">
        <f t="shared" ca="1" si="4"/>
        <v>5366.6719999999996</v>
      </c>
      <c r="U17" s="26">
        <f t="shared" ca="1" si="4"/>
        <v>5366.6719999999996</v>
      </c>
      <c r="V17" s="26">
        <f t="shared" ca="1" si="10"/>
        <v>12.639999999999997</v>
      </c>
      <c r="W17" s="26">
        <f t="shared" ca="1" si="11"/>
        <v>5239.3999999999996</v>
      </c>
      <c r="X17" s="26">
        <f ca="1">VLOOKUP(DATE(YEAR(H17+Electric!AB23),MONTH(H17+Electric!AB23),1),'FAF &amp; DDs'!$A$2:$B$321,2,FALSE)*I17</f>
        <v>-32.567999999999998</v>
      </c>
      <c r="Y17" s="26">
        <f t="shared" ca="1" si="12"/>
        <v>147.20000000000002</v>
      </c>
      <c r="Z17" s="26">
        <f t="shared" ca="1" si="13"/>
        <v>5366.67</v>
      </c>
      <c r="AB17" s="1">
        <v>40</v>
      </c>
      <c r="AC17" s="110">
        <v>4.99E-2</v>
      </c>
      <c r="AD17" s="110">
        <v>5.4399999999999997E-2</v>
      </c>
      <c r="AE17" s="110">
        <v>5.79E-2</v>
      </c>
      <c r="AF17" s="110">
        <v>6.1600000000000002E-2</v>
      </c>
      <c r="AG17" s="110">
        <v>6.3500000000000001E-2</v>
      </c>
      <c r="AH17" s="110">
        <v>6.54E-2</v>
      </c>
      <c r="AI17" s="110">
        <v>6.7000000000000004E-2</v>
      </c>
      <c r="AJ17" s="110">
        <v>9.5000000000000001E-2</v>
      </c>
      <c r="AK17" s="110">
        <v>9.69E-2</v>
      </c>
      <c r="AL17" s="110">
        <v>9.5899999999999999E-2</v>
      </c>
      <c r="AM17" s="110">
        <v>9.5899999999999999E-2</v>
      </c>
      <c r="AN17" s="110">
        <v>9.5899999999999999E-2</v>
      </c>
      <c r="AO17" s="203">
        <v>9.9500000000000005E-2</v>
      </c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</row>
    <row r="18" spans="1:55" x14ac:dyDescent="0.2">
      <c r="A18" s="32"/>
      <c r="B18" s="33"/>
      <c r="C18" s="43"/>
      <c r="D18" s="26"/>
      <c r="E18" s="38">
        <f t="shared" ca="1" si="14"/>
        <v>22</v>
      </c>
      <c r="F18" s="37">
        <f ca="1">Electric!X24</f>
        <v>30</v>
      </c>
      <c r="G18" s="123">
        <f ca="1">H18+Electric!$AB24</f>
        <v>43622</v>
      </c>
      <c r="H18" s="32">
        <f ca="1">IF(ROW()&gt;(Electric!$Y$6-Electric!$Y$5+6),"",+Electric!V24)</f>
        <v>43622</v>
      </c>
      <c r="I18" s="33">
        <f ca="1">IF($H18="","",+Electric!F24)</f>
        <v>39800</v>
      </c>
      <c r="J18" s="43">
        <f ca="1">IF($H18="","",+Electric!G24)</f>
        <v>138.94</v>
      </c>
      <c r="K18" s="26">
        <f t="shared" ca="1" si="1"/>
        <v>5762.2605199999998</v>
      </c>
      <c r="L18" s="26">
        <f t="shared" ca="1" si="1"/>
        <v>5419.8844199999994</v>
      </c>
      <c r="M18" s="26">
        <f t="shared" ca="1" si="1"/>
        <v>6059.9466866666662</v>
      </c>
      <c r="N18" s="26">
        <f t="shared" ca="1" si="6"/>
        <v>254.09000000000003</v>
      </c>
      <c r="O18" s="26">
        <f t="shared" ca="1" si="2"/>
        <v>3772.2469000000001</v>
      </c>
      <c r="P18" s="73">
        <f t="shared" ca="1" si="7"/>
        <v>1868.0019866666667</v>
      </c>
      <c r="Q18" s="26">
        <f t="shared" ca="1" si="8"/>
        <v>127.36</v>
      </c>
      <c r="R18" s="26">
        <f t="shared" ca="1" si="3"/>
        <v>6059.95</v>
      </c>
      <c r="S18" s="26">
        <f t="shared" ca="1" si="9"/>
        <v>4820.2021999999997</v>
      </c>
      <c r="T18" s="26">
        <f t="shared" ca="1" si="4"/>
        <v>4551.2115000000003</v>
      </c>
      <c r="U18" s="26">
        <f t="shared" ca="1" si="4"/>
        <v>4451.4493000000002</v>
      </c>
      <c r="V18" s="26">
        <f t="shared" ca="1" si="10"/>
        <v>12.640000000000006</v>
      </c>
      <c r="W18" s="26">
        <f t="shared" ca="1" si="11"/>
        <v>4372.9637000000002</v>
      </c>
      <c r="X18" s="26">
        <f ca="1">VLOOKUP(DATE(YEAR(H18+Electric!AB24),MONTH(H18+Electric!AB24),1),'FAF &amp; DDs'!$A$2:$B$321,2,FALSE)*I18</f>
        <v>38.247800000000005</v>
      </c>
      <c r="Y18" s="26">
        <f t="shared" ca="1" si="12"/>
        <v>127.36</v>
      </c>
      <c r="Z18" s="26">
        <f t="shared" ca="1" si="13"/>
        <v>4551.21</v>
      </c>
      <c r="AB18" s="1">
        <v>41</v>
      </c>
      <c r="AC18" s="110">
        <v>4.99E-2</v>
      </c>
      <c r="AD18" s="110">
        <v>5.4399999999999997E-2</v>
      </c>
      <c r="AE18" s="110">
        <v>5.79E-2</v>
      </c>
      <c r="AF18" s="110">
        <v>6.1600000000000002E-2</v>
      </c>
      <c r="AG18" s="110">
        <v>6.3500000000000001E-2</v>
      </c>
      <c r="AH18" s="110">
        <v>6.54E-2</v>
      </c>
      <c r="AI18" s="110">
        <v>6.7000000000000004E-2</v>
      </c>
      <c r="AJ18" s="110">
        <v>9.5000000000000001E-2</v>
      </c>
      <c r="AK18" s="110">
        <v>9.69E-2</v>
      </c>
      <c r="AL18" s="110">
        <v>9.5899999999999999E-2</v>
      </c>
      <c r="AM18" s="110">
        <v>9.5899999999999999E-2</v>
      </c>
      <c r="AN18" s="110">
        <v>9.5899999999999999E-2</v>
      </c>
      <c r="AO18" s="203">
        <v>9.9500000000000005E-2</v>
      </c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</row>
    <row r="19" spans="1:55" x14ac:dyDescent="0.2">
      <c r="A19" s="32"/>
      <c r="B19" s="33"/>
      <c r="D19" s="26">
        <f ca="1">SUM(L6:L17)-SUM(D6:D17)</f>
        <v>-577.53809549853031</v>
      </c>
      <c r="E19" s="38">
        <f t="shared" ca="1" si="14"/>
        <v>0</v>
      </c>
      <c r="F19" s="37">
        <f ca="1">Electric!X25</f>
        <v>32</v>
      </c>
      <c r="G19" s="123">
        <f ca="1">H19+Electric!$AB25</f>
        <v>43592</v>
      </c>
      <c r="H19" s="32">
        <f ca="1">IF(ROW()&gt;(Electric!$Y$6-Electric!$Y$5+6),"",+Electric!V25)</f>
        <v>43592</v>
      </c>
      <c r="I19" s="33">
        <f ca="1">IF($H19="","",+Electric!F25)</f>
        <v>37400</v>
      </c>
      <c r="J19" s="43">
        <f ca="1">IF($H19="","",+Electric!G25)</f>
        <v>117.7</v>
      </c>
      <c r="K19" s="26">
        <f t="shared" ca="1" si="1"/>
        <v>4957.8806000000004</v>
      </c>
      <c r="L19" s="26">
        <f t="shared" ca="1" si="1"/>
        <v>4600.3105999999998</v>
      </c>
      <c r="M19" s="26">
        <f t="shared" ca="1" si="1"/>
        <v>5176.3986000000004</v>
      </c>
      <c r="N19" s="26">
        <f t="shared" ca="1" si="6"/>
        <v>254.08999999999997</v>
      </c>
      <c r="O19" s="26">
        <f t="shared" ca="1" si="2"/>
        <v>3306.1600000000003</v>
      </c>
      <c r="P19" s="73">
        <f t="shared" ca="1" si="7"/>
        <v>1399.453</v>
      </c>
      <c r="Q19" s="26">
        <f t="shared" ca="1" si="8"/>
        <v>119.68</v>
      </c>
      <c r="R19" s="26">
        <f t="shared" ca="1" si="3"/>
        <v>5176.4000000000005</v>
      </c>
      <c r="S19" s="26">
        <f t="shared" ca="1" si="9"/>
        <v>4284.9556000000002</v>
      </c>
      <c r="T19" s="26">
        <f t="shared" ca="1" si="4"/>
        <v>3924.4555999999998</v>
      </c>
      <c r="U19" s="26">
        <f t="shared" ca="1" si="4"/>
        <v>3572.8955999999998</v>
      </c>
      <c r="V19" s="26">
        <f t="shared" ca="1" si="10"/>
        <v>12.639999999999999</v>
      </c>
      <c r="W19" s="26">
        <f t="shared" ca="1" si="11"/>
        <v>3695.12</v>
      </c>
      <c r="X19" s="26">
        <f ca="1">VLOOKUP(DATE(YEAR(H19+Electric!AB25),MONTH(H19+Electric!AB25),1),'FAF &amp; DDs'!$A$2:$B$321,2,FALSE)*I19</f>
        <v>97.015599999999992</v>
      </c>
      <c r="Y19" s="26">
        <f t="shared" ca="1" si="12"/>
        <v>119.68</v>
      </c>
      <c r="Z19" s="26">
        <f t="shared" ca="1" si="13"/>
        <v>3924.4599999999996</v>
      </c>
      <c r="AB19" s="1">
        <v>42</v>
      </c>
      <c r="AC19" s="110">
        <v>4.3400000000000001E-2</v>
      </c>
      <c r="AD19" s="110">
        <v>4.7300000000000002E-2</v>
      </c>
      <c r="AE19" s="110">
        <v>5.04E-2</v>
      </c>
      <c r="AF19" s="110">
        <v>5.3600000000000002E-2</v>
      </c>
      <c r="AG19" s="110">
        <v>5.5199999999999999E-2</v>
      </c>
      <c r="AH19" s="110">
        <v>5.6899999999999999E-2</v>
      </c>
      <c r="AI19" s="110">
        <v>5.8200000000000002E-2</v>
      </c>
      <c r="AJ19" s="110">
        <v>8.5800000000000001E-2</v>
      </c>
      <c r="AK19" s="110">
        <v>8.7499999999999994E-2</v>
      </c>
      <c r="AL19" s="110">
        <v>8.6599999999999996E-2</v>
      </c>
      <c r="AM19" s="110">
        <v>8.6599999999999996E-2</v>
      </c>
      <c r="AN19" s="110">
        <v>8.6599999999999996E-2</v>
      </c>
      <c r="AO19" s="203">
        <v>8.9800000000000005E-2</v>
      </c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</row>
    <row r="20" spans="1:55" x14ac:dyDescent="0.2">
      <c r="A20" s="32"/>
      <c r="B20" s="23" t="str">
        <f ca="1">"Annual Savings over Rate "&amp;IF($B$7&lt;70,"42","46")</f>
        <v>Annual Savings over Rate 42</v>
      </c>
      <c r="D20" s="26"/>
      <c r="E20" s="38">
        <f t="shared" ca="1" si="14"/>
        <v>0</v>
      </c>
      <c r="F20" s="37">
        <f ca="1">Electric!X26</f>
        <v>29</v>
      </c>
      <c r="G20" s="123">
        <f ca="1">H20+Electric!$AB26</f>
        <v>43560</v>
      </c>
      <c r="H20" s="32">
        <f ca="1">IF(ROW()&gt;(Electric!$Y$6-Electric!$Y$5+6),"",+Electric!V26)</f>
        <v>43560</v>
      </c>
      <c r="I20" s="33">
        <f ca="1">IF($H20="","",+Electric!F26)</f>
        <v>37800</v>
      </c>
      <c r="J20" s="43">
        <f ca="1">IF($H20="","",+Electric!G26)</f>
        <v>111.24</v>
      </c>
      <c r="K20" s="26">
        <f t="shared" ca="1" si="1"/>
        <v>4994.3622000000005</v>
      </c>
      <c r="L20" s="26">
        <f t="shared" ca="1" si="1"/>
        <v>4632.9122000000007</v>
      </c>
      <c r="M20" s="26">
        <f t="shared" ca="1" si="1"/>
        <v>5186.2178000000013</v>
      </c>
      <c r="N20" s="26">
        <f t="shared" ca="1" si="6"/>
        <v>254.08999999999997</v>
      </c>
      <c r="O20" s="26">
        <f t="shared" ca="1" si="2"/>
        <v>3341.5200000000004</v>
      </c>
      <c r="P20" s="73">
        <f t="shared" ca="1" si="7"/>
        <v>1322.6436000000001</v>
      </c>
      <c r="Q20" s="26">
        <f t="shared" ca="1" si="8"/>
        <v>120.96000000000001</v>
      </c>
      <c r="R20" s="26">
        <f t="shared" ca="1" si="3"/>
        <v>5186.21</v>
      </c>
      <c r="S20" s="26">
        <f t="shared" ca="1" si="9"/>
        <v>4379.4642000000003</v>
      </c>
      <c r="T20" s="26">
        <f t="shared" ca="1" si="4"/>
        <v>4015.2441999999996</v>
      </c>
      <c r="U20" s="26">
        <f t="shared" ca="1" si="4"/>
        <v>3659.9241999999995</v>
      </c>
      <c r="V20" s="26">
        <f t="shared" ca="1" si="10"/>
        <v>12.640000000000002</v>
      </c>
      <c r="W20" s="26">
        <f t="shared" ca="1" si="11"/>
        <v>3734.6400000000003</v>
      </c>
      <c r="X20" s="26">
        <f ca="1">VLOOKUP(DATE(YEAR(H20+Electric!AB26),MONTH(H20+Electric!AB26),1),'FAF &amp; DDs'!$A$2:$B$321,2,FALSE)*I20</f>
        <v>147.0042</v>
      </c>
      <c r="Y20" s="26">
        <f t="shared" ca="1" si="12"/>
        <v>120.96000000000001</v>
      </c>
      <c r="Z20" s="26">
        <f t="shared" ca="1" si="13"/>
        <v>4015.24</v>
      </c>
      <c r="AB20" s="1">
        <v>43</v>
      </c>
      <c r="AC20" s="110">
        <v>8.9800000000000005E-2</v>
      </c>
      <c r="AD20" s="110">
        <v>8.9800000000000005E-2</v>
      </c>
      <c r="AE20" s="110">
        <v>8.9800000000000005E-2</v>
      </c>
      <c r="AF20" s="110">
        <v>8.9800000000000005E-2</v>
      </c>
      <c r="AG20" s="110">
        <v>8.9800000000000005E-2</v>
      </c>
      <c r="AH20" s="110">
        <v>8.9800000000000005E-2</v>
      </c>
      <c r="AI20" s="110">
        <v>8.9800000000000005E-2</v>
      </c>
      <c r="AJ20" s="110">
        <v>8.9800000000000005E-2</v>
      </c>
      <c r="AK20" s="110">
        <v>8.9800000000000005E-2</v>
      </c>
      <c r="AL20" s="110">
        <v>8.9800000000000005E-2</v>
      </c>
      <c r="AM20" s="110">
        <v>8.9800000000000005E-2</v>
      </c>
      <c r="AN20" s="110">
        <v>8.9800000000000005E-2</v>
      </c>
      <c r="AO20" s="203">
        <v>8.9800000000000005E-2</v>
      </c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</row>
    <row r="21" spans="1:55" x14ac:dyDescent="0.2">
      <c r="A21" s="23"/>
      <c r="B21" s="23"/>
      <c r="C21" s="23" t="s">
        <v>40</v>
      </c>
      <c r="D21" s="30"/>
      <c r="E21" s="38">
        <f t="shared" ca="1" si="14"/>
        <v>0</v>
      </c>
      <c r="F21" s="37">
        <f ca="1">Electric!X27</f>
        <v>29</v>
      </c>
      <c r="G21" s="123">
        <f ca="1">H21+Electric!$AB27</f>
        <v>43531</v>
      </c>
      <c r="H21" s="32">
        <f ca="1">IF(ROW()&gt;(Electric!$Y$6-Electric!$Y$5+6),"",+Electric!V27)</f>
        <v>43531</v>
      </c>
      <c r="I21" s="33">
        <f ca="1">IF($H21="","",+Electric!F27)</f>
        <v>34400</v>
      </c>
      <c r="J21" s="43">
        <f ca="1">IF($H21="","",+Electric!G27)</f>
        <v>108.94</v>
      </c>
      <c r="K21" s="26">
        <f t="shared" ca="1" si="1"/>
        <v>4376.4718000000003</v>
      </c>
      <c r="L21" s="26">
        <f t="shared" ca="1" si="1"/>
        <v>4048.0018</v>
      </c>
      <c r="M21" s="26">
        <f t="shared" ca="1" si="1"/>
        <v>4598.1554000000006</v>
      </c>
      <c r="N21" s="26">
        <f t="shared" ca="1" si="6"/>
        <v>239.02103448275861</v>
      </c>
      <c r="O21" s="26">
        <f t="shared" ca="1" si="2"/>
        <v>2953.6551724137935</v>
      </c>
      <c r="P21" s="73">
        <f t="shared" ca="1" si="7"/>
        <v>1295.2966000000001</v>
      </c>
      <c r="Q21" s="26">
        <f t="shared" ca="1" si="8"/>
        <v>110.08</v>
      </c>
      <c r="R21" s="26">
        <f t="shared" ca="1" si="3"/>
        <v>4495.7910344827578</v>
      </c>
      <c r="S21" s="26">
        <f t="shared" ca="1" si="9"/>
        <v>3751.7687999999998</v>
      </c>
      <c r="T21" s="26">
        <f t="shared" ca="1" si="4"/>
        <v>3419.1687999999995</v>
      </c>
      <c r="U21" s="26">
        <f t="shared" ca="1" si="4"/>
        <v>3095.8087999999993</v>
      </c>
      <c r="V21" s="26">
        <f t="shared" ca="1" si="10"/>
        <v>9.7055172413793098</v>
      </c>
      <c r="W21" s="26">
        <f t="shared" ca="1" si="11"/>
        <v>3398.7200000000003</v>
      </c>
      <c r="X21" s="26">
        <f ca="1">VLOOKUP(DATE(YEAR(H21+Electric!AB27),MONTH(H21+Electric!AB27),1),'FAF &amp; DDs'!$A$2:$B$321,2,FALSE)*I21</f>
        <v>-102.27119999999999</v>
      </c>
      <c r="Y21" s="26">
        <f t="shared" ca="1" si="12"/>
        <v>110.08</v>
      </c>
      <c r="Z21" s="26">
        <f t="shared" ca="1" si="13"/>
        <v>3416.2355172413791</v>
      </c>
      <c r="AB21" s="1">
        <v>44</v>
      </c>
      <c r="AC21" s="110">
        <v>5.5800000000000002E-2</v>
      </c>
      <c r="AD21" s="110">
        <v>6.08E-2</v>
      </c>
      <c r="AE21" s="110">
        <v>6.4799999999999996E-2</v>
      </c>
      <c r="AF21" s="110">
        <v>6.8900000000000003E-2</v>
      </c>
      <c r="AG21" s="110">
        <v>7.0999999999999994E-2</v>
      </c>
      <c r="AH21" s="110">
        <v>7.3099999999999998E-2</v>
      </c>
      <c r="AI21" s="110">
        <v>7.4899999999999994E-2</v>
      </c>
      <c r="AJ21" s="110">
        <v>0.1033</v>
      </c>
      <c r="AK21" s="110">
        <v>0.1053</v>
      </c>
      <c r="AL21" s="110">
        <v>0.1042</v>
      </c>
      <c r="AM21" s="110">
        <v>0.1042</v>
      </c>
      <c r="AN21" s="110">
        <v>0.1042</v>
      </c>
      <c r="AO21" s="203">
        <v>0.1081</v>
      </c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</row>
    <row r="22" spans="1:55" x14ac:dyDescent="0.2">
      <c r="A22" s="23"/>
      <c r="B22" s="23"/>
      <c r="C22" s="71" t="s">
        <v>190</v>
      </c>
      <c r="D22" s="71"/>
      <c r="E22" s="38">
        <f t="shared" ca="1" si="14"/>
        <v>0</v>
      </c>
      <c r="F22" s="37">
        <f ca="1">Electric!X28</f>
        <v>29</v>
      </c>
      <c r="G22" s="123">
        <f ca="1">H22+Electric!$AB28</f>
        <v>43502</v>
      </c>
      <c r="H22" s="32">
        <f ca="1">IF(ROW()&gt;(Electric!$Y$6-Electric!$Y$5+6),"",+Electric!V28)</f>
        <v>43502</v>
      </c>
      <c r="I22" s="33">
        <f ca="1">IF($H22="","",+Electric!F28)</f>
        <v>39000</v>
      </c>
      <c r="J22" s="43">
        <f ca="1">IF($H22="","",+Electric!G28)</f>
        <v>111.2</v>
      </c>
      <c r="K22" s="26">
        <f t="shared" ca="1" si="1"/>
        <v>4831.7809999999999</v>
      </c>
      <c r="L22" s="26">
        <f t="shared" ca="1" si="1"/>
        <v>4474.2110000000002</v>
      </c>
      <c r="M22" s="26">
        <f t="shared" ca="1" si="1"/>
        <v>5014.1790000000001</v>
      </c>
      <c r="N22" s="26">
        <f t="shared" ca="1" si="6"/>
        <v>235.09000000000003</v>
      </c>
      <c r="O22" s="26">
        <f t="shared" ca="1" si="2"/>
        <v>3322.8000000000006</v>
      </c>
      <c r="P22" s="73">
        <f t="shared" ca="1" si="7"/>
        <v>1322.1679999999999</v>
      </c>
      <c r="Q22" s="26">
        <f t="shared" ca="1" si="8"/>
        <v>124.80000000000001</v>
      </c>
      <c r="R22" s="26">
        <f t="shared" ca="1" si="3"/>
        <v>5014.18</v>
      </c>
      <c r="S22" s="26">
        <f t="shared" ca="1" si="9"/>
        <v>4215.8410000000003</v>
      </c>
      <c r="T22" s="26">
        <f t="shared" ca="1" si="4"/>
        <v>3996.261</v>
      </c>
      <c r="U22" s="26">
        <f t="shared" ca="1" si="4"/>
        <v>3629.6610000000001</v>
      </c>
      <c r="V22" s="26">
        <f t="shared" ca="1" si="10"/>
        <v>8.9400000000000084</v>
      </c>
      <c r="W22" s="26">
        <f t="shared" ca="1" si="11"/>
        <v>3853.2000000000021</v>
      </c>
      <c r="X22" s="26">
        <f ca="1">VLOOKUP(DATE(YEAR(H22+Electric!AB28),MONTH(H22+Electric!AB28),1),'FAF &amp; DDs'!$A$2:$B$321,2,FALSE)*I22</f>
        <v>9.3209999999999997</v>
      </c>
      <c r="Y22" s="26">
        <f t="shared" ca="1" si="12"/>
        <v>124.80000000000001</v>
      </c>
      <c r="Z22" s="26">
        <f t="shared" ca="1" si="13"/>
        <v>3996.26</v>
      </c>
      <c r="AB22" s="1">
        <v>46</v>
      </c>
      <c r="AC22" s="110">
        <v>4.24E-2</v>
      </c>
      <c r="AD22" s="110">
        <v>4.6199999999999998E-2</v>
      </c>
      <c r="AE22" s="110">
        <v>4.9200000000000001E-2</v>
      </c>
      <c r="AF22" s="110">
        <v>5.2400000000000002E-2</v>
      </c>
      <c r="AG22" s="110">
        <v>5.3900000000000003E-2</v>
      </c>
      <c r="AH22" s="110">
        <v>5.5599999999999997E-2</v>
      </c>
      <c r="AI22" s="110">
        <v>5.6899999999999999E-2</v>
      </c>
      <c r="AJ22" s="110">
        <v>8.4400000000000003E-2</v>
      </c>
      <c r="AK22" s="110">
        <v>8.6099999999999996E-2</v>
      </c>
      <c r="AL22" s="110">
        <v>8.5199999999999998E-2</v>
      </c>
      <c r="AM22" s="110">
        <v>8.5199999999999998E-2</v>
      </c>
      <c r="AN22" s="110">
        <v>8.5199999999999998E-2</v>
      </c>
      <c r="AO22" s="203">
        <v>8.8400000000000006E-2</v>
      </c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</row>
    <row r="23" spans="1:55" x14ac:dyDescent="0.2">
      <c r="C23" s="72" t="s">
        <v>189</v>
      </c>
      <c r="D23" s="72"/>
      <c r="E23" s="38">
        <f t="shared" ca="1" si="14"/>
        <v>0</v>
      </c>
      <c r="F23" s="37">
        <f ca="1">Electric!X29</f>
        <v>33</v>
      </c>
      <c r="G23" s="123">
        <f ca="1">H23+Electric!$AB29</f>
        <v>43473</v>
      </c>
      <c r="H23" s="32">
        <f ca="1">IF(ROW()&gt;(Electric!$Y$6-Electric!$Y$5+6),"",+Electric!V29)</f>
        <v>43473</v>
      </c>
      <c r="I23" s="33">
        <f ca="1">IF($H23="","",+Electric!F29)</f>
        <v>35600</v>
      </c>
      <c r="J23" s="43">
        <f ca="1">IF($H23="","",+Electric!G29)</f>
        <v>99.14</v>
      </c>
      <c r="K23" s="26">
        <f t="shared" ca="1" si="1"/>
        <v>4594.5074000000004</v>
      </c>
      <c r="L23" s="26">
        <f t="shared" ca="1" si="1"/>
        <v>4268.5574000000006</v>
      </c>
      <c r="M23" s="26">
        <f t="shared" ca="1" si="1"/>
        <v>4771.799</v>
      </c>
      <c r="N23" s="26">
        <f t="shared" ca="1" si="6"/>
        <v>235.09000000000003</v>
      </c>
      <c r="O23" s="26">
        <f t="shared" ca="1" si="2"/>
        <v>3033.1200000000022</v>
      </c>
      <c r="P23" s="73">
        <f t="shared" ca="1" si="7"/>
        <v>1178.7745999999997</v>
      </c>
      <c r="Q23" s="26">
        <f t="shared" ca="1" si="8"/>
        <v>113.92</v>
      </c>
      <c r="R23" s="26">
        <f t="shared" ca="1" si="3"/>
        <v>4771.79</v>
      </c>
      <c r="S23" s="26">
        <f t="shared" ca="1" si="9"/>
        <v>4052.2544000000003</v>
      </c>
      <c r="T23" s="26">
        <f t="shared" ca="1" si="4"/>
        <v>3851.0344</v>
      </c>
      <c r="U23" s="26">
        <f t="shared" ca="1" si="4"/>
        <v>3516.3944000000001</v>
      </c>
      <c r="V23" s="26">
        <f t="shared" ca="1" si="10"/>
        <v>8.94</v>
      </c>
      <c r="W23" s="26">
        <f t="shared" ca="1" si="11"/>
        <v>3517.2799999999966</v>
      </c>
      <c r="X23" s="26">
        <f ca="1">VLOOKUP(DATE(YEAR(H23+Electric!AB29),MONTH(H23+Electric!AB29),1),'FAF &amp; DDs'!$A$2:$B$321,2,FALSE)*I23</f>
        <v>210.89439999999999</v>
      </c>
      <c r="Y23" s="26">
        <f t="shared" ca="1" si="12"/>
        <v>113.92</v>
      </c>
      <c r="Z23" s="26">
        <f t="shared" ca="1" si="13"/>
        <v>3851.03</v>
      </c>
      <c r="AB23" s="1">
        <v>47</v>
      </c>
      <c r="AC23" s="110">
        <v>4.24E-2</v>
      </c>
      <c r="AD23" s="110">
        <v>4.6199999999999998E-2</v>
      </c>
      <c r="AE23" s="110">
        <v>4.9200000000000001E-2</v>
      </c>
      <c r="AF23" s="110">
        <v>5.2400000000000002E-2</v>
      </c>
      <c r="AG23" s="110">
        <v>5.3900000000000003E-2</v>
      </c>
      <c r="AH23" s="110">
        <v>5.5599999999999997E-2</v>
      </c>
      <c r="AI23" s="110">
        <v>5.6899999999999999E-2</v>
      </c>
      <c r="AJ23" s="110">
        <v>8.4400000000000003E-2</v>
      </c>
      <c r="AK23" s="110">
        <v>8.6099999999999996E-2</v>
      </c>
      <c r="AL23" s="110">
        <v>8.5199999999999998E-2</v>
      </c>
      <c r="AM23" s="110">
        <v>8.5199999999999998E-2</v>
      </c>
      <c r="AN23" s="110">
        <v>8.5199999999999998E-2</v>
      </c>
      <c r="AO23" s="203">
        <v>8.8400000000000006E-2</v>
      </c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</row>
    <row r="24" spans="1:55" x14ac:dyDescent="0.2">
      <c r="C24" s="23" t="s">
        <v>191</v>
      </c>
      <c r="E24" s="38">
        <f t="shared" ca="1" si="14"/>
        <v>0</v>
      </c>
      <c r="F24" s="37">
        <f ca="1">Electric!X30</f>
        <v>30</v>
      </c>
      <c r="G24" s="123">
        <f ca="1">H24+Electric!$AB30</f>
        <v>43440</v>
      </c>
      <c r="H24" s="32">
        <f ca="1">IF(ROW()&gt;(Electric!$Y$6-Electric!$Y$5+6),"",+Electric!V30)</f>
        <v>43440</v>
      </c>
      <c r="I24" s="33">
        <f ca="1">IF($H24="","",+Electric!F30)</f>
        <v>34600</v>
      </c>
      <c r="J24" s="43">
        <f ca="1">IF($H24="","",+Electric!G30)</f>
        <v>111.34</v>
      </c>
      <c r="K24" s="26">
        <f t="shared" ca="1" si="1"/>
        <v>4753.7056000000002</v>
      </c>
      <c r="L24" s="26">
        <f t="shared" ca="1" si="1"/>
        <v>4437.0555999999997</v>
      </c>
      <c r="M24" s="26">
        <f t="shared" ca="1" si="1"/>
        <v>4983.6652000000004</v>
      </c>
      <c r="N24" s="26">
        <f t="shared" ca="1" si="6"/>
        <v>235.08999999999989</v>
      </c>
      <c r="O24" s="26">
        <f t="shared" ca="1" si="2"/>
        <v>2947.9199999999969</v>
      </c>
      <c r="P24" s="73">
        <f t="shared" ca="1" si="7"/>
        <v>1323.8326000000011</v>
      </c>
      <c r="Q24" s="26">
        <f t="shared" ca="1" si="8"/>
        <v>110.72</v>
      </c>
      <c r="R24" s="26">
        <f t="shared" ca="1" si="3"/>
        <v>4983.6600000000008</v>
      </c>
      <c r="S24" s="26">
        <f t="shared" ca="1" si="9"/>
        <v>4100.0626000000002</v>
      </c>
      <c r="T24" s="26">
        <f t="shared" ca="1" si="4"/>
        <v>3904.2426</v>
      </c>
      <c r="U24" s="26">
        <f t="shared" ca="1" si="4"/>
        <v>3579.0025999999998</v>
      </c>
      <c r="V24" s="26">
        <f t="shared" ca="1" si="10"/>
        <v>8.9399999999999942</v>
      </c>
      <c r="W24" s="26">
        <f t="shared" ca="1" si="11"/>
        <v>3418.4800000000023</v>
      </c>
      <c r="X24" s="26">
        <f ca="1">VLOOKUP(DATE(YEAR(H24+Electric!AB30),MONTH(H24+Electric!AB30),1),'FAF &amp; DDs'!$A$2:$B$321,2,FALSE)*I24</f>
        <v>366.1026</v>
      </c>
      <c r="Y24" s="26">
        <f t="shared" ca="1" si="12"/>
        <v>110.72</v>
      </c>
      <c r="Z24" s="26">
        <f t="shared" ca="1" si="13"/>
        <v>3904.24</v>
      </c>
      <c r="AB24" s="1">
        <v>48</v>
      </c>
      <c r="AC24" s="110">
        <v>3.3700000000000001E-2</v>
      </c>
      <c r="AD24" s="110">
        <v>3.6700000000000003E-2</v>
      </c>
      <c r="AE24" s="110">
        <v>3.9100000000000003E-2</v>
      </c>
      <c r="AF24" s="110">
        <v>4.1599999999999998E-2</v>
      </c>
      <c r="AG24" s="110">
        <v>4.2900000000000001E-2</v>
      </c>
      <c r="AH24" s="110">
        <v>4.4200000000000003E-2</v>
      </c>
      <c r="AI24" s="110">
        <v>4.5199999999999997E-2</v>
      </c>
      <c r="AJ24" s="110">
        <v>7.22E-2</v>
      </c>
      <c r="AK24" s="110">
        <v>7.3599999999999999E-2</v>
      </c>
      <c r="AL24" s="110">
        <v>7.2900000000000006E-2</v>
      </c>
      <c r="AM24" s="110">
        <v>7.2900000000000006E-2</v>
      </c>
      <c r="AN24" s="110">
        <v>7.2900000000000006E-2</v>
      </c>
      <c r="AO24" s="203">
        <v>7.5600000000000001E-2</v>
      </c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</row>
    <row r="25" spans="1:55" x14ac:dyDescent="0.2">
      <c r="B25" s="25"/>
      <c r="E25" s="38">
        <f t="shared" ca="1" si="14"/>
        <v>0</v>
      </c>
      <c r="F25" s="37">
        <f ca="1">Electric!X31</f>
        <v>32</v>
      </c>
      <c r="G25" s="123">
        <f ca="1">H25+Electric!$AB31</f>
        <v>43410</v>
      </c>
      <c r="H25" s="32">
        <f ca="1">IF(ROW()&gt;(Electric!$Y$6-Electric!$Y$5+6),"",+Electric!V31)</f>
        <v>43410</v>
      </c>
      <c r="I25" s="33">
        <f ca="1">IF($H25="","",+Electric!F31)</f>
        <v>39000</v>
      </c>
      <c r="J25" s="43">
        <f ca="1">IF($H25="","",+Electric!G31)</f>
        <v>133.69999999999999</v>
      </c>
      <c r="K25" s="26">
        <f t="shared" ca="1" si="1"/>
        <v>5167.1419999999998</v>
      </c>
      <c r="L25" s="26">
        <f t="shared" ca="1" si="1"/>
        <v>4809.5720000000001</v>
      </c>
      <c r="M25" s="26">
        <f t="shared" ca="1" si="1"/>
        <v>5426.94</v>
      </c>
      <c r="N25" s="26">
        <f t="shared" ca="1" si="6"/>
        <v>235.08999999999992</v>
      </c>
      <c r="O25" s="26">
        <f t="shared" ca="1" si="2"/>
        <v>3322.800000000002</v>
      </c>
      <c r="P25" s="73">
        <f t="shared" ca="1" si="7"/>
        <v>1589.693</v>
      </c>
      <c r="Q25" s="26">
        <f t="shared" ca="1" si="8"/>
        <v>124.80000000000001</v>
      </c>
      <c r="R25" s="26">
        <f t="shared" ca="1" si="3"/>
        <v>5426.9400000000005</v>
      </c>
      <c r="S25" s="26">
        <f t="shared" ca="1" si="9"/>
        <v>4361.0770000000002</v>
      </c>
      <c r="T25" s="26">
        <f t="shared" ca="1" si="4"/>
        <v>4141.4970000000003</v>
      </c>
      <c r="U25" s="26">
        <f t="shared" ca="1" si="4"/>
        <v>3774.8969999999999</v>
      </c>
      <c r="V25" s="26">
        <f t="shared" ca="1" si="10"/>
        <v>8.9400000000000048</v>
      </c>
      <c r="W25" s="26">
        <f t="shared" ca="1" si="11"/>
        <v>3853.2</v>
      </c>
      <c r="X25" s="26">
        <f ca="1">VLOOKUP(DATE(YEAR(H25+Electric!AB31),MONTH(H25+Electric!AB31),1),'FAF &amp; DDs'!$A$2:$B$321,2,FALSE)*I25</f>
        <v>154.55700000000002</v>
      </c>
      <c r="Y25" s="26">
        <f t="shared" ca="1" si="12"/>
        <v>124.80000000000001</v>
      </c>
      <c r="Z25" s="26">
        <f t="shared" ca="1" si="13"/>
        <v>4141.5</v>
      </c>
      <c r="AB25" s="1">
        <v>49</v>
      </c>
      <c r="AC25" s="110">
        <v>0.13389999999999999</v>
      </c>
      <c r="AD25" s="110">
        <v>0.13389999999999999</v>
      </c>
      <c r="AE25" s="110">
        <v>0.13389999999999999</v>
      </c>
      <c r="AF25" s="110">
        <v>0.13389999999999999</v>
      </c>
      <c r="AG25" s="110">
        <v>0.13389999999999999</v>
      </c>
      <c r="AH25" s="110">
        <v>0.13389999999999999</v>
      </c>
      <c r="AI25" s="110">
        <v>0.13389999999999999</v>
      </c>
      <c r="AJ25" s="110">
        <v>0.13389999999999999</v>
      </c>
      <c r="AK25" s="110">
        <v>0.13389999999999999</v>
      </c>
      <c r="AL25" s="110">
        <v>0.13389999999999999</v>
      </c>
      <c r="AM25" s="110">
        <v>0.13389999999999999</v>
      </c>
      <c r="AN25" s="110">
        <v>0.13389999999999999</v>
      </c>
      <c r="AO25" s="203">
        <v>0.13389999999999999</v>
      </c>
    </row>
    <row r="26" spans="1:55" x14ac:dyDescent="0.2">
      <c r="E26" s="38">
        <f t="shared" ca="1" si="14"/>
        <v>5</v>
      </c>
      <c r="F26" s="37">
        <f ca="1">Electric!X32</f>
        <v>25</v>
      </c>
      <c r="G26" s="123">
        <f ca="1">H26+Electric!$AB32</f>
        <v>43378</v>
      </c>
      <c r="H26" s="32">
        <f ca="1">IF(ROW()&gt;(Electric!$Y$6-Electric!$Y$5+6),"",+Electric!V32)</f>
        <v>43378</v>
      </c>
      <c r="I26" s="33">
        <f ca="1">IF($H26="","",+Electric!F32)</f>
        <v>44200</v>
      </c>
      <c r="J26" s="43">
        <f ca="1">IF($H26="","",+Electric!G32)</f>
        <v>150.44</v>
      </c>
      <c r="K26" s="26">
        <f t="shared" ref="K26:M45" ca="1" si="24">(1-$O$2)*(IF(OR($F26&gt;$F$3,$F26&lt;$F$2),$F26,30)/30*HLOOKUP(($H26+$Q$1),$AC$80:$AQ$98,MATCH(VALUE(RIGHT(TRIM(K$5),2)),$AB$80:$AB$98,0))+"CC"+(ROUND(($E26/$F26)*$I26,0)*HLOOKUP(($H26+$Q$1),$AC$30:$AQ$48,MATCH(VALUE(RIGHT(TRIM(K$5),2)),$AB$30:$AB$48,0))+"Summer kWh"+ROUND((($F26-$E26)/$F26)*$I26,0)*HLOOKUP(($H26+$Q$1),$AC$8:$AQ$26,MATCH(VALUE(RIGHT(TRIM(K$5),2)),$AB$8:$AB$26,0))+"Winter kWh")+(IF(($H26+$Q$1)&gt;DATE(2009,7,1),$I26*0.0209*$O$3,0)+"State Wind Energy kWh Surcharge")+($E26/IF($F26&lt;=$F$3,$F26,30)*$J26*HLOOKUP(($H26+$Q$1),$AC$66:$AQ$76,MATCH(VALUE(RIGHT(TRIM(K$5),2)),$AB$66:$AB$76,0))+"Summer kW"+(($F26-$E26)/IF($F26&lt;=$F$3,$F26,30)*$J26)*HLOOKUP(($H26+$Q$1),$AC$52:$AQ$62,MATCH(VALUE(RIGHT(TRIM(K$5),2)),$AB$52:$AB$62,0))+"Winter kW")+$X26)+$Q26</f>
        <v>5533.2167599999993</v>
      </c>
      <c r="L26" s="26">
        <f t="shared" ca="1" si="24"/>
        <v>5138.3607599999996</v>
      </c>
      <c r="M26" s="26">
        <f t="shared" ca="1" si="24"/>
        <v>5804.6071599999996</v>
      </c>
      <c r="N26" s="26">
        <f t="shared" ca="1" si="6"/>
        <v>235.09</v>
      </c>
      <c r="O26" s="26">
        <f t="shared" ca="1" si="2"/>
        <v>3840.0959999999986</v>
      </c>
      <c r="P26" s="73">
        <f t="shared" ca="1" si="7"/>
        <v>1852.5181600000001</v>
      </c>
      <c r="Q26" s="26">
        <f t="shared" ca="1" si="8"/>
        <v>141.44</v>
      </c>
      <c r="R26" s="26">
        <f t="shared" ca="1" si="3"/>
        <v>5804.61</v>
      </c>
      <c r="S26" s="26">
        <f t="shared" ca="1" si="9"/>
        <v>4595.9349999999995</v>
      </c>
      <c r="T26" s="26">
        <f t="shared" ref="T26:U45" ca="1" si="25">IF(OR($F26&gt;$F$3,$F26&lt;$F$2),$F26,30)/30*HLOOKUP(($H26+$Q$1),$AC$80:$AQ$98,MATCH(VALUE(RIGHT(TRIM(T$5),2)),$AB$80:$AB$98,0))+"CC"++(ROUND(($E26/$F26)*$I26,0)*HLOOKUP(($H26),$AC$30:$AQ$48,MATCH(VALUE(RIGHT(TRIM(T$5),2)),$AB$30:$AB$48,0))+"Summer kWh"+ROUND((($F26-$E26)/$F26)*$I26,0)*HLOOKUP(($H26),$AC$8:$AQ$26,MATCH(VALUE(RIGHT(TRIM(T$5),2)),$AB$8:$AB$26,0))+"Winter kWh")+(IF($H26&gt;DATE(2009,7,1),$I26*0.0209*$O$3,0)+"State Wind Energy kWh Surcharge")+$X26+$Q26</f>
        <v>4386.2869999999984</v>
      </c>
      <c r="U26" s="26">
        <f t="shared" ca="1" si="25"/>
        <v>4053.9029999999993</v>
      </c>
      <c r="V26" s="26">
        <f t="shared" ca="1" si="10"/>
        <v>8.94</v>
      </c>
      <c r="W26" s="26">
        <f t="shared" ca="1" si="11"/>
        <v>4500.4439999999986</v>
      </c>
      <c r="X26" s="26">
        <f ca="1">VLOOKUP(DATE(YEAR(H26+Electric!AB32),MONTH(H26+Electric!AB32),1),'FAF &amp; DDs'!$A$2:$B$321,2,FALSE)*I26</f>
        <v>-264.53699999999998</v>
      </c>
      <c r="Y26" s="26">
        <f t="shared" ca="1" si="12"/>
        <v>141.44</v>
      </c>
      <c r="Z26" s="26">
        <f t="shared" ca="1" si="13"/>
        <v>4386.2799999999988</v>
      </c>
      <c r="AB26" s="1">
        <v>58</v>
      </c>
      <c r="AC26" s="110">
        <v>4.1399999999999999E-2</v>
      </c>
      <c r="AD26" s="110">
        <v>4.5100000000000001E-2</v>
      </c>
      <c r="AE26" s="110">
        <v>4.8099999999999997E-2</v>
      </c>
      <c r="AF26" s="110">
        <v>5.11E-2</v>
      </c>
      <c r="AG26" s="110">
        <v>5.2699999999999997E-2</v>
      </c>
      <c r="AH26" s="110">
        <v>5.4199999999999998E-2</v>
      </c>
      <c r="AI26" s="110">
        <v>5.5599999999999997E-2</v>
      </c>
      <c r="AJ26" s="110">
        <v>8.3299999999999999E-2</v>
      </c>
      <c r="AK26" s="110">
        <v>8.4699999999999998E-2</v>
      </c>
      <c r="AL26" s="110">
        <v>8.3900000000000002E-2</v>
      </c>
      <c r="AM26" s="110">
        <v>8.3900000000000002E-2</v>
      </c>
      <c r="AN26" s="110">
        <v>8.3900000000000002E-2</v>
      </c>
      <c r="AO26" s="203">
        <v>8.6999999999999994E-2</v>
      </c>
    </row>
    <row r="27" spans="1:55" x14ac:dyDescent="0.2">
      <c r="A27" s="23"/>
      <c r="B27" s="23"/>
      <c r="E27" s="38">
        <f t="shared" ca="1" si="14"/>
        <v>35</v>
      </c>
      <c r="F27" s="37">
        <f ca="1">Electric!X33</f>
        <v>35</v>
      </c>
      <c r="G27" s="123">
        <f ca="1">H27+Electric!$AB33</f>
        <v>43353</v>
      </c>
      <c r="H27" s="32">
        <f ca="1">IF(ROW()&gt;(Electric!$Y$6-Electric!$Y$5+6),"",+Electric!V33)</f>
        <v>43353</v>
      </c>
      <c r="I27" s="33">
        <f ca="1">IF($H27="","",+Electric!F33)</f>
        <v>47000</v>
      </c>
      <c r="J27" s="43">
        <f ca="1">IF($H27="","",+Electric!G33)</f>
        <v>148</v>
      </c>
      <c r="K27" s="26">
        <f t="shared" ca="1" si="24"/>
        <v>6458.665</v>
      </c>
      <c r="L27" s="26">
        <f t="shared" ca="1" si="24"/>
        <v>6076.5949999999993</v>
      </c>
      <c r="M27" s="26">
        <f t="shared" ca="1" si="24"/>
        <v>6729.1549999999997</v>
      </c>
      <c r="N27" s="26">
        <f t="shared" ca="1" si="6"/>
        <v>235.09000000000003</v>
      </c>
      <c r="O27" s="26">
        <f t="shared" ca="1" si="2"/>
        <v>4399.2</v>
      </c>
      <c r="P27" s="73">
        <f t="shared" ca="1" si="7"/>
        <v>2073.48</v>
      </c>
      <c r="Q27" s="26">
        <f t="shared" ca="1" si="8"/>
        <v>150.4</v>
      </c>
      <c r="R27" s="26">
        <f t="shared" ca="1" si="3"/>
        <v>6729.15</v>
      </c>
      <c r="S27" s="26">
        <f t="shared" ca="1" si="9"/>
        <v>5444.3049999999994</v>
      </c>
      <c r="T27" s="26">
        <f t="shared" ca="1" si="25"/>
        <v>5383.6249999999991</v>
      </c>
      <c r="U27" s="26">
        <f t="shared" ca="1" si="25"/>
        <v>5383.6249999999991</v>
      </c>
      <c r="V27" s="26">
        <f t="shared" ca="1" si="10"/>
        <v>8.9399999999999959</v>
      </c>
      <c r="W27" s="26">
        <f t="shared" ca="1" si="11"/>
        <v>5353.3</v>
      </c>
      <c r="X27" s="26">
        <f ca="1">VLOOKUP(DATE(YEAR(H27+Electric!AB33),MONTH(H27+Electric!AB33),1),'FAF &amp; DDs'!$A$2:$B$321,2,FALSE)*I27</f>
        <v>-129.01500000000001</v>
      </c>
      <c r="Y27" s="26">
        <f t="shared" ca="1" si="12"/>
        <v>150.4</v>
      </c>
      <c r="Z27" s="26">
        <f t="shared" ca="1" si="13"/>
        <v>5383.619999999999</v>
      </c>
    </row>
    <row r="28" spans="1:55" x14ac:dyDescent="0.2">
      <c r="A28" s="23"/>
      <c r="B28" s="23"/>
      <c r="E28" s="38">
        <f t="shared" ca="1" si="14"/>
        <v>28</v>
      </c>
      <c r="F28" s="37">
        <f ca="1">Electric!X34</f>
        <v>28</v>
      </c>
      <c r="G28" s="123">
        <f ca="1">H28+Electric!$AB34</f>
        <v>43318</v>
      </c>
      <c r="H28" s="32">
        <f ca="1">IF(ROW()&gt;(Electric!$Y$6-Electric!$Y$5+6),"",+Electric!V34)</f>
        <v>43318</v>
      </c>
      <c r="I28" s="33">
        <f ca="1">IF($H28="","",+Electric!F34)</f>
        <v>48600</v>
      </c>
      <c r="J28" s="43">
        <f ca="1">IF($H28="","",+Electric!G34)</f>
        <v>150.24</v>
      </c>
      <c r="K28" s="26">
        <f t="shared" ca="1" si="24"/>
        <v>6908.6068000000005</v>
      </c>
      <c r="L28" s="26">
        <f t="shared" ca="1" si="24"/>
        <v>6511.2568000000001</v>
      </c>
      <c r="M28" s="26">
        <f t="shared" ca="1" si="24"/>
        <v>7170.3064000000004</v>
      </c>
      <c r="N28" s="26">
        <f t="shared" ca="1" si="6"/>
        <v>235.09</v>
      </c>
      <c r="O28" s="26">
        <f t="shared" ca="1" si="2"/>
        <v>4548.96</v>
      </c>
      <c r="P28" s="73">
        <f t="shared" ca="1" si="7"/>
        <v>2104.8624</v>
      </c>
      <c r="Q28" s="26">
        <f t="shared" ca="1" si="8"/>
        <v>155.52000000000001</v>
      </c>
      <c r="R28" s="26">
        <f t="shared" ca="1" si="3"/>
        <v>7170.3</v>
      </c>
      <c r="S28" s="26">
        <f t="shared" ca="1" si="9"/>
        <v>5888.3140000000003</v>
      </c>
      <c r="T28" s="26">
        <f t="shared" ca="1" si="25"/>
        <v>5825.8739999999998</v>
      </c>
      <c r="U28" s="26">
        <f t="shared" ca="1" si="25"/>
        <v>5825.8739999999998</v>
      </c>
      <c r="V28" s="26">
        <f t="shared" ca="1" si="10"/>
        <v>8.9399999999999977</v>
      </c>
      <c r="W28" s="26">
        <f t="shared" ca="1" si="11"/>
        <v>5535.54</v>
      </c>
      <c r="X28" s="26">
        <f ca="1">VLOOKUP(DATE(YEAR(H28+Electric!AB34),MONTH(H28+Electric!AB34),1),'FAF &amp; DDs'!$A$2:$B$321,2,FALSE)*I28</f>
        <v>125.874</v>
      </c>
      <c r="Y28" s="26">
        <f t="shared" ca="1" si="12"/>
        <v>155.52000000000001</v>
      </c>
      <c r="Z28" s="26">
        <f t="shared" ca="1" si="13"/>
        <v>5825.87</v>
      </c>
      <c r="AB28" s="1"/>
      <c r="AC28" s="1"/>
      <c r="AD28" s="1" t="s">
        <v>161</v>
      </c>
      <c r="AE28" s="1"/>
      <c r="AF28" s="1"/>
      <c r="AG28" t="s">
        <v>162</v>
      </c>
      <c r="AH28" s="1"/>
      <c r="AI28" s="1"/>
      <c r="AJ28" s="1"/>
      <c r="AK28" s="148"/>
      <c r="AL28" s="148"/>
      <c r="AM28" s="148"/>
      <c r="AN28" s="148"/>
      <c r="AO28" s="148"/>
    </row>
    <row r="29" spans="1:55" ht="15.75" x14ac:dyDescent="0.25">
      <c r="B29" s="3"/>
      <c r="D29" s="31"/>
      <c r="E29" s="38">
        <f t="shared" ca="1" si="14"/>
        <v>33</v>
      </c>
      <c r="F29" s="37">
        <f ca="1">Electric!X35</f>
        <v>33</v>
      </c>
      <c r="G29" s="123">
        <f ca="1">H29+Electric!$AB35</f>
        <v>43290</v>
      </c>
      <c r="H29" s="32">
        <f ca="1">IF(ROW()&gt;(Electric!$Y$6-Electric!$Y$5+6),"",+Electric!V35)</f>
        <v>43290</v>
      </c>
      <c r="I29" s="33">
        <f ca="1">IF($H29="","",+Electric!F35)</f>
        <v>47000</v>
      </c>
      <c r="J29" s="43">
        <f ca="1">IF($H29="","",+Electric!G35)</f>
        <v>156.6</v>
      </c>
      <c r="K29" s="26">
        <f t="shared" ca="1" si="24"/>
        <v>7004.0550000000003</v>
      </c>
      <c r="L29" s="26">
        <f t="shared" ca="1" si="24"/>
        <v>6628.4349999999995</v>
      </c>
      <c r="M29" s="26">
        <f t="shared" ca="1" si="24"/>
        <v>7307.1389999999992</v>
      </c>
      <c r="N29" s="26">
        <f t="shared" ca="1" si="6"/>
        <v>235.09000000000003</v>
      </c>
      <c r="O29" s="26">
        <f t="shared" ca="1" si="2"/>
        <v>4399.2</v>
      </c>
      <c r="P29" s="73">
        <f t="shared" ca="1" si="7"/>
        <v>2193.9659999999999</v>
      </c>
      <c r="Q29" s="26">
        <f t="shared" ca="1" si="8"/>
        <v>150.4</v>
      </c>
      <c r="R29" s="26">
        <f t="shared" ca="1" si="3"/>
        <v>7307.1399999999994</v>
      </c>
      <c r="S29" s="26">
        <f t="shared" ca="1" si="9"/>
        <v>5901.8029999999999</v>
      </c>
      <c r="T29" s="26">
        <f t="shared" ca="1" si="25"/>
        <v>5841.1229999999996</v>
      </c>
      <c r="U29" s="26">
        <f t="shared" ca="1" si="25"/>
        <v>5841.1229999999996</v>
      </c>
      <c r="V29" s="26">
        <f t="shared" ca="1" si="10"/>
        <v>8.9400000000000031</v>
      </c>
      <c r="W29" s="26">
        <f t="shared" ca="1" si="11"/>
        <v>5353.3</v>
      </c>
      <c r="X29" s="26">
        <f ca="1">VLOOKUP(DATE(YEAR(H29+Electric!AB35),MONTH(H29+Electric!AB35),1),'FAF &amp; DDs'!$A$2:$B$321,2,FALSE)*I29</f>
        <v>328.483</v>
      </c>
      <c r="Y29" s="26">
        <f t="shared" ca="1" si="12"/>
        <v>150.4</v>
      </c>
      <c r="Z29" s="26">
        <f t="shared" ca="1" si="13"/>
        <v>5841.119999999999</v>
      </c>
      <c r="AB29" s="1"/>
      <c r="AC29" s="1" t="s">
        <v>36</v>
      </c>
      <c r="AD29" s="1"/>
      <c r="AE29" s="1"/>
      <c r="AF29" s="1"/>
      <c r="AG29" s="1"/>
      <c r="AH29" s="1"/>
      <c r="AI29" s="1"/>
      <c r="AJ29" s="1"/>
      <c r="AK29" s="148"/>
      <c r="AL29" s="148"/>
      <c r="AM29" s="148"/>
      <c r="AN29" s="148"/>
      <c r="AO29" s="148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</row>
    <row r="30" spans="1:55" x14ac:dyDescent="0.2">
      <c r="B30" s="54"/>
      <c r="D30" s="67"/>
      <c r="E30" s="38">
        <f t="shared" ca="1" si="14"/>
        <v>22</v>
      </c>
      <c r="F30" s="37">
        <f ca="1">Electric!X36</f>
        <v>27</v>
      </c>
      <c r="G30" s="123">
        <f ca="1">H30+Electric!$AB36</f>
        <v>43257</v>
      </c>
      <c r="H30" s="32">
        <f ca="1">IF(ROW()&gt;(Electric!$Y$6-Electric!$Y$5+6),"",+Electric!V36)</f>
        <v>43257</v>
      </c>
      <c r="I30" s="33">
        <f ca="1">IF($H30="","",+Electric!F36)</f>
        <v>32000</v>
      </c>
      <c r="J30" s="43">
        <f ca="1">IF($H30="","",+Electric!G36)</f>
        <v>142.82</v>
      </c>
      <c r="K30" s="26">
        <f t="shared" ca="1" si="24"/>
        <v>5081.1241777777777</v>
      </c>
      <c r="L30" s="26">
        <f t="shared" ca="1" si="24"/>
        <v>4842.0368666666664</v>
      </c>
      <c r="M30" s="26">
        <f t="shared" ca="1" si="24"/>
        <v>5485.3177259259255</v>
      </c>
      <c r="N30" s="26">
        <f t="shared" ca="1" si="6"/>
        <v>235.09</v>
      </c>
      <c r="O30" s="26">
        <f t="shared" ca="1" si="2"/>
        <v>2945.4216000000006</v>
      </c>
      <c r="P30" s="73">
        <f t="shared" ca="1" si="7"/>
        <v>1944.8381259259259</v>
      </c>
      <c r="Q30" s="26">
        <f t="shared" ca="1" si="8"/>
        <v>102.4</v>
      </c>
      <c r="R30" s="26">
        <f t="shared" ca="1" si="3"/>
        <v>5485.32</v>
      </c>
      <c r="S30" s="26">
        <f t="shared" ca="1" si="9"/>
        <v>3993.8872000000006</v>
      </c>
      <c r="T30" s="26">
        <f t="shared" ca="1" si="25"/>
        <v>3924.2254000000003</v>
      </c>
      <c r="U30" s="26">
        <f t="shared" ca="1" si="25"/>
        <v>3868.5210000000002</v>
      </c>
      <c r="V30" s="26">
        <f t="shared" ca="1" si="10"/>
        <v>8.94</v>
      </c>
      <c r="W30" s="26">
        <f t="shared" ca="1" si="11"/>
        <v>3555.3173999999999</v>
      </c>
      <c r="X30" s="26">
        <f ca="1">VLOOKUP(DATE(YEAR(H30+Electric!AB36),MONTH(H30+Electric!AB36),1),'FAF &amp; DDs'!$A$2:$B$321,2,FALSE)*I30</f>
        <v>257.56800000000004</v>
      </c>
      <c r="Y30" s="26">
        <f t="shared" ca="1" si="12"/>
        <v>102.4</v>
      </c>
      <c r="Z30" s="26">
        <f t="shared" ca="1" si="13"/>
        <v>3924.2300000000005</v>
      </c>
      <c r="AB30" s="1" t="s">
        <v>160</v>
      </c>
      <c r="AC30" s="109">
        <v>37043</v>
      </c>
      <c r="AD30" s="84">
        <v>38657</v>
      </c>
      <c r="AE30" s="84">
        <v>38808</v>
      </c>
      <c r="AF30" s="84">
        <v>38991</v>
      </c>
      <c r="AG30" s="84">
        <v>39173</v>
      </c>
      <c r="AH30" s="84">
        <v>39356</v>
      </c>
      <c r="AI30" s="84">
        <v>39539</v>
      </c>
      <c r="AJ30" s="84">
        <v>40969</v>
      </c>
      <c r="AK30" s="84">
        <v>41334</v>
      </c>
      <c r="AL30" s="84">
        <v>42370</v>
      </c>
      <c r="AM30" s="84">
        <v>42795</v>
      </c>
      <c r="AN30" s="84">
        <v>43160</v>
      </c>
      <c r="AO30" s="84">
        <v>43525</v>
      </c>
      <c r="AP30" s="106">
        <f>DATE(2040,3,1)</f>
        <v>51196</v>
      </c>
      <c r="AQ30" s="106">
        <f>DATE(2041,3,1)</f>
        <v>51561</v>
      </c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</row>
    <row r="31" spans="1:55" x14ac:dyDescent="0.2">
      <c r="B31"/>
      <c r="C31" s="51"/>
      <c r="D31" s="67"/>
      <c r="E31" s="38">
        <f t="shared" ca="1" si="14"/>
        <v>0</v>
      </c>
      <c r="F31" s="37">
        <f ca="1">Electric!X37</f>
        <v>38</v>
      </c>
      <c r="G31" s="123">
        <f ca="1">H31+Electric!$AB37</f>
        <v>43230</v>
      </c>
      <c r="H31" s="32">
        <f ca="1">IF(ROW()&gt;(Electric!$Y$6-Electric!$Y$5+6),"",+Electric!V37)</f>
        <v>43230</v>
      </c>
      <c r="I31" s="33">
        <f ca="1">IF($H31="","",+Electric!F37)</f>
        <v>45000</v>
      </c>
      <c r="J31" s="43">
        <f ca="1">IF($H31="","",+Electric!G37)</f>
        <v>139.6</v>
      </c>
      <c r="K31" s="26">
        <f t="shared" ca="1" si="24"/>
        <v>5989.0950000000003</v>
      </c>
      <c r="L31" s="26">
        <f t="shared" ca="1" si="24"/>
        <v>5575.7250000000004</v>
      </c>
      <c r="M31" s="26">
        <f t="shared" ca="1" si="24"/>
        <v>6204.9890000000005</v>
      </c>
      <c r="N31" s="26">
        <f t="shared" ca="1" si="6"/>
        <v>235.08999999999995</v>
      </c>
      <c r="O31" s="26">
        <f t="shared" ca="1" si="2"/>
        <v>3833.9999999999991</v>
      </c>
      <c r="P31" s="73">
        <f t="shared" ca="1" si="7"/>
        <v>1659.8440000000001</v>
      </c>
      <c r="Q31" s="26">
        <f t="shared" ca="1" si="8"/>
        <v>144</v>
      </c>
      <c r="R31" s="26">
        <f t="shared" ca="1" si="3"/>
        <v>6204.9900000000007</v>
      </c>
      <c r="S31" s="26">
        <f t="shared" ca="1" si="9"/>
        <v>5182.9750000000004</v>
      </c>
      <c r="T31" s="26">
        <f t="shared" ca="1" si="25"/>
        <v>4930.9949999999999</v>
      </c>
      <c r="U31" s="26">
        <f t="shared" ca="1" si="25"/>
        <v>4507.9949999999999</v>
      </c>
      <c r="V31" s="26">
        <f t="shared" ca="1" si="10"/>
        <v>8.94</v>
      </c>
      <c r="W31" s="26">
        <f t="shared" ca="1" si="11"/>
        <v>4446</v>
      </c>
      <c r="X31" s="26">
        <f ca="1">VLOOKUP(DATE(YEAR(H31+Electric!AB37),MONTH(H31+Electric!AB37),1),'FAF &amp; DDs'!$A$2:$B$321,2,FALSE)*I31</f>
        <v>332.05500000000001</v>
      </c>
      <c r="Y31" s="26">
        <f t="shared" ca="1" si="12"/>
        <v>144</v>
      </c>
      <c r="Z31" s="26">
        <f t="shared" ca="1" si="13"/>
        <v>4931</v>
      </c>
      <c r="AB31" s="1">
        <v>30</v>
      </c>
      <c r="AC31" s="110">
        <v>6.3399999999999998E-2</v>
      </c>
      <c r="AD31" s="110">
        <v>6.9099999999999995E-2</v>
      </c>
      <c r="AE31" s="110">
        <v>7.3599999999999999E-2</v>
      </c>
      <c r="AF31" s="110">
        <v>7.8299999999999995E-2</v>
      </c>
      <c r="AG31" s="110">
        <v>8.0699999999999994E-2</v>
      </c>
      <c r="AH31" s="110">
        <v>8.3099999999999993E-2</v>
      </c>
      <c r="AI31" s="110">
        <v>8.5099999999999995E-2</v>
      </c>
      <c r="AJ31" s="110">
        <v>0.114</v>
      </c>
      <c r="AK31" s="110">
        <v>0.1162</v>
      </c>
      <c r="AL31" s="110">
        <v>0.1139</v>
      </c>
      <c r="AM31" s="110">
        <v>0.1139</v>
      </c>
      <c r="AN31" s="110">
        <v>0.1139</v>
      </c>
      <c r="AO31" s="110">
        <v>0.1139</v>
      </c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</row>
    <row r="32" spans="1:55" x14ac:dyDescent="0.2">
      <c r="B32"/>
      <c r="C32" s="51"/>
      <c r="D32" s="67"/>
      <c r="E32" s="38">
        <f t="shared" ca="1" si="14"/>
        <v>0</v>
      </c>
      <c r="F32" s="37">
        <f ca="1">Electric!X38</f>
        <v>26</v>
      </c>
      <c r="G32" s="123">
        <f ca="1">H32+Electric!$AB38</f>
        <v>43192</v>
      </c>
      <c r="H32" s="32">
        <f ca="1">IF(ROW()&gt;(Electric!$Y$6-Electric!$Y$5+6),"",+Electric!V38)</f>
        <v>43192</v>
      </c>
      <c r="I32" s="33">
        <f ca="1">IF($H32="","",+Electric!F38)</f>
        <v>38000</v>
      </c>
      <c r="J32" s="43">
        <f ca="1">IF($H32="","",+Electric!G38)</f>
        <v>125.14</v>
      </c>
      <c r="K32" s="26">
        <f t="shared" ca="1" si="24"/>
        <v>5156.7049999999999</v>
      </c>
      <c r="L32" s="26">
        <f t="shared" ca="1" si="24"/>
        <v>4808.4349999999995</v>
      </c>
      <c r="M32" s="26">
        <f t="shared" ca="1" si="24"/>
        <v>5397.7566000000006</v>
      </c>
      <c r="N32" s="26">
        <f t="shared" ca="1" si="6"/>
        <v>235.09</v>
      </c>
      <c r="O32" s="26">
        <f t="shared" ca="1" si="2"/>
        <v>3237.5999999999995</v>
      </c>
      <c r="P32" s="73">
        <f t="shared" ca="1" si="7"/>
        <v>1487.9145999999998</v>
      </c>
      <c r="Q32" s="26">
        <f t="shared" ca="1" si="8"/>
        <v>121.60000000000001</v>
      </c>
      <c r="R32" s="26">
        <f t="shared" ca="1" si="3"/>
        <v>5397.7500000000009</v>
      </c>
      <c r="S32" s="26">
        <f t="shared" ca="1" si="9"/>
        <v>4414.6720000000005</v>
      </c>
      <c r="T32" s="26">
        <f t="shared" ca="1" si="25"/>
        <v>4200.4920000000002</v>
      </c>
      <c r="U32" s="26">
        <f t="shared" ca="1" si="25"/>
        <v>3843.2919999999999</v>
      </c>
      <c r="V32" s="26">
        <f t="shared" ca="1" si="10"/>
        <v>8.94</v>
      </c>
      <c r="W32" s="26">
        <f t="shared" ca="1" si="11"/>
        <v>3754.3999999999996</v>
      </c>
      <c r="X32" s="26">
        <f ca="1">VLOOKUP(DATE(YEAR(H32+Electric!AB38),MONTH(H32+Electric!AB38),1),'FAF &amp; DDs'!$A$2:$B$321,2,FALSE)*I32</f>
        <v>315.55200000000002</v>
      </c>
      <c r="Y32" s="26">
        <f t="shared" ca="1" si="12"/>
        <v>121.60000000000001</v>
      </c>
      <c r="Z32" s="26">
        <f t="shared" ca="1" si="13"/>
        <v>4200.4900000000007</v>
      </c>
      <c r="AB32" s="1">
        <v>31</v>
      </c>
      <c r="AC32" s="110">
        <v>6.3399999999999998E-2</v>
      </c>
      <c r="AD32" s="110">
        <v>6.9099999999999995E-2</v>
      </c>
      <c r="AE32" s="110">
        <v>7.3599999999999999E-2</v>
      </c>
      <c r="AF32" s="110">
        <v>7.8299999999999995E-2</v>
      </c>
      <c r="AG32" s="110">
        <v>8.0699999999999994E-2</v>
      </c>
      <c r="AH32" s="110">
        <v>8.3099999999999993E-2</v>
      </c>
      <c r="AI32" s="110">
        <v>8.5099999999999995E-2</v>
      </c>
      <c r="AJ32" s="110">
        <v>0.114</v>
      </c>
      <c r="AK32" s="110">
        <v>0.1162</v>
      </c>
      <c r="AL32" s="110">
        <v>0.1139</v>
      </c>
      <c r="AM32" s="110">
        <v>0.1139</v>
      </c>
      <c r="AN32" s="110">
        <v>0.1139</v>
      </c>
      <c r="AO32" s="110">
        <v>0.1139</v>
      </c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</row>
    <row r="33" spans="2:55" s="23" customFormat="1" x14ac:dyDescent="0.2">
      <c r="B33"/>
      <c r="C33" s="51"/>
      <c r="D33" s="67"/>
      <c r="E33" s="38">
        <f t="shared" ca="1" si="14"/>
        <v>0</v>
      </c>
      <c r="F33" s="37">
        <f ca="1">Electric!X39</f>
        <v>28</v>
      </c>
      <c r="G33" s="123">
        <f ca="1">H33+Electric!$AB39</f>
        <v>43166</v>
      </c>
      <c r="H33" s="32">
        <f ca="1">IF(ROW()&gt;(Electric!$Y$6-Electric!$Y$5+6),"",+Electric!V39)</f>
        <v>43166</v>
      </c>
      <c r="I33" s="33">
        <f ca="1">IF($H33="","",+Electric!F39)</f>
        <v>37000</v>
      </c>
      <c r="J33" s="43">
        <f ca="1">IF($H33="","",+Electric!G39)</f>
        <v>125.14</v>
      </c>
      <c r="K33" s="26">
        <f t="shared" ca="1" si="24"/>
        <v>4959.2060000000001</v>
      </c>
      <c r="L33" s="26">
        <f t="shared" ca="1" si="24"/>
        <v>4620.2359999999999</v>
      </c>
      <c r="M33" s="26">
        <f t="shared" ca="1" si="24"/>
        <v>5210.9575999999997</v>
      </c>
      <c r="N33" s="26">
        <f t="shared" ca="1" si="6"/>
        <v>232.53642857142859</v>
      </c>
      <c r="O33" s="26">
        <f t="shared" ca="1" si="2"/>
        <v>3152.4</v>
      </c>
      <c r="P33" s="73">
        <f t="shared" ca="1" si="7"/>
        <v>1487.9146000000003</v>
      </c>
      <c r="Q33" s="26">
        <f t="shared" ca="1" si="8"/>
        <v>118.4</v>
      </c>
      <c r="R33" s="26">
        <f t="shared" ca="1" si="3"/>
        <v>5208.3964285714283</v>
      </c>
      <c r="S33" s="26">
        <f t="shared" ca="1" si="9"/>
        <v>4208.8729999999996</v>
      </c>
      <c r="T33" s="26">
        <f t="shared" ca="1" si="25"/>
        <v>4000.0929999999998</v>
      </c>
      <c r="U33" s="26">
        <f t="shared" ca="1" si="25"/>
        <v>3652.2929999999997</v>
      </c>
      <c r="V33" s="26">
        <f t="shared" ca="1" si="10"/>
        <v>8.8457142857142852</v>
      </c>
      <c r="W33" s="26">
        <f t="shared" ca="1" si="11"/>
        <v>3655.6</v>
      </c>
      <c r="X33" s="26">
        <f ca="1">VLOOKUP(DATE(YEAR(H33+Electric!AB39),MONTH(H33+Electric!AB39),1),'FAF &amp; DDs'!$A$2:$B$321,2,FALSE)*I33</f>
        <v>217.15299999999999</v>
      </c>
      <c r="Y33" s="26">
        <f t="shared" ca="1" si="12"/>
        <v>118.4</v>
      </c>
      <c r="Z33" s="26">
        <f t="shared" ca="1" si="13"/>
        <v>3999.9957142857143</v>
      </c>
      <c r="AB33" s="1">
        <v>32</v>
      </c>
      <c r="AC33" s="110">
        <f t="shared" ref="AC33:AI33" si="26">+AC32*0.9</f>
        <v>5.706E-2</v>
      </c>
      <c r="AD33" s="110">
        <f t="shared" si="26"/>
        <v>6.2189999999999995E-2</v>
      </c>
      <c r="AE33" s="110">
        <f t="shared" si="26"/>
        <v>6.6240000000000007E-2</v>
      </c>
      <c r="AF33" s="110">
        <f t="shared" si="26"/>
        <v>7.0469999999999991E-2</v>
      </c>
      <c r="AG33" s="110">
        <f t="shared" si="26"/>
        <v>7.263E-2</v>
      </c>
      <c r="AH33" s="110">
        <f t="shared" si="26"/>
        <v>7.4789999999999995E-2</v>
      </c>
      <c r="AI33" s="110">
        <f t="shared" si="26"/>
        <v>7.6589999999999991E-2</v>
      </c>
      <c r="AJ33" s="110">
        <f>+AJ32*0.9</f>
        <v>0.10260000000000001</v>
      </c>
      <c r="AK33" s="110">
        <f>+AK32*0.9</f>
        <v>0.10458000000000001</v>
      </c>
      <c r="AL33" s="110">
        <f>+AL32*0.9</f>
        <v>0.10251</v>
      </c>
      <c r="AM33" s="110">
        <f t="shared" ref="AM33:AO33" si="27">+AM32*0.9</f>
        <v>0.10251</v>
      </c>
      <c r="AN33" s="110">
        <f t="shared" si="27"/>
        <v>0.10251</v>
      </c>
      <c r="AO33" s="110">
        <f t="shared" si="27"/>
        <v>0.10251</v>
      </c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</row>
    <row r="34" spans="2:55" s="23" customFormat="1" x14ac:dyDescent="0.2">
      <c r="B34"/>
      <c r="C34" s="51"/>
      <c r="D34" s="67"/>
      <c r="E34" s="38">
        <f t="shared" ca="1" si="14"/>
        <v>0</v>
      </c>
      <c r="F34" s="37">
        <f ca="1">Electric!X40</f>
        <v>30</v>
      </c>
      <c r="G34" s="123">
        <f ca="1">H34+Electric!$AB40</f>
        <v>43138</v>
      </c>
      <c r="H34" s="32">
        <f ca="1">IF(ROW()&gt;(Electric!$Y$6-Electric!$Y$5+6),"",+Electric!V40)</f>
        <v>43138</v>
      </c>
      <c r="I34" s="33">
        <f ca="1">IF($H34="","",+Electric!F40)</f>
        <v>41600</v>
      </c>
      <c r="J34" s="43">
        <f ca="1">IF($H34="","",+Electric!G40)</f>
        <v>123.94</v>
      </c>
      <c r="K34" s="26">
        <f t="shared" ca="1" si="24"/>
        <v>5174.9182000000001</v>
      </c>
      <c r="L34" s="26">
        <f t="shared" ca="1" si="24"/>
        <v>4793.0981999999995</v>
      </c>
      <c r="M34" s="26">
        <f t="shared" ca="1" si="24"/>
        <v>5370.3217999999997</v>
      </c>
      <c r="N34" s="26">
        <f t="shared" ca="1" si="6"/>
        <v>231.83999999999989</v>
      </c>
      <c r="O34" s="26">
        <f t="shared" ca="1" si="2"/>
        <v>3544.3199999999965</v>
      </c>
      <c r="P34" s="73">
        <f t="shared" ca="1" si="7"/>
        <v>1473.6465999999991</v>
      </c>
      <c r="Q34" s="26">
        <f t="shared" ca="1" si="8"/>
        <v>133.12</v>
      </c>
      <c r="R34" s="26">
        <f t="shared" ca="1" si="3"/>
        <v>5370.329999999999</v>
      </c>
      <c r="S34" s="26">
        <f t="shared" ca="1" si="9"/>
        <v>4472.9052000000001</v>
      </c>
      <c r="T34" s="26">
        <f t="shared" ca="1" si="25"/>
        <v>4239.4151999999995</v>
      </c>
      <c r="U34" s="26">
        <f t="shared" ca="1" si="25"/>
        <v>3848.3751999999995</v>
      </c>
      <c r="V34" s="26">
        <f t="shared" ca="1" si="10"/>
        <v>8.8199999999999967</v>
      </c>
      <c r="W34" s="26">
        <f t="shared" ca="1" si="11"/>
        <v>4110.0799999999981</v>
      </c>
      <c r="X34" s="26">
        <f ca="1">VLOOKUP(DATE(YEAR(H34+Electric!AB40),MONTH(H34+Electric!AB40),1),'FAF &amp; DDs'!$A$2:$B$321,2,FALSE)*I34</f>
        <v>-12.604799999999999</v>
      </c>
      <c r="Y34" s="26">
        <f t="shared" ca="1" si="12"/>
        <v>133.12</v>
      </c>
      <c r="Z34" s="26">
        <f t="shared" ca="1" si="13"/>
        <v>4239.4199999999992</v>
      </c>
      <c r="AB34" s="1">
        <v>33</v>
      </c>
      <c r="AC34" s="110">
        <f>+AC31*0.9</f>
        <v>5.706E-2</v>
      </c>
      <c r="AD34" s="110">
        <f t="shared" ref="AD34:AI34" si="28">+AD31*0.9</f>
        <v>6.2189999999999995E-2</v>
      </c>
      <c r="AE34" s="110">
        <f t="shared" si="28"/>
        <v>6.6240000000000007E-2</v>
      </c>
      <c r="AF34" s="110">
        <f t="shared" si="28"/>
        <v>7.0469999999999991E-2</v>
      </c>
      <c r="AG34" s="110">
        <f t="shared" si="28"/>
        <v>7.263E-2</v>
      </c>
      <c r="AH34" s="110">
        <f t="shared" si="28"/>
        <v>7.4789999999999995E-2</v>
      </c>
      <c r="AI34" s="110">
        <f t="shared" si="28"/>
        <v>7.6589999999999991E-2</v>
      </c>
      <c r="AJ34" s="110">
        <f>+AJ31*0.9</f>
        <v>0.10260000000000001</v>
      </c>
      <c r="AK34" s="110">
        <f>+AK31*0.9</f>
        <v>0.10458000000000001</v>
      </c>
      <c r="AL34" s="110">
        <f>+AL31*0.9</f>
        <v>0.10251</v>
      </c>
      <c r="AM34" s="110">
        <f t="shared" ref="AM34:AO34" si="29">+AM31*0.9</f>
        <v>0.10251</v>
      </c>
      <c r="AN34" s="110">
        <f t="shared" si="29"/>
        <v>0.10251</v>
      </c>
      <c r="AO34" s="110">
        <f t="shared" si="29"/>
        <v>0.10251</v>
      </c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</row>
    <row r="35" spans="2:55" s="23" customFormat="1" x14ac:dyDescent="0.2">
      <c r="B35"/>
      <c r="C35" s="51"/>
      <c r="D35" s="67"/>
      <c r="E35" s="38">
        <f t="shared" ca="1" si="14"/>
        <v>0</v>
      </c>
      <c r="F35" s="37">
        <f ca="1">Electric!X41</f>
        <v>32</v>
      </c>
      <c r="G35" s="123">
        <f ca="1">H35+Electric!$AB41</f>
        <v>43108</v>
      </c>
      <c r="H35" s="32">
        <f ca="1">IF(ROW()&gt;(Electric!$Y$6-Electric!$Y$5+6),"",+Electric!V41)</f>
        <v>43108</v>
      </c>
      <c r="I35" s="33">
        <f ca="1">IF($H35="","",+Electric!F41)</f>
        <v>37600</v>
      </c>
      <c r="J35" s="43">
        <f ca="1">IF($H35="","",+Electric!G41)</f>
        <v>110.12</v>
      </c>
      <c r="K35" s="26">
        <f t="shared" ca="1" si="24"/>
        <v>5266.7695999999996</v>
      </c>
      <c r="L35" s="26">
        <f t="shared" ca="1" si="24"/>
        <v>4922.1495999999988</v>
      </c>
      <c r="M35" s="26">
        <f t="shared" ca="1" si="24"/>
        <v>5457.4323999999997</v>
      </c>
      <c r="N35" s="26">
        <f t="shared" ca="1" si="6"/>
        <v>231.83999999999992</v>
      </c>
      <c r="O35" s="26">
        <f t="shared" ca="1" si="2"/>
        <v>3203.5200000000018</v>
      </c>
      <c r="P35" s="73">
        <f t="shared" ca="1" si="7"/>
        <v>1309.3268</v>
      </c>
      <c r="Q35" s="26">
        <f t="shared" ca="1" si="8"/>
        <v>120.32000000000001</v>
      </c>
      <c r="R35" s="26">
        <f t="shared" ca="1" si="3"/>
        <v>5457.44</v>
      </c>
      <c r="S35" s="26">
        <f t="shared" ca="1" si="9"/>
        <v>4648.3355999999994</v>
      </c>
      <c r="T35" s="26">
        <f t="shared" ca="1" si="25"/>
        <v>4436.4456</v>
      </c>
      <c r="U35" s="26">
        <f t="shared" ca="1" si="25"/>
        <v>4083.0056</v>
      </c>
      <c r="V35" s="26">
        <f t="shared" ca="1" si="10"/>
        <v>8.8200000000000074</v>
      </c>
      <c r="W35" s="26">
        <f t="shared" ca="1" si="11"/>
        <v>3714.88</v>
      </c>
      <c r="X35" s="26">
        <f ca="1">VLOOKUP(DATE(YEAR(H35+Electric!AB41),MONTH(H35+Electric!AB41),1),'FAF &amp; DDs'!$A$2:$B$321,2,FALSE)*I35</f>
        <v>592.42559999999992</v>
      </c>
      <c r="Y35" s="26">
        <f t="shared" ca="1" si="12"/>
        <v>120.32000000000001</v>
      </c>
      <c r="Z35" s="26">
        <f t="shared" ca="1" si="13"/>
        <v>4436.45</v>
      </c>
      <c r="AB35" s="1">
        <v>34</v>
      </c>
      <c r="AC35" s="110">
        <v>6.3399999999999998E-2</v>
      </c>
      <c r="AD35" s="110">
        <v>6.9099999999999995E-2</v>
      </c>
      <c r="AE35" s="110">
        <v>7.3599999999999999E-2</v>
      </c>
      <c r="AF35" s="110">
        <v>7.8299999999999995E-2</v>
      </c>
      <c r="AG35" s="110">
        <v>8.0699999999999994E-2</v>
      </c>
      <c r="AH35" s="110">
        <v>8.3099999999999993E-2</v>
      </c>
      <c r="AI35" s="110">
        <v>8.5099999999999995E-2</v>
      </c>
      <c r="AJ35" s="110">
        <v>0.114</v>
      </c>
      <c r="AK35" s="110">
        <v>0.1162</v>
      </c>
      <c r="AL35" s="110">
        <v>0.1139</v>
      </c>
      <c r="AM35" s="110">
        <v>0.1139</v>
      </c>
      <c r="AN35" s="110">
        <v>0.1139</v>
      </c>
      <c r="AO35" s="110">
        <v>0.1139</v>
      </c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</row>
    <row r="36" spans="2:55" s="23" customFormat="1" x14ac:dyDescent="0.2">
      <c r="B36"/>
      <c r="C36" s="51"/>
      <c r="D36" s="67"/>
      <c r="E36" s="38">
        <f t="shared" ca="1" si="14"/>
        <v>0</v>
      </c>
      <c r="F36" s="37">
        <f ca="1">Electric!X42</f>
        <v>30</v>
      </c>
      <c r="G36" s="123">
        <f ca="1">H36+Electric!$AB42</f>
        <v>43076</v>
      </c>
      <c r="H36" s="32">
        <f ca="1">IF(ROW()&gt;(Electric!$Y$6-Electric!$Y$5+6),"",+Electric!V42)</f>
        <v>43076</v>
      </c>
      <c r="I36" s="33">
        <f ca="1">IF($H36="","",+Electric!F42)</f>
        <v>35200</v>
      </c>
      <c r="J36" s="43">
        <f ca="1">IF($H36="","",+Electric!G42)</f>
        <v>121.3</v>
      </c>
      <c r="K36" s="26">
        <f t="shared" ca="1" si="24"/>
        <v>4829.5414000000001</v>
      </c>
      <c r="L36" s="26">
        <f t="shared" ca="1" si="24"/>
        <v>4507.2413999999999</v>
      </c>
      <c r="M36" s="26">
        <f t="shared" ca="1" si="24"/>
        <v>5084.3434000000007</v>
      </c>
      <c r="N36" s="26">
        <f t="shared" ca="1" si="6"/>
        <v>231.83999999999989</v>
      </c>
      <c r="O36" s="26">
        <f t="shared" ca="1" si="2"/>
        <v>2999.0399999999968</v>
      </c>
      <c r="P36" s="73">
        <f t="shared" ca="1" si="7"/>
        <v>1442.2569999999992</v>
      </c>
      <c r="Q36" s="26">
        <f t="shared" ca="1" si="8"/>
        <v>112.64</v>
      </c>
      <c r="R36" s="26">
        <f t="shared" ca="1" si="3"/>
        <v>5084.3499999999995</v>
      </c>
      <c r="S36" s="26">
        <f t="shared" ca="1" si="9"/>
        <v>4096.7164000000002</v>
      </c>
      <c r="T36" s="26">
        <f t="shared" ca="1" si="25"/>
        <v>3897.7864</v>
      </c>
      <c r="U36" s="26">
        <f t="shared" ca="1" si="25"/>
        <v>3566.9063999999998</v>
      </c>
      <c r="V36" s="26">
        <f t="shared" ca="1" si="10"/>
        <v>8.8199999999999967</v>
      </c>
      <c r="W36" s="26">
        <f t="shared" ca="1" si="11"/>
        <v>3477.7599999999984</v>
      </c>
      <c r="X36" s="26">
        <f ca="1">VLOOKUP(DATE(YEAR(H36+Electric!AB42),MONTH(H36+Electric!AB42),1),'FAF &amp; DDs'!$A$2:$B$321,2,FALSE)*I36</f>
        <v>298.56639999999999</v>
      </c>
      <c r="Y36" s="26">
        <f t="shared" ca="1" si="12"/>
        <v>112.64</v>
      </c>
      <c r="Z36" s="26">
        <f t="shared" ca="1" si="13"/>
        <v>3897.7900000000004</v>
      </c>
      <c r="AB36" s="1">
        <v>35</v>
      </c>
      <c r="AC36" s="110">
        <v>6.3399999999999998E-2</v>
      </c>
      <c r="AD36" s="110">
        <v>6.9099999999999995E-2</v>
      </c>
      <c r="AE36" s="110">
        <v>7.3599999999999999E-2</v>
      </c>
      <c r="AF36" s="110">
        <v>7.8299999999999995E-2</v>
      </c>
      <c r="AG36" s="110">
        <v>8.0699999999999994E-2</v>
      </c>
      <c r="AH36" s="110">
        <v>8.3099999999999993E-2</v>
      </c>
      <c r="AI36" s="110">
        <v>8.5099999999999995E-2</v>
      </c>
      <c r="AJ36" s="110">
        <v>0.114</v>
      </c>
      <c r="AK36" s="110">
        <v>0.1162</v>
      </c>
      <c r="AL36" s="110">
        <v>0.1139</v>
      </c>
      <c r="AM36" s="110">
        <v>0.1139</v>
      </c>
      <c r="AN36" s="110">
        <v>0.1139</v>
      </c>
      <c r="AO36" s="110">
        <v>0.1139</v>
      </c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</row>
    <row r="37" spans="2:55" s="23" customFormat="1" x14ac:dyDescent="0.2">
      <c r="B37" s="27"/>
      <c r="C37"/>
      <c r="E37" s="38">
        <f t="shared" ca="1" si="14"/>
        <v>0</v>
      </c>
      <c r="F37" s="37">
        <f ca="1">Electric!X43</f>
        <v>29</v>
      </c>
      <c r="G37" s="123">
        <f ca="1">H37+Electric!$AB43</f>
        <v>43046</v>
      </c>
      <c r="H37" s="32">
        <f ca="1">IF(ROW()&gt;(Electric!$Y$6-Electric!$Y$5+6),"",+Electric!V43)</f>
        <v>43046</v>
      </c>
      <c r="I37" s="33">
        <f ca="1">IF($H37="","",+Electric!F43)</f>
        <v>37000</v>
      </c>
      <c r="J37" s="43">
        <f ca="1">IF($H37="","",+Electric!G43)</f>
        <v>130.78</v>
      </c>
      <c r="K37" s="26">
        <f t="shared" ca="1" si="24"/>
        <v>5084.387999999999</v>
      </c>
      <c r="L37" s="26">
        <f t="shared" ca="1" si="24"/>
        <v>4745.347999999999</v>
      </c>
      <c r="M37" s="26">
        <f t="shared" ca="1" si="24"/>
        <v>5352.5411999999997</v>
      </c>
      <c r="N37" s="26">
        <f t="shared" ca="1" si="6"/>
        <v>231.84000000000003</v>
      </c>
      <c r="O37" s="26">
        <f t="shared" ca="1" si="2"/>
        <v>3152.4000000000005</v>
      </c>
      <c r="P37" s="73">
        <f t="shared" ca="1" si="7"/>
        <v>1554.9742000000017</v>
      </c>
      <c r="Q37" s="26">
        <f t="shared" ca="1" si="8"/>
        <v>118.4</v>
      </c>
      <c r="R37" s="26">
        <f t="shared" ca="1" si="3"/>
        <v>5352.54</v>
      </c>
      <c r="S37" s="26">
        <f t="shared" ca="1" si="9"/>
        <v>4286.3969999999999</v>
      </c>
      <c r="T37" s="26">
        <f t="shared" ca="1" si="25"/>
        <v>4077.7470000000003</v>
      </c>
      <c r="U37" s="26">
        <f t="shared" ca="1" si="25"/>
        <v>3729.9470000000001</v>
      </c>
      <c r="V37" s="26">
        <f t="shared" ca="1" si="10"/>
        <v>8.8200000000000074</v>
      </c>
      <c r="W37" s="26">
        <f t="shared" ca="1" si="11"/>
        <v>3655.6000000000017</v>
      </c>
      <c r="X37" s="26">
        <f ca="1">VLOOKUP(DATE(YEAR(H37+Electric!AB43),MONTH(H37+Electric!AB43),1),'FAF &amp; DDs'!$A$2:$B$321,2,FALSE)*I37</f>
        <v>294.92700000000002</v>
      </c>
      <c r="Y37" s="26">
        <f t="shared" ca="1" si="12"/>
        <v>118.4</v>
      </c>
      <c r="Z37" s="26">
        <f t="shared" ca="1" si="13"/>
        <v>4077.75</v>
      </c>
      <c r="AB37" s="1">
        <v>36</v>
      </c>
      <c r="AC37" s="110">
        <f t="shared" ref="AC37:AI37" si="30">+AC36*0.9</f>
        <v>5.706E-2</v>
      </c>
      <c r="AD37" s="110">
        <f t="shared" si="30"/>
        <v>6.2189999999999995E-2</v>
      </c>
      <c r="AE37" s="110">
        <f t="shared" si="30"/>
        <v>6.6240000000000007E-2</v>
      </c>
      <c r="AF37" s="110">
        <f t="shared" si="30"/>
        <v>7.0469999999999991E-2</v>
      </c>
      <c r="AG37" s="110">
        <f t="shared" si="30"/>
        <v>7.263E-2</v>
      </c>
      <c r="AH37" s="110">
        <f t="shared" si="30"/>
        <v>7.4789999999999995E-2</v>
      </c>
      <c r="AI37" s="110">
        <f t="shared" si="30"/>
        <v>7.6589999999999991E-2</v>
      </c>
      <c r="AJ37" s="110">
        <f>+AJ36*0.9</f>
        <v>0.10260000000000001</v>
      </c>
      <c r="AK37" s="110">
        <f>+AK36*0.9</f>
        <v>0.10458000000000001</v>
      </c>
      <c r="AL37" s="110">
        <f>+AL36*0.9</f>
        <v>0.10251</v>
      </c>
      <c r="AM37" s="110">
        <f t="shared" ref="AM37:AO37" si="31">+AM36*0.9</f>
        <v>0.10251</v>
      </c>
      <c r="AN37" s="110">
        <f t="shared" si="31"/>
        <v>0.10251</v>
      </c>
      <c r="AO37" s="110">
        <f t="shared" si="31"/>
        <v>0.10251</v>
      </c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</row>
    <row r="38" spans="2:55" s="23" customFormat="1" x14ac:dyDescent="0.2">
      <c r="B38" s="27"/>
      <c r="E38" s="38">
        <f t="shared" ca="1" si="14"/>
        <v>5</v>
      </c>
      <c r="F38" s="37">
        <f ca="1">Electric!X44</f>
        <v>29</v>
      </c>
      <c r="G38" s="123">
        <f ca="1">H38+Electric!$AB44</f>
        <v>43017</v>
      </c>
      <c r="H38" s="32">
        <f ca="1">IF(ROW()&gt;(Electric!$Y$6-Electric!$Y$5+6),"",+Electric!V44)</f>
        <v>43017</v>
      </c>
      <c r="I38" s="33">
        <f ca="1">IF($H38="","",+Electric!F44)</f>
        <v>43400</v>
      </c>
      <c r="J38" s="43">
        <f ca="1">IF($H38="","",+Electric!G44)</f>
        <v>145.72</v>
      </c>
      <c r="K38" s="26">
        <f t="shared" ca="1" si="24"/>
        <v>5494.0106241379308</v>
      </c>
      <c r="L38" s="26">
        <f t="shared" ca="1" si="24"/>
        <v>5104.565827586207</v>
      </c>
      <c r="M38" s="26">
        <f t="shared" ca="1" si="24"/>
        <v>5753.122572413793</v>
      </c>
      <c r="N38" s="26">
        <f t="shared" ca="1" si="6"/>
        <v>231.84000000000003</v>
      </c>
      <c r="O38" s="26">
        <f t="shared" ca="1" si="2"/>
        <v>3760.5372000000007</v>
      </c>
      <c r="P38" s="73">
        <f t="shared" ca="1" si="7"/>
        <v>1785.8739724137929</v>
      </c>
      <c r="Q38" s="26">
        <f t="shared" ca="1" si="8"/>
        <v>138.88</v>
      </c>
      <c r="R38" s="26">
        <f t="shared" ca="1" si="3"/>
        <v>5753.12</v>
      </c>
      <c r="S38" s="26">
        <f t="shared" ca="1" si="9"/>
        <v>4595.6378000000004</v>
      </c>
      <c r="T38" s="26">
        <f t="shared" ca="1" si="25"/>
        <v>4384.6046999999999</v>
      </c>
      <c r="U38" s="26">
        <f t="shared" ca="1" si="25"/>
        <v>4046.9848999999999</v>
      </c>
      <c r="V38" s="26">
        <f t="shared" ca="1" si="10"/>
        <v>8.8199999999999985</v>
      </c>
      <c r="W38" s="26">
        <f t="shared" ca="1" si="11"/>
        <v>4400.9132999999974</v>
      </c>
      <c r="X38" s="26">
        <f ca="1">VLOOKUP(DATE(YEAR(H38+Electric!AB44),MONTH(H38+Electric!AB44),1),'FAF &amp; DDs'!$A$2:$B$321,2,FALSE)*I38</f>
        <v>-164.0086</v>
      </c>
      <c r="Y38" s="26">
        <f t="shared" ca="1" si="12"/>
        <v>138.88</v>
      </c>
      <c r="Z38" s="26">
        <f t="shared" ca="1" si="13"/>
        <v>4384.5999999999995</v>
      </c>
      <c r="AB38" s="1">
        <v>37</v>
      </c>
      <c r="AC38" s="110">
        <f>+AC35*0.9</f>
        <v>5.706E-2</v>
      </c>
      <c r="AD38" s="110">
        <f t="shared" ref="AD38:AI38" si="32">+AD35*0.9</f>
        <v>6.2189999999999995E-2</v>
      </c>
      <c r="AE38" s="110">
        <f t="shared" si="32"/>
        <v>6.6240000000000007E-2</v>
      </c>
      <c r="AF38" s="110">
        <f t="shared" si="32"/>
        <v>7.0469999999999991E-2</v>
      </c>
      <c r="AG38" s="110">
        <f t="shared" si="32"/>
        <v>7.263E-2</v>
      </c>
      <c r="AH38" s="110">
        <f t="shared" si="32"/>
        <v>7.4789999999999995E-2</v>
      </c>
      <c r="AI38" s="110">
        <f t="shared" si="32"/>
        <v>7.6589999999999991E-2</v>
      </c>
      <c r="AJ38" s="110">
        <f>+AJ35*0.9</f>
        <v>0.10260000000000001</v>
      </c>
      <c r="AK38" s="110">
        <f>+AK35*0.9</f>
        <v>0.10458000000000001</v>
      </c>
      <c r="AL38" s="110">
        <f>+AL35*0.9</f>
        <v>0.10251</v>
      </c>
      <c r="AM38" s="110">
        <f t="shared" ref="AM38:AO38" si="33">+AM35*0.9</f>
        <v>0.10251</v>
      </c>
      <c r="AN38" s="110">
        <f t="shared" si="33"/>
        <v>0.10251</v>
      </c>
      <c r="AO38" s="110">
        <f t="shared" si="33"/>
        <v>0.10251</v>
      </c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</row>
    <row r="39" spans="2:55" s="23" customFormat="1" x14ac:dyDescent="0.2">
      <c r="B39" s="27"/>
      <c r="E39" s="38">
        <f t="shared" ca="1" si="14"/>
        <v>32</v>
      </c>
      <c r="F39" s="37">
        <f ca="1">Electric!X45</f>
        <v>32</v>
      </c>
      <c r="G39" s="123">
        <f ca="1">H39+Electric!$AB45</f>
        <v>42988</v>
      </c>
      <c r="H39" s="32">
        <f ca="1">IF(ROW()&gt;(Electric!$Y$6-Electric!$Y$5+6),"",+Electric!V45)</f>
        <v>42988</v>
      </c>
      <c r="I39" s="33">
        <f ca="1">IF($H39="","",+Electric!F45)</f>
        <v>46800</v>
      </c>
      <c r="J39" s="43">
        <f ca="1">IF($H39="","",+Electric!G45)</f>
        <v>140.47999999999999</v>
      </c>
      <c r="K39" s="26">
        <f t="shared" ca="1" si="24"/>
        <v>6294.8356000000003</v>
      </c>
      <c r="L39" s="26">
        <f t="shared" ca="1" si="24"/>
        <v>5909.1755999999996</v>
      </c>
      <c r="M39" s="26">
        <f t="shared" ca="1" si="24"/>
        <v>6535.9848000000002</v>
      </c>
      <c r="N39" s="26">
        <f t="shared" ca="1" si="6"/>
        <v>231.84000000000015</v>
      </c>
      <c r="O39" s="26">
        <f t="shared" ca="1" si="2"/>
        <v>4380.4800000000005</v>
      </c>
      <c r="P39" s="73">
        <f t="shared" ca="1" si="7"/>
        <v>1968.1247999999998</v>
      </c>
      <c r="Q39" s="26">
        <f t="shared" ca="1" si="8"/>
        <v>149.76000000000002</v>
      </c>
      <c r="R39" s="26">
        <f t="shared" ca="1" si="3"/>
        <v>6535.98</v>
      </c>
      <c r="S39" s="26">
        <f t="shared" ca="1" si="9"/>
        <v>5355.21</v>
      </c>
      <c r="T39" s="26">
        <f t="shared" ca="1" si="25"/>
        <v>5294.88</v>
      </c>
      <c r="U39" s="26">
        <f t="shared" ca="1" si="25"/>
        <v>5294.88</v>
      </c>
      <c r="V39" s="26">
        <f t="shared" ca="1" si="10"/>
        <v>8.82</v>
      </c>
      <c r="W39" s="26">
        <f t="shared" ca="1" si="11"/>
        <v>5330.52</v>
      </c>
      <c r="X39" s="26">
        <f ca="1">VLOOKUP(DATE(YEAR(H39+Electric!AB45),MONTH(H39+Electric!AB45),1),'FAF &amp; DDs'!$A$2:$B$321,2,FALSE)*I39</f>
        <v>-194.22</v>
      </c>
      <c r="Y39" s="26">
        <f t="shared" ca="1" si="12"/>
        <v>149.76000000000002</v>
      </c>
      <c r="Z39" s="26">
        <f t="shared" ca="1" si="13"/>
        <v>5294.88</v>
      </c>
      <c r="AB39" s="1">
        <v>40</v>
      </c>
      <c r="AC39" s="110">
        <v>5.5899999999999998E-2</v>
      </c>
      <c r="AD39" s="110">
        <v>6.0900000000000003E-2</v>
      </c>
      <c r="AE39" s="110">
        <v>6.4899999999999999E-2</v>
      </c>
      <c r="AF39" s="110">
        <v>6.9000000000000006E-2</v>
      </c>
      <c r="AG39" s="110">
        <v>7.1099999999999997E-2</v>
      </c>
      <c r="AH39" s="110">
        <v>7.3200000000000001E-2</v>
      </c>
      <c r="AI39" s="110">
        <v>7.4999999999999997E-2</v>
      </c>
      <c r="AJ39" s="110">
        <v>0.10340000000000001</v>
      </c>
      <c r="AK39" s="110">
        <v>0.1055</v>
      </c>
      <c r="AL39" s="110">
        <v>0.10440000000000001</v>
      </c>
      <c r="AM39" s="110">
        <v>0.10440000000000001</v>
      </c>
      <c r="AN39" s="110">
        <v>0.10440000000000001</v>
      </c>
      <c r="AO39" s="203">
        <v>0.10829999999999999</v>
      </c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</row>
    <row r="40" spans="2:55" s="23" customFormat="1" x14ac:dyDescent="0.2">
      <c r="B40" s="27"/>
      <c r="E40" s="38">
        <f t="shared" ca="1" si="14"/>
        <v>31</v>
      </c>
      <c r="F40" s="37">
        <f ca="1">Electric!X46</f>
        <v>31</v>
      </c>
      <c r="G40" s="123">
        <f ca="1">H40+Electric!$AB46</f>
        <v>42956</v>
      </c>
      <c r="H40" s="32">
        <f ca="1">IF(ROW()&gt;(Electric!$Y$6-Electric!$Y$5+6),"",+Electric!V46)</f>
        <v>42956</v>
      </c>
      <c r="I40" s="33">
        <f ca="1">IF($H40="","",+Electric!F46)</f>
        <v>49000</v>
      </c>
      <c r="J40" s="43">
        <f ca="1">IF($H40="","",+Electric!G46)</f>
        <v>147.30000000000001</v>
      </c>
      <c r="K40" s="26">
        <f t="shared" ca="1" si="24"/>
        <v>6956.1470000000008</v>
      </c>
      <c r="L40" s="26">
        <f t="shared" ca="1" si="24"/>
        <v>6552.2820000000002</v>
      </c>
      <c r="M40" s="26">
        <f t="shared" ca="1" si="24"/>
        <v>7199.3840000000009</v>
      </c>
      <c r="N40" s="26">
        <f t="shared" ca="1" si="6"/>
        <v>231.83999999999992</v>
      </c>
      <c r="O40" s="26">
        <f t="shared" ca="1" si="2"/>
        <v>4586.4000000000005</v>
      </c>
      <c r="P40" s="73">
        <f t="shared" ca="1" si="7"/>
        <v>2063.6730000000002</v>
      </c>
      <c r="Q40" s="26">
        <f t="shared" ca="1" si="8"/>
        <v>156.80000000000001</v>
      </c>
      <c r="R40" s="26">
        <f t="shared" ca="1" si="3"/>
        <v>7199.38</v>
      </c>
      <c r="S40" s="26">
        <f t="shared" ca="1" si="9"/>
        <v>5970.1410000000005</v>
      </c>
      <c r="T40" s="26">
        <f t="shared" ca="1" si="25"/>
        <v>5907.3910000000005</v>
      </c>
      <c r="U40" s="26">
        <f t="shared" ca="1" si="25"/>
        <v>5907.3910000000005</v>
      </c>
      <c r="V40" s="26">
        <f t="shared" ca="1" si="10"/>
        <v>8.819999999999995</v>
      </c>
      <c r="W40" s="26">
        <f t="shared" ca="1" si="11"/>
        <v>5581.1</v>
      </c>
      <c r="X40" s="26">
        <f ca="1">VLOOKUP(DATE(YEAR(H40+Electric!AB46),MONTH(H40+Electric!AB46),1),'FAF &amp; DDs'!$A$2:$B$321,2,FALSE)*I40</f>
        <v>160.67099999999999</v>
      </c>
      <c r="Y40" s="26">
        <f t="shared" ca="1" si="12"/>
        <v>156.80000000000001</v>
      </c>
      <c r="Z40" s="26">
        <f t="shared" ca="1" si="13"/>
        <v>5907.39</v>
      </c>
      <c r="AB40" s="1">
        <v>41</v>
      </c>
      <c r="AC40" s="110">
        <v>5.5899999999999998E-2</v>
      </c>
      <c r="AD40" s="110">
        <v>6.0900000000000003E-2</v>
      </c>
      <c r="AE40" s="110">
        <v>6.4899999999999999E-2</v>
      </c>
      <c r="AF40" s="110">
        <v>6.9000000000000006E-2</v>
      </c>
      <c r="AG40" s="110">
        <v>7.1099999999999997E-2</v>
      </c>
      <c r="AH40" s="110">
        <v>7.3200000000000001E-2</v>
      </c>
      <c r="AI40" s="110">
        <v>7.4999999999999997E-2</v>
      </c>
      <c r="AJ40" s="110">
        <v>0.10340000000000001</v>
      </c>
      <c r="AK40" s="110">
        <v>0.1055</v>
      </c>
      <c r="AL40" s="110">
        <v>0.10440000000000001</v>
      </c>
      <c r="AM40" s="110">
        <v>0.10440000000000001</v>
      </c>
      <c r="AN40" s="110">
        <v>0.10440000000000001</v>
      </c>
      <c r="AO40" s="203">
        <v>0.10829999999999999</v>
      </c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</row>
    <row r="41" spans="2:55" s="23" customFormat="1" x14ac:dyDescent="0.2">
      <c r="B41" s="27"/>
      <c r="E41" s="38">
        <f t="shared" ca="1" si="14"/>
        <v>31</v>
      </c>
      <c r="F41" s="37">
        <f ca="1">Electric!X47</f>
        <v>31</v>
      </c>
      <c r="G41" s="123">
        <f ca="1">H41+Electric!$AB47</f>
        <v>42925</v>
      </c>
      <c r="H41" s="32">
        <f ca="1">IF(ROW()&gt;(Electric!$Y$6-Electric!$Y$5+6),"",+Electric!V47)</f>
        <v>42925</v>
      </c>
      <c r="I41" s="33">
        <f ca="1">IF($H41="","",+Electric!F47)</f>
        <v>45600</v>
      </c>
      <c r="J41" s="43">
        <f ca="1">IF($H41="","",+Electric!G47)</f>
        <v>155.72</v>
      </c>
      <c r="K41" s="26">
        <f t="shared" ca="1" si="24"/>
        <v>6754.814800000001</v>
      </c>
      <c r="L41" s="26">
        <f t="shared" ca="1" si="24"/>
        <v>6393.3047999999999</v>
      </c>
      <c r="M41" s="26">
        <f t="shared" ca="1" si="24"/>
        <v>7066.6836000000003</v>
      </c>
      <c r="N41" s="26">
        <f t="shared" ca="1" si="6"/>
        <v>231.84000000000003</v>
      </c>
      <c r="O41" s="26">
        <f t="shared" ca="1" si="2"/>
        <v>4268.16</v>
      </c>
      <c r="P41" s="73">
        <f t="shared" ca="1" si="7"/>
        <v>2181.6372000000001</v>
      </c>
      <c r="Q41" s="26">
        <f t="shared" ca="1" si="8"/>
        <v>145.92000000000002</v>
      </c>
      <c r="R41" s="26">
        <f t="shared" ca="1" si="3"/>
        <v>7066.69</v>
      </c>
      <c r="S41" s="26">
        <f t="shared" ca="1" si="9"/>
        <v>5646.7164000000002</v>
      </c>
      <c r="T41" s="26">
        <f t="shared" ca="1" si="25"/>
        <v>5587.7064</v>
      </c>
      <c r="U41" s="26">
        <f t="shared" ca="1" si="25"/>
        <v>5587.7064</v>
      </c>
      <c r="V41" s="26">
        <f t="shared" ca="1" si="10"/>
        <v>8.8200000000000021</v>
      </c>
      <c r="W41" s="26">
        <f t="shared" ca="1" si="11"/>
        <v>5193.84</v>
      </c>
      <c r="X41" s="26">
        <f ca="1">VLOOKUP(DATE(YEAR(H41+Electric!AB47),MONTH(H41+Electric!AB47),1),'FAF &amp; DDs'!$A$2:$B$321,2,FALSE)*I41</f>
        <v>239.12640000000002</v>
      </c>
      <c r="Y41" s="26">
        <f t="shared" ca="1" si="12"/>
        <v>145.92000000000002</v>
      </c>
      <c r="Z41" s="26">
        <f t="shared" ca="1" si="13"/>
        <v>5587.71</v>
      </c>
      <c r="AB41" s="1">
        <v>42</v>
      </c>
      <c r="AC41" s="110">
        <v>4.8399999999999999E-2</v>
      </c>
      <c r="AD41" s="110">
        <v>5.28E-2</v>
      </c>
      <c r="AE41" s="110">
        <v>5.62E-2</v>
      </c>
      <c r="AF41" s="110">
        <v>5.9799999999999999E-2</v>
      </c>
      <c r="AG41" s="110">
        <v>6.1600000000000002E-2</v>
      </c>
      <c r="AH41" s="110">
        <v>6.3399999999999998E-2</v>
      </c>
      <c r="AI41" s="110">
        <v>6.4899999999999999E-2</v>
      </c>
      <c r="AJ41" s="110">
        <v>9.2799999999999994E-2</v>
      </c>
      <c r="AK41" s="110">
        <v>9.4700000000000006E-2</v>
      </c>
      <c r="AL41" s="110">
        <v>9.3799999999999994E-2</v>
      </c>
      <c r="AM41" s="110">
        <v>9.3799999999999994E-2</v>
      </c>
      <c r="AN41" s="110">
        <v>9.3799999999999994E-2</v>
      </c>
      <c r="AO41" s="203">
        <v>9.7299999999999998E-2</v>
      </c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</row>
    <row r="42" spans="2:55" s="23" customFormat="1" x14ac:dyDescent="0.2">
      <c r="B42" s="27"/>
      <c r="E42" s="38">
        <f t="shared" ca="1" si="14"/>
        <v>24</v>
      </c>
      <c r="F42" s="37">
        <f ca="1">Electric!X48</f>
        <v>35</v>
      </c>
      <c r="G42" s="123">
        <f ca="1">H42+Electric!$AB48</f>
        <v>42894</v>
      </c>
      <c r="H42" s="32">
        <f ca="1">IF(ROW()&gt;(Electric!$Y$6-Electric!$Y$5+6),"",+Electric!V48)</f>
        <v>42894</v>
      </c>
      <c r="I42" s="33">
        <f ca="1">IF($H42="","",+Electric!F48)</f>
        <v>30800</v>
      </c>
      <c r="J42" s="43">
        <f ca="1">IF($H42="","",+Electric!G48)</f>
        <v>154.44</v>
      </c>
      <c r="K42" s="26">
        <f t="shared" ca="1" si="24"/>
        <v>4990.3052342857145</v>
      </c>
      <c r="L42" s="26">
        <f t="shared" ca="1" si="24"/>
        <v>4760.89552</v>
      </c>
      <c r="M42" s="26">
        <f t="shared" ca="1" si="24"/>
        <v>5441.1424342857144</v>
      </c>
      <c r="N42" s="26">
        <f t="shared" ca="1" si="6"/>
        <v>231.84</v>
      </c>
      <c r="O42" s="26">
        <f t="shared" ca="1" si="2"/>
        <v>2801.5679999999998</v>
      </c>
      <c r="P42" s="73">
        <f t="shared" ca="1" si="7"/>
        <v>2060.8032342857146</v>
      </c>
      <c r="Q42" s="26">
        <f t="shared" ca="1" si="8"/>
        <v>98.56</v>
      </c>
      <c r="R42" s="26">
        <f t="shared" ca="1" si="3"/>
        <v>5441.1400000000012</v>
      </c>
      <c r="S42" s="26">
        <f t="shared" ca="1" si="9"/>
        <v>3802.0572000000002</v>
      </c>
      <c r="T42" s="26">
        <f t="shared" ca="1" si="25"/>
        <v>3717.7032000000004</v>
      </c>
      <c r="U42" s="26">
        <f t="shared" ca="1" si="25"/>
        <v>3626.7112000000002</v>
      </c>
      <c r="V42" s="26">
        <f t="shared" ca="1" si="10"/>
        <v>8.8200000000000021</v>
      </c>
      <c r="W42" s="26">
        <f t="shared" ca="1" si="11"/>
        <v>3361.9520000000002</v>
      </c>
      <c r="X42" s="26">
        <f ca="1">VLOOKUP(DATE(YEAR(H42+Electric!AB48),MONTH(H42+Electric!AB48),1),'FAF &amp; DDs'!$A$2:$B$321,2,FALSE)*I42</f>
        <v>248.37119999999999</v>
      </c>
      <c r="Y42" s="26">
        <f t="shared" ca="1" si="12"/>
        <v>98.56</v>
      </c>
      <c r="Z42" s="26">
        <f t="shared" ca="1" si="13"/>
        <v>3717.7</v>
      </c>
      <c r="AB42" s="1">
        <v>43</v>
      </c>
      <c r="AC42" s="110">
        <v>9.7299999999999998E-2</v>
      </c>
      <c r="AD42" s="110">
        <v>9.7299999999999998E-2</v>
      </c>
      <c r="AE42" s="110">
        <v>9.7299999999999998E-2</v>
      </c>
      <c r="AF42" s="110">
        <v>9.7299999999999998E-2</v>
      </c>
      <c r="AG42" s="110">
        <v>9.7299999999999998E-2</v>
      </c>
      <c r="AH42" s="110">
        <v>9.7299999999999998E-2</v>
      </c>
      <c r="AI42" s="110">
        <v>9.7299999999999998E-2</v>
      </c>
      <c r="AJ42" s="110">
        <v>9.7299999999999998E-2</v>
      </c>
      <c r="AK42" s="110">
        <v>9.7299999999999998E-2</v>
      </c>
      <c r="AL42" s="110">
        <v>9.7299999999999998E-2</v>
      </c>
      <c r="AM42" s="110">
        <v>9.7299999999999998E-2</v>
      </c>
      <c r="AN42" s="110">
        <v>9.7299999999999998E-2</v>
      </c>
      <c r="AO42" s="203">
        <v>9.7299999999999998E-2</v>
      </c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</row>
    <row r="43" spans="2:55" s="23" customFormat="1" x14ac:dyDescent="0.2">
      <c r="B43" s="27"/>
      <c r="E43" s="38">
        <f t="shared" ca="1" si="14"/>
        <v>0</v>
      </c>
      <c r="F43" s="37">
        <f ca="1">Electric!X49</f>
        <v>27</v>
      </c>
      <c r="G43" s="123">
        <f ca="1">H43+Electric!$AB49</f>
        <v>42859</v>
      </c>
      <c r="H43" s="32">
        <f ca="1">IF(ROW()&gt;(Electric!$Y$6-Electric!$Y$5+6),"",+Electric!V49)</f>
        <v>42859</v>
      </c>
      <c r="I43" s="33">
        <f ca="1">IF($H43="","",+Electric!F49)</f>
        <v>50600</v>
      </c>
      <c r="J43" s="43">
        <f ca="1">IF($H43="","",+Electric!G49)</f>
        <v>138</v>
      </c>
      <c r="K43" s="26">
        <f t="shared" ca="1" si="24"/>
        <v>6789.2885999999999</v>
      </c>
      <c r="L43" s="26">
        <f t="shared" ca="1" si="24"/>
        <v>6323.7685999999994</v>
      </c>
      <c r="M43" s="26">
        <f t="shared" ca="1" si="24"/>
        <v>6936.758600000001</v>
      </c>
      <c r="N43" s="26">
        <f t="shared" ca="1" si="6"/>
        <v>231.84</v>
      </c>
      <c r="O43" s="26">
        <f t="shared" ca="1" si="2"/>
        <v>4311.12</v>
      </c>
      <c r="P43" s="73">
        <f t="shared" ca="1" si="7"/>
        <v>1640.82</v>
      </c>
      <c r="Q43" s="26">
        <f t="shared" ca="1" si="8"/>
        <v>161.92000000000002</v>
      </c>
      <c r="R43" s="26">
        <f t="shared" ca="1" si="3"/>
        <v>6936.76</v>
      </c>
      <c r="S43" s="26">
        <f t="shared" ca="1" si="9"/>
        <v>6043.1686000000009</v>
      </c>
      <c r="T43" s="26">
        <f t="shared" ca="1" si="25"/>
        <v>5761.0785999999998</v>
      </c>
      <c r="U43" s="26">
        <f t="shared" ca="1" si="25"/>
        <v>5285.4385999999995</v>
      </c>
      <c r="V43" s="26">
        <f t="shared" ca="1" si="10"/>
        <v>8.82</v>
      </c>
      <c r="W43" s="26">
        <f t="shared" ca="1" si="11"/>
        <v>4999.2800000000007</v>
      </c>
      <c r="X43" s="26">
        <f ca="1">VLOOKUP(DATE(YEAR(H43+Electric!AB49),MONTH(H43+Electric!AB49),1),'FAF &amp; DDs'!$A$2:$B$321,2,FALSE)*I43</f>
        <v>591.05860000000007</v>
      </c>
      <c r="Y43" s="26">
        <f t="shared" ca="1" si="12"/>
        <v>161.92000000000002</v>
      </c>
      <c r="Z43" s="26">
        <f t="shared" ca="1" si="13"/>
        <v>5761.08</v>
      </c>
      <c r="AB43" s="1">
        <v>44</v>
      </c>
      <c r="AC43" s="110">
        <v>6.3399999999999998E-2</v>
      </c>
      <c r="AD43" s="110">
        <v>6.9099999999999995E-2</v>
      </c>
      <c r="AE43" s="110">
        <v>7.3599999999999999E-2</v>
      </c>
      <c r="AF43" s="110">
        <v>7.8299999999999995E-2</v>
      </c>
      <c r="AG43" s="110">
        <v>8.0699999999999994E-2</v>
      </c>
      <c r="AH43" s="110">
        <v>8.3099999999999993E-2</v>
      </c>
      <c r="AI43" s="110">
        <v>8.5099999999999995E-2</v>
      </c>
      <c r="AJ43" s="110">
        <v>0.114</v>
      </c>
      <c r="AK43" s="110">
        <v>0.1162</v>
      </c>
      <c r="AL43" s="110">
        <v>0.115</v>
      </c>
      <c r="AM43" s="110">
        <v>0.115</v>
      </c>
      <c r="AN43" s="110">
        <v>0.115</v>
      </c>
      <c r="AO43" s="203">
        <v>0.1193</v>
      </c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</row>
    <row r="44" spans="2:55" s="23" customFormat="1" x14ac:dyDescent="0.2">
      <c r="B44" s="27"/>
      <c r="E44" s="38">
        <f t="shared" ca="1" si="14"/>
        <v>0</v>
      </c>
      <c r="F44" s="37">
        <f ca="1">Electric!X50</f>
        <v>29</v>
      </c>
      <c r="G44" s="123">
        <f ca="1">H44+Electric!$AB50</f>
        <v>42832</v>
      </c>
      <c r="H44" s="32">
        <f ca="1">IF(ROW()&gt;(Electric!$Y$6-Electric!$Y$5+6),"",+Electric!V50)</f>
        <v>42832</v>
      </c>
      <c r="I44" s="33">
        <f ca="1">IF($H44="","",+Electric!F50)</f>
        <v>39800</v>
      </c>
      <c r="J44" s="43">
        <f ca="1">IF($H44="","",+Electric!G50)</f>
        <v>118.9</v>
      </c>
      <c r="K44" s="26">
        <f t="shared" ca="1" si="24"/>
        <v>5360.813799999999</v>
      </c>
      <c r="L44" s="26">
        <f t="shared" ca="1" si="24"/>
        <v>4995.7337999999991</v>
      </c>
      <c r="M44" s="26">
        <f t="shared" ca="1" si="24"/>
        <v>5558.1397999999999</v>
      </c>
      <c r="N44" s="26">
        <f t="shared" ca="1" si="6"/>
        <v>231.83999999999997</v>
      </c>
      <c r="O44" s="26">
        <f t="shared" ca="1" si="2"/>
        <v>3390.9600000000005</v>
      </c>
      <c r="P44" s="73">
        <f t="shared" ca="1" si="7"/>
        <v>1413.7210000000002</v>
      </c>
      <c r="Q44" s="26">
        <f t="shared" ca="1" si="8"/>
        <v>127.36</v>
      </c>
      <c r="R44" s="26">
        <f t="shared" ca="1" si="3"/>
        <v>5558.14</v>
      </c>
      <c r="S44" s="26">
        <f t="shared" ca="1" si="9"/>
        <v>4686.4487999999992</v>
      </c>
      <c r="T44" s="26">
        <f t="shared" ca="1" si="25"/>
        <v>4462.6787999999997</v>
      </c>
      <c r="U44" s="26">
        <f t="shared" ca="1" si="25"/>
        <v>4088.5588000000002</v>
      </c>
      <c r="V44" s="26">
        <f t="shared" ca="1" si="10"/>
        <v>8.82</v>
      </c>
      <c r="W44" s="26">
        <f t="shared" ca="1" si="11"/>
        <v>3932.24</v>
      </c>
      <c r="X44" s="26">
        <f ca="1">VLOOKUP(DATE(YEAR(H44+Electric!AB50),MONTH(H44+Electric!AB50),1),'FAF &amp; DDs'!$A$2:$B$321,2,FALSE)*I44</f>
        <v>394.25880000000001</v>
      </c>
      <c r="Y44" s="26">
        <f t="shared" ca="1" si="12"/>
        <v>127.36</v>
      </c>
      <c r="Z44" s="26">
        <f t="shared" ca="1" si="13"/>
        <v>4462.6799999999994</v>
      </c>
      <c r="AB44" s="1">
        <v>46</v>
      </c>
      <c r="AC44" s="110">
        <v>4.82E-2</v>
      </c>
      <c r="AD44" s="110">
        <v>5.2499999999999998E-2</v>
      </c>
      <c r="AE44" s="110">
        <v>5.6000000000000001E-2</v>
      </c>
      <c r="AF44" s="110">
        <v>5.9499999999999997E-2</v>
      </c>
      <c r="AG44" s="110">
        <v>6.13E-2</v>
      </c>
      <c r="AH44" s="110">
        <v>6.3200000000000006E-2</v>
      </c>
      <c r="AI44" s="110">
        <v>6.4699999999999994E-2</v>
      </c>
      <c r="AJ44" s="110">
        <v>9.2600000000000002E-2</v>
      </c>
      <c r="AK44" s="110">
        <v>9.4500000000000001E-2</v>
      </c>
      <c r="AL44" s="110">
        <v>9.3600000000000003E-2</v>
      </c>
      <c r="AM44" s="110">
        <v>9.3600000000000003E-2</v>
      </c>
      <c r="AN44" s="110">
        <v>9.3600000000000003E-2</v>
      </c>
      <c r="AO44" s="203">
        <v>9.7100000000000006E-2</v>
      </c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</row>
    <row r="45" spans="2:55" s="23" customFormat="1" x14ac:dyDescent="0.2">
      <c r="B45" s="27"/>
      <c r="E45" s="38">
        <f t="shared" ca="1" si="14"/>
        <v>0</v>
      </c>
      <c r="F45" s="37">
        <f ca="1">Electric!X51</f>
        <v>31</v>
      </c>
      <c r="G45" s="123">
        <f ca="1">H45+Electric!$AB51</f>
        <v>42803</v>
      </c>
      <c r="H45" s="32">
        <f ca="1">IF(ROW()&gt;(Electric!$Y$6-Electric!$Y$5+6),"",+Electric!V51)</f>
        <v>42803</v>
      </c>
      <c r="I45" s="33">
        <f ca="1">IF($H45="","",+Electric!F51)</f>
        <v>75400</v>
      </c>
      <c r="J45" s="43">
        <f ca="1">IF($H45="","",+Electric!G51)</f>
        <v>122.8</v>
      </c>
      <c r="K45" s="26">
        <f t="shared" ca="1" si="24"/>
        <v>8915.5537999999997</v>
      </c>
      <c r="L45" s="26">
        <f t="shared" ca="1" si="24"/>
        <v>8219.3937999999998</v>
      </c>
      <c r="M45" s="26">
        <f t="shared" ca="1" si="24"/>
        <v>8745.3758000000016</v>
      </c>
      <c r="N45" s="26">
        <f t="shared" ca="1" si="6"/>
        <v>230.64548387096775</v>
      </c>
      <c r="O45" s="26">
        <f t="shared" ca="1" si="2"/>
        <v>6424.0800000000008</v>
      </c>
      <c r="P45" s="73">
        <f t="shared" ca="1" si="7"/>
        <v>1460.0920000000001</v>
      </c>
      <c r="Q45" s="26">
        <f t="shared" ca="1" si="8"/>
        <v>241.28</v>
      </c>
      <c r="R45" s="26">
        <f t="shared" ca="1" si="3"/>
        <v>8744.1754838709676</v>
      </c>
      <c r="S45" s="26">
        <f t="shared" ca="1" si="9"/>
        <v>8503.7138000000014</v>
      </c>
      <c r="T45" s="26">
        <f t="shared" ca="1" si="25"/>
        <v>8087.7037999999993</v>
      </c>
      <c r="U45" s="26">
        <f t="shared" ca="1" si="25"/>
        <v>7378.9437999999991</v>
      </c>
      <c r="V45" s="26">
        <f t="shared" ca="1" si="10"/>
        <v>8.7754838709677401</v>
      </c>
      <c r="W45" s="26">
        <f t="shared" ca="1" si="11"/>
        <v>7449.5200000000013</v>
      </c>
      <c r="X45" s="26">
        <f ca="1">VLOOKUP(DATE(YEAR(H45+Electric!AB51),MONTH(H45+Electric!AB51),1),'FAF &amp; DDs'!$A$2:$B$321,2,FALSE)*I45</f>
        <v>388.0838</v>
      </c>
      <c r="Y45" s="26">
        <f t="shared" ca="1" si="12"/>
        <v>241.28</v>
      </c>
      <c r="Z45" s="26">
        <f t="shared" ca="1" si="13"/>
        <v>8087.6554838709681</v>
      </c>
      <c r="AB45" s="1">
        <v>47</v>
      </c>
      <c r="AC45" s="110">
        <v>4.82E-2</v>
      </c>
      <c r="AD45" s="110">
        <v>5.2499999999999998E-2</v>
      </c>
      <c r="AE45" s="110">
        <v>5.6000000000000001E-2</v>
      </c>
      <c r="AF45" s="110">
        <v>5.9499999999999997E-2</v>
      </c>
      <c r="AG45" s="110">
        <v>6.13E-2</v>
      </c>
      <c r="AH45" s="110">
        <v>6.3200000000000006E-2</v>
      </c>
      <c r="AI45" s="110">
        <v>6.4699999999999994E-2</v>
      </c>
      <c r="AJ45" s="110">
        <v>9.2600000000000002E-2</v>
      </c>
      <c r="AK45" s="110">
        <v>9.4500000000000001E-2</v>
      </c>
      <c r="AL45" s="110">
        <v>9.3600000000000003E-2</v>
      </c>
      <c r="AM45" s="110">
        <v>9.3600000000000003E-2</v>
      </c>
      <c r="AN45" s="110">
        <v>9.3600000000000003E-2</v>
      </c>
      <c r="AO45" s="203">
        <v>9.7100000000000006E-2</v>
      </c>
    </row>
    <row r="46" spans="2:55" s="23" customFormat="1" x14ac:dyDescent="0.2">
      <c r="B46" s="27"/>
      <c r="E46" s="38">
        <f t="shared" ca="1" si="14"/>
        <v>0</v>
      </c>
      <c r="F46" s="37">
        <f ca="1">Electric!X52</f>
        <v>28</v>
      </c>
      <c r="G46" s="123">
        <f ca="1">H46+Electric!$AB52</f>
        <v>42772</v>
      </c>
      <c r="H46" s="32">
        <f ca="1">IF(ROW()&gt;(Electric!$Y$6-Electric!$Y$5+6),"",+Electric!V52)</f>
        <v>42772</v>
      </c>
      <c r="I46" s="33">
        <f ca="1">IF($H46="","",+Electric!F52)</f>
        <v>0</v>
      </c>
      <c r="J46" s="43">
        <f ca="1">IF($H46="","",+Electric!G52)</f>
        <v>106.18</v>
      </c>
      <c r="K46" s="26">
        <f t="shared" ref="K46:M65" ca="1" si="34">(1-$O$2)*(IF(OR($F46&gt;$F$3,$F46&lt;$F$2),$F46,30)/30*HLOOKUP(($H46+$Q$1),$AC$80:$AQ$98,MATCH(VALUE(RIGHT(TRIM(K$5),2)),$AB$80:$AB$98,0))+"CC"+(ROUND(($E46/$F46)*$I46,0)*HLOOKUP(($H46+$Q$1),$AC$30:$AQ$48,MATCH(VALUE(RIGHT(TRIM(K$5),2)),$AB$30:$AB$48,0))+"Summer kWh"+ROUND((($F46-$E46)/$F46)*$I46,0)*HLOOKUP(($H46+$Q$1),$AC$8:$AQ$26,MATCH(VALUE(RIGHT(TRIM(K$5),2)),$AB$8:$AB$26,0))+"Winter kWh")+(IF(($H46+$Q$1)&gt;DATE(2009,7,1),$I46*0.0209*$O$3,0)+"State Wind Energy kWh Surcharge")+($E46/IF($F46&lt;=$F$3,$F46,30)*$J46*HLOOKUP(($H46+$Q$1),$AC$66:$AQ$76,MATCH(VALUE(RIGHT(TRIM(K$5),2)),$AB$66:$AB$76,0))+"Summer kW"+(($F46-$E46)/IF($F46&lt;=$F$3,$F46,30)*$J46)*HLOOKUP(($H46+$Q$1),$AC$52:$AQ$62,MATCH(VALUE(RIGHT(TRIM(K$5),2)),$AB$52:$AB$62,0))+"Winter kW")+$X46)+$Q46</f>
        <v>914.77099999999996</v>
      </c>
      <c r="L46" s="26">
        <f t="shared" ca="1" si="34"/>
        <v>919.79100000000005</v>
      </c>
      <c r="M46" s="26">
        <f t="shared" ca="1" si="34"/>
        <v>1492.7102000000002</v>
      </c>
      <c r="N46" s="26">
        <f t="shared" ca="1" si="6"/>
        <v>230.23000000000008</v>
      </c>
      <c r="O46" s="26">
        <f t="shared" ca="1" si="2"/>
        <v>0</v>
      </c>
      <c r="P46" s="73">
        <f t="shared" ca="1" si="7"/>
        <v>0</v>
      </c>
      <c r="Q46" s="26">
        <f t="shared" ca="1" si="8"/>
        <v>0</v>
      </c>
      <c r="R46" s="26">
        <f t="shared" ca="1" si="3"/>
        <v>230.23000000000008</v>
      </c>
      <c r="S46" s="26">
        <f t="shared" ca="1" si="9"/>
        <v>17.55</v>
      </c>
      <c r="T46" s="26">
        <f t="shared" ref="T46:U65" ca="1" si="35">IF(OR($F46&gt;$F$3,$F46&lt;$F$2),$F46,30)/30*HLOOKUP(($H46+$Q$1),$AC$80:$AQ$98,MATCH(VALUE(RIGHT(TRIM(T$5),2)),$AB$80:$AB$98,0))+"CC"++(ROUND(($E46/$F46)*$I46,0)*HLOOKUP(($H46),$AC$30:$AQ$48,MATCH(VALUE(RIGHT(TRIM(T$5),2)),$AB$30:$AB$48,0))+"Summer kWh"+ROUND((($F46-$E46)/$F46)*$I46,0)*HLOOKUP(($H46),$AC$8:$AQ$26,MATCH(VALUE(RIGHT(TRIM(T$5),2)),$AB$8:$AB$26,0))+"Winter kWh")+(IF($H46&gt;DATE(2009,7,1),$I46*0.0209*$O$3,0)+"State Wind Energy kWh Surcharge")+$X46+$Q46</f>
        <v>8.76</v>
      </c>
      <c r="U46" s="26">
        <f t="shared" ca="1" si="35"/>
        <v>8.76</v>
      </c>
      <c r="V46" s="26">
        <f t="shared" ca="1" si="10"/>
        <v>8.7600000000000069</v>
      </c>
      <c r="W46" s="26">
        <f t="shared" ca="1" si="11"/>
        <v>0</v>
      </c>
      <c r="X46" s="26">
        <f ca="1">VLOOKUP(DATE(YEAR(H46+Electric!AB52),MONTH(H46+Electric!AB52),1),'FAF &amp; DDs'!$A$2:$B$321,2,FALSE)*I46</f>
        <v>0</v>
      </c>
      <c r="Y46" s="26">
        <f t="shared" ca="1" si="12"/>
        <v>0</v>
      </c>
      <c r="Z46" s="26">
        <f t="shared" ca="1" si="13"/>
        <v>8.7600000000000069</v>
      </c>
      <c r="AB46" s="1">
        <v>48</v>
      </c>
      <c r="AC46" s="110">
        <v>3.7900000000000003E-2</v>
      </c>
      <c r="AD46" s="110">
        <v>4.1300000000000003E-2</v>
      </c>
      <c r="AE46" s="110">
        <v>4.3999999999999997E-2</v>
      </c>
      <c r="AF46" s="110">
        <v>4.6800000000000001E-2</v>
      </c>
      <c r="AG46" s="110">
        <v>4.82E-2</v>
      </c>
      <c r="AH46" s="110">
        <v>4.9700000000000001E-2</v>
      </c>
      <c r="AI46" s="110">
        <v>5.0900000000000001E-2</v>
      </c>
      <c r="AJ46" s="110">
        <v>7.8100000000000003E-2</v>
      </c>
      <c r="AK46" s="110">
        <v>7.9699999999999993E-2</v>
      </c>
      <c r="AL46" s="110">
        <v>7.8899999999999998E-2</v>
      </c>
      <c r="AM46" s="110">
        <v>7.8899999999999998E-2</v>
      </c>
      <c r="AN46" s="110">
        <v>7.8899999999999998E-2</v>
      </c>
      <c r="AO46" s="203">
        <v>8.1900000000000001E-2</v>
      </c>
    </row>
    <row r="47" spans="2:55" s="23" customFormat="1" x14ac:dyDescent="0.2">
      <c r="B47" s="27"/>
      <c r="E47" s="38">
        <f t="shared" ca="1" si="14"/>
        <v>0</v>
      </c>
      <c r="F47" s="37">
        <f ca="1">Electric!X53</f>
        <v>35</v>
      </c>
      <c r="G47" s="123">
        <f ca="1">H47+Electric!$AB53</f>
        <v>42744</v>
      </c>
      <c r="H47" s="32">
        <f ca="1">IF(ROW()&gt;(Electric!$Y$6-Electric!$Y$5+6),"",+Electric!V53)</f>
        <v>42744</v>
      </c>
      <c r="I47" s="33">
        <f ca="1">IF($H47="","",+Electric!F53)</f>
        <v>39600</v>
      </c>
      <c r="J47" s="43">
        <f ca="1">IF($H47="","",+Electric!G53)</f>
        <v>106.18</v>
      </c>
      <c r="K47" s="26">
        <f t="shared" ca="1" si="34"/>
        <v>5356.8218000000006</v>
      </c>
      <c r="L47" s="26">
        <f t="shared" ca="1" si="34"/>
        <v>4993.5618000000004</v>
      </c>
      <c r="M47" s="26">
        <f t="shared" ca="1" si="34"/>
        <v>5511.0410000000011</v>
      </c>
      <c r="N47" s="26">
        <f t="shared" ca="1" si="6"/>
        <v>230.22999999999968</v>
      </c>
      <c r="O47" s="26">
        <f t="shared" ca="1" si="2"/>
        <v>3373.9199999999992</v>
      </c>
      <c r="P47" s="73">
        <f t="shared" ca="1" si="7"/>
        <v>1262.4802000000018</v>
      </c>
      <c r="Q47" s="26">
        <f t="shared" ca="1" si="8"/>
        <v>126.72000000000001</v>
      </c>
      <c r="R47" s="26">
        <f t="shared" ca="1" si="3"/>
        <v>5511.0399999999991</v>
      </c>
      <c r="S47" s="26">
        <f t="shared" ca="1" si="9"/>
        <v>4788.2808000000005</v>
      </c>
      <c r="T47" s="26">
        <f t="shared" ca="1" si="35"/>
        <v>4565.6508000000003</v>
      </c>
      <c r="U47" s="26">
        <f t="shared" ca="1" si="35"/>
        <v>4193.4107999999997</v>
      </c>
      <c r="V47" s="26">
        <f t="shared" ca="1" si="10"/>
        <v>8.759999999999998</v>
      </c>
      <c r="W47" s="26">
        <f t="shared" ca="1" si="11"/>
        <v>3912.4799999999977</v>
      </c>
      <c r="X47" s="26">
        <f ca="1">VLOOKUP(DATE(YEAR(H47+Electric!AB53),MONTH(H47+Electric!AB53),1),'FAF &amp; DDs'!$A$2:$B$321,2,FALSE)*I47</f>
        <v>517.69079999999997</v>
      </c>
      <c r="Y47" s="26">
        <f t="shared" ca="1" si="12"/>
        <v>126.72000000000001</v>
      </c>
      <c r="Z47" s="26">
        <f t="shared" ca="1" si="13"/>
        <v>4565.6500000000005</v>
      </c>
      <c r="AB47" s="1">
        <v>49</v>
      </c>
      <c r="AC47" s="110">
        <v>0.13389999999999999</v>
      </c>
      <c r="AD47" s="110">
        <v>0.13389999999999999</v>
      </c>
      <c r="AE47" s="110">
        <v>0.13389999999999999</v>
      </c>
      <c r="AF47" s="110">
        <v>0.13389999999999999</v>
      </c>
      <c r="AG47" s="110">
        <v>0.13389999999999999</v>
      </c>
      <c r="AH47" s="110">
        <v>0.13389999999999999</v>
      </c>
      <c r="AI47" s="110">
        <v>0.13389999999999999</v>
      </c>
      <c r="AJ47" s="110">
        <v>0.13389999999999999</v>
      </c>
      <c r="AK47" s="110">
        <v>0.13389999999999999</v>
      </c>
      <c r="AL47" s="110">
        <v>0.13389999999999999</v>
      </c>
      <c r="AM47" s="110">
        <v>0.13389999999999999</v>
      </c>
      <c r="AN47" s="110">
        <v>0.13389999999999999</v>
      </c>
      <c r="AO47" s="203">
        <v>0.13389999999999999</v>
      </c>
    </row>
    <row r="48" spans="2:55" s="23" customFormat="1" x14ac:dyDescent="0.2">
      <c r="B48" s="27"/>
      <c r="E48" s="38">
        <f t="shared" ca="1" si="14"/>
        <v>0</v>
      </c>
      <c r="F48" s="37">
        <f ca="1">Electric!X54</f>
        <v>32</v>
      </c>
      <c r="H48" s="32">
        <f ca="1">IF(ROW()&gt;(Electric!$Y$6-Electric!$Y$5+6),"",+Electric!V54)</f>
        <v>42709</v>
      </c>
      <c r="I48" s="33">
        <f ca="1">IF($H48="","",+Electric!F54)</f>
        <v>38400</v>
      </c>
      <c r="J48" s="43">
        <f ca="1">IF($H48="","",+Electric!G54)</f>
        <v>138.56</v>
      </c>
      <c r="K48" s="26">
        <f t="shared" ca="1" si="34"/>
        <v>5364.2284</v>
      </c>
      <c r="L48" s="26">
        <f t="shared" ca="1" si="34"/>
        <v>5012.1284000000005</v>
      </c>
      <c r="M48" s="26">
        <f t="shared" ca="1" si="34"/>
        <v>5642.6747999999998</v>
      </c>
      <c r="N48" s="26">
        <f t="shared" ca="1" si="6"/>
        <v>230.23000000000002</v>
      </c>
      <c r="O48" s="26">
        <f t="shared" ca="1" si="2"/>
        <v>3271.6800000000021</v>
      </c>
      <c r="P48" s="73">
        <f t="shared" ca="1" si="7"/>
        <v>1647.4784000000002</v>
      </c>
      <c r="Q48" s="26">
        <f t="shared" ca="1" si="8"/>
        <v>122.88000000000001</v>
      </c>
      <c r="R48" s="26">
        <f t="shared" ca="1" si="3"/>
        <v>5642.6799999999994</v>
      </c>
      <c r="S48" s="26">
        <f t="shared" ca="1" si="9"/>
        <v>4512.1164000000008</v>
      </c>
      <c r="T48" s="26">
        <f t="shared" ca="1" si="35"/>
        <v>4295.9664000000002</v>
      </c>
      <c r="U48" s="26">
        <f t="shared" ca="1" si="35"/>
        <v>3935.0063999999998</v>
      </c>
      <c r="V48" s="26">
        <f t="shared" ca="1" si="10"/>
        <v>8.7600000000000051</v>
      </c>
      <c r="W48" s="26">
        <f t="shared" ca="1" si="11"/>
        <v>3793.9200000000042</v>
      </c>
      <c r="X48" s="26">
        <f ca="1">VLOOKUP(DATE(YEAR(H48+Electric!AB54),MONTH(H48+Electric!AB54),1),'FAF &amp; DDs'!$A$2:$B$321,2,FALSE)*I48</f>
        <v>370.40640000000002</v>
      </c>
      <c r="Y48" s="26">
        <f t="shared" ca="1" si="12"/>
        <v>122.88000000000001</v>
      </c>
      <c r="Z48" s="26">
        <f t="shared" ca="1" si="13"/>
        <v>4295.97</v>
      </c>
      <c r="AB48" s="1">
        <v>58</v>
      </c>
      <c r="AC48" s="110">
        <v>4.6600000000000003E-2</v>
      </c>
      <c r="AD48" s="110">
        <v>5.0799999999999998E-2</v>
      </c>
      <c r="AE48" s="110">
        <v>5.4100000000000002E-2</v>
      </c>
      <c r="AF48" s="110">
        <v>5.7599999999999998E-2</v>
      </c>
      <c r="AG48" s="110">
        <v>5.9299999999999999E-2</v>
      </c>
      <c r="AH48" s="110">
        <v>6.1100000000000002E-2</v>
      </c>
      <c r="AI48" s="110">
        <v>6.25E-2</v>
      </c>
      <c r="AJ48" s="110">
        <v>9.0300000000000005E-2</v>
      </c>
      <c r="AK48" s="110">
        <v>9.2100000000000001E-2</v>
      </c>
      <c r="AL48" s="110">
        <v>9.1200000000000003E-2</v>
      </c>
      <c r="AM48" s="110">
        <v>9.1200000000000003E-2</v>
      </c>
      <c r="AN48" s="110">
        <v>9.1200000000000003E-2</v>
      </c>
      <c r="AO48" s="203">
        <v>9.4600000000000004E-2</v>
      </c>
    </row>
    <row r="49" spans="4:55" s="23" customFormat="1" x14ac:dyDescent="0.2">
      <c r="E49" s="38">
        <f t="shared" ca="1" si="14"/>
        <v>0</v>
      </c>
      <c r="F49" s="37">
        <f ca="1">Electric!X55</f>
        <v>29</v>
      </c>
      <c r="H49" s="32">
        <f ca="1">IF(ROW()&gt;(Electric!$Y$6-Electric!$Y$5+6),"",+Electric!V55)</f>
        <v>42677</v>
      </c>
      <c r="I49" s="33">
        <f ca="1">IF($H49="","",+Electric!F55)</f>
        <v>33000</v>
      </c>
      <c r="J49" s="43">
        <f ca="1">IF($H49="","",+Electric!G55)</f>
        <v>151</v>
      </c>
      <c r="K49" s="26">
        <f t="shared" ca="1" si="34"/>
        <v>4794.8990000000003</v>
      </c>
      <c r="L49" s="26">
        <f t="shared" ca="1" si="34"/>
        <v>4493.0190000000002</v>
      </c>
      <c r="M49" s="26">
        <f t="shared" ca="1" si="34"/>
        <v>5173.9190000000008</v>
      </c>
      <c r="N49" s="26">
        <f t="shared" ca="1" si="6"/>
        <v>230.23000000000019</v>
      </c>
      <c r="O49" s="26">
        <f ca="1">+(ROUND(($E49/$F49)*$I49,0)*HLOOKUP(($H49+$Q$1),$AC$30:$AQ$48,MATCH($AC$2,$AB$30:$AB$48,0))+"Summer"+ROUND((($F49-$E49)/$F49)*$I49,0)/$F49*(($H49-HLOOKUP($H49,$AC$8:$AQ$8,1))*HLOOKUP($H49,$AC$8:$AQ$26,MATCH($AC$2,$AB$8:$AB$26,0))+(HLOOKUP($H49,$AC$8:$AQ$8,1)-$H49+$F49)*HLOOKUP($H49-$F49,$AC$8:$AQ$26,MATCH($AC$2,$AB$8:$AB$26,0)))+"Winter")+(ROUND($I49*HLOOKUP($H49,$AR$72:$BD$73,2)*$O$3,2)+"State Wind Energy Surcharge")</f>
        <v>2811.5999999999967</v>
      </c>
      <c r="P49" s="73">
        <f t="shared" ca="1" si="7"/>
        <v>1795.3899999999996</v>
      </c>
      <c r="Q49" s="26">
        <f t="shared" ca="1" si="8"/>
        <v>105.60000000000001</v>
      </c>
      <c r="R49" s="26">
        <f t="shared" ca="1" si="3"/>
        <v>5173.920000000001</v>
      </c>
      <c r="S49" s="26">
        <f t="shared" ca="1" si="9"/>
        <v>3792.8490000000002</v>
      </c>
      <c r="T49" s="26">
        <f t="shared" ca="1" si="35"/>
        <v>3605.8590000000004</v>
      </c>
      <c r="U49" s="26">
        <f t="shared" ca="1" si="35"/>
        <v>3295.6590000000001</v>
      </c>
      <c r="V49" s="26">
        <f t="shared" ca="1" si="10"/>
        <v>8.759999999999998</v>
      </c>
      <c r="W49" s="26">
        <f t="shared" ca="1" si="11"/>
        <v>3260.3999999999978</v>
      </c>
      <c r="X49" s="26">
        <f ca="1">VLOOKUP(DATE(YEAR(H49+Electric!AB55),MONTH(H49+Electric!AB55),1),'FAF &amp; DDs'!$A$2:$B$321,2,FALSE)*I49</f>
        <v>231.09899999999999</v>
      </c>
      <c r="Y49" s="26">
        <f t="shared" ca="1" si="12"/>
        <v>105.60000000000001</v>
      </c>
      <c r="Z49" s="26">
        <f t="shared" ca="1" si="13"/>
        <v>3605.86</v>
      </c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</row>
    <row r="50" spans="4:55" s="23" customFormat="1" x14ac:dyDescent="0.2">
      <c r="E50" s="38">
        <f t="shared" ca="1" si="14"/>
        <v>9</v>
      </c>
      <c r="F50" s="37">
        <f ca="1">Electric!X56</f>
        <v>29</v>
      </c>
      <c r="H50" s="32">
        <f ca="1">IF(ROW()&gt;(Electric!$Y$6-Electric!$Y$5+6),"",+Electric!V56)</f>
        <v>42648</v>
      </c>
      <c r="I50" s="33">
        <f ca="1">IF($H50="","",+Electric!F56)</f>
        <v>53200</v>
      </c>
      <c r="J50" s="43">
        <f ca="1">IF($H50="","",+Electric!G56)</f>
        <v>120.4</v>
      </c>
      <c r="K50" s="26">
        <f t="shared" ca="1" si="34"/>
        <v>6493.5719655172416</v>
      </c>
      <c r="L50" s="26">
        <f t="shared" ca="1" si="34"/>
        <v>6010.3931034482757</v>
      </c>
      <c r="M50" s="26">
        <f t="shared" ca="1" si="34"/>
        <v>6562.6148965517232</v>
      </c>
      <c r="N50" s="26">
        <f t="shared" ca="1" si="6"/>
        <v>230.22999999999993</v>
      </c>
      <c r="O50" s="26">
        <f t="shared" ref="O50:O113" ca="1" si="36">+(ROUND(($E50/$F50)*$I50,0)*HLOOKUP(($H50+$Q$1),$AC$30:$AQ$48,MATCH($AC$2,$AB$30:$AB$48,0))+"Summer"+ROUND((($F50-$E50)/$F50)*$I50,0)/$F50*(($H50-HLOOKUP($H50,$AC$8:$AQ$8,1))*HLOOKUP($H50,$AC$8:$AQ$26,MATCH($AC$2,$AB$8:$AB$26,0))+(HLOOKUP($H50,$AC$8:$AQ$8,1)-$H50+$F50)*HLOOKUP($H50-$F50,$AC$8:$AQ$26,MATCH($AC$2,$AB$8:$AB$26,0)))+"Winter")+(ROUND($I50*HLOOKUP($H50,$AR$72:$BD$73,2)*$O$3,2)+"State Wind Energy Surcharge")</f>
        <v>4671.3240000000005</v>
      </c>
      <c r="P50" s="73">
        <f t="shared" ca="1" si="7"/>
        <v>1510.770896551724</v>
      </c>
      <c r="Q50" s="26">
        <f t="shared" ca="1" si="8"/>
        <v>170.24</v>
      </c>
      <c r="R50" s="26">
        <f t="shared" ca="1" si="3"/>
        <v>6562.61</v>
      </c>
      <c r="S50" s="26">
        <f t="shared" ca="1" si="9"/>
        <v>5889.5879999999997</v>
      </c>
      <c r="T50" s="26">
        <f t="shared" ca="1" si="35"/>
        <v>5664.5109999999995</v>
      </c>
      <c r="U50" s="26">
        <f t="shared" ca="1" si="35"/>
        <v>5319.625</v>
      </c>
      <c r="V50" s="26">
        <f t="shared" ca="1" si="10"/>
        <v>8.759999999999998</v>
      </c>
      <c r="W50" s="26">
        <f t="shared" ca="1" si="11"/>
        <v>5505.4610000000021</v>
      </c>
      <c r="X50" s="26">
        <f ca="1">VLOOKUP(DATE(YEAR(H50+Electric!AB56),MONTH(H50+Electric!AB56),1),'FAF &amp; DDs'!$A$2:$B$321,2,FALSE)*I50</f>
        <v>-19.95</v>
      </c>
      <c r="Y50" s="26">
        <f t="shared" ca="1" si="12"/>
        <v>170.24</v>
      </c>
      <c r="Z50" s="26">
        <f t="shared" ca="1" si="13"/>
        <v>5664.51</v>
      </c>
      <c r="AB50" s="1"/>
      <c r="AC50" s="1"/>
      <c r="AD50" s="1" t="s">
        <v>163</v>
      </c>
      <c r="AE50" s="1"/>
      <c r="AF50" s="1"/>
      <c r="AG50" s="1"/>
      <c r="AH50" s="1"/>
      <c r="AI50" s="1"/>
      <c r="AJ50" s="1"/>
      <c r="AK50" s="148"/>
      <c r="AL50" s="148"/>
      <c r="AM50" s="148"/>
      <c r="AN50" s="148"/>
      <c r="AO50" s="148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</row>
    <row r="51" spans="4:55" s="23" customFormat="1" x14ac:dyDescent="0.2">
      <c r="E51" s="38">
        <f t="shared" ca="1" si="14"/>
        <v>30</v>
      </c>
      <c r="F51" s="37">
        <f ca="1">Electric!X57</f>
        <v>30</v>
      </c>
      <c r="H51" s="32">
        <f ca="1">IF(ROW()&gt;(Electric!$Y$6-Electric!$Y$5+6),"",+Electric!V57)</f>
        <v>42619</v>
      </c>
      <c r="I51" s="33">
        <f ca="1">IF($H51="","",+Electric!F57)</f>
        <v>50200</v>
      </c>
      <c r="J51" s="43">
        <f ca="1">IF($H51="","",+Electric!G57)</f>
        <v>157.18</v>
      </c>
      <c r="K51" s="26">
        <f t="shared" ca="1" si="34"/>
        <v>6865.2614000000012</v>
      </c>
      <c r="L51" s="26">
        <f t="shared" ca="1" si="34"/>
        <v>6456.0464000000002</v>
      </c>
      <c r="M51" s="26">
        <f t="shared" ca="1" si="34"/>
        <v>7131.4936000000007</v>
      </c>
      <c r="N51" s="26">
        <f t="shared" ca="1" si="6"/>
        <v>230.23000000000005</v>
      </c>
      <c r="O51" s="26">
        <f t="shared" ca="1" si="36"/>
        <v>4698.72</v>
      </c>
      <c r="P51" s="73">
        <f t="shared" ca="1" si="7"/>
        <v>2202.0918000000001</v>
      </c>
      <c r="Q51" s="26">
        <f t="shared" ca="1" si="8"/>
        <v>160.64000000000001</v>
      </c>
      <c r="R51" s="26">
        <f t="shared" ca="1" si="3"/>
        <v>7131.4900000000016</v>
      </c>
      <c r="S51" s="26">
        <f t="shared" ca="1" si="9"/>
        <v>5791.0018000000009</v>
      </c>
      <c r="T51" s="26">
        <f t="shared" ca="1" si="35"/>
        <v>5726.9918000000007</v>
      </c>
      <c r="U51" s="26">
        <f t="shared" ca="1" si="35"/>
        <v>5726.9918000000007</v>
      </c>
      <c r="V51" s="26">
        <f t="shared" ca="1" si="10"/>
        <v>8.7599999999999909</v>
      </c>
      <c r="W51" s="26">
        <f t="shared" ca="1" si="11"/>
        <v>5717.78</v>
      </c>
      <c r="X51" s="26">
        <f ca="1">VLOOKUP(DATE(YEAR(H51+Electric!AB57),MONTH(H51+Electric!AB57),1),'FAF &amp; DDs'!$A$2:$B$321,2,FALSE)*I51</f>
        <v>-160.18819999999999</v>
      </c>
      <c r="Y51" s="26">
        <f t="shared" ca="1" si="12"/>
        <v>160.64000000000001</v>
      </c>
      <c r="Z51" s="26">
        <f t="shared" ca="1" si="13"/>
        <v>5726.9900000000007</v>
      </c>
      <c r="AB51" s="1"/>
      <c r="AC51" s="1" t="s">
        <v>36</v>
      </c>
      <c r="AD51" s="1"/>
      <c r="AE51" s="1"/>
      <c r="AF51" s="1"/>
      <c r="AG51" s="1"/>
      <c r="AH51" s="1"/>
      <c r="AI51" s="1"/>
      <c r="AJ51" s="1"/>
      <c r="AK51" s="148"/>
      <c r="AL51" s="148"/>
      <c r="AM51" s="148"/>
      <c r="AN51" s="148"/>
      <c r="AO51" s="148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</row>
    <row r="52" spans="4:55" s="23" customFormat="1" x14ac:dyDescent="0.2">
      <c r="E52" s="38">
        <f t="shared" ca="1" si="14"/>
        <v>32</v>
      </c>
      <c r="F52" s="37">
        <f ca="1">Electric!X58</f>
        <v>32</v>
      </c>
      <c r="H52" s="32">
        <f ca="1">IF(ROW()&gt;(Electric!$Y$6-Electric!$Y$5+6),"",+Electric!V58)</f>
        <v>42589</v>
      </c>
      <c r="I52" s="33">
        <f ca="1">IF($H52="","",+Electric!F58)</f>
        <v>102400</v>
      </c>
      <c r="J52" s="43">
        <f ca="1">IF($H52="","",+Electric!G58)</f>
        <v>157.18</v>
      </c>
      <c r="K52" s="26">
        <f t="shared" ca="1" si="34"/>
        <v>12415.046400000001</v>
      </c>
      <c r="L52" s="26">
        <f t="shared" ca="1" si="34"/>
        <v>11452.511399999999</v>
      </c>
      <c r="M52" s="26">
        <f t="shared" ca="1" si="34"/>
        <v>12117.518599999999</v>
      </c>
      <c r="N52" s="26">
        <f t="shared" ca="1" si="6"/>
        <v>230.23000000000002</v>
      </c>
      <c r="O52" s="26">
        <f t="shared" ca="1" si="36"/>
        <v>9584.64</v>
      </c>
      <c r="P52" s="73">
        <f t="shared" ca="1" si="7"/>
        <v>2202.0918000000001</v>
      </c>
      <c r="Q52" s="26">
        <f t="shared" ca="1" si="8"/>
        <v>327.68</v>
      </c>
      <c r="R52" s="26">
        <f t="shared" ca="1" si="3"/>
        <v>12117.519999999999</v>
      </c>
      <c r="S52" s="26">
        <f t="shared" ca="1" si="9"/>
        <v>11894.1068</v>
      </c>
      <c r="T52" s="26">
        <f t="shared" ca="1" si="35"/>
        <v>11772.676800000001</v>
      </c>
      <c r="U52" s="26">
        <f t="shared" ca="1" si="35"/>
        <v>11772.676800000001</v>
      </c>
      <c r="V52" s="26">
        <f t="shared" ca="1" si="10"/>
        <v>8.7600000000000051</v>
      </c>
      <c r="W52" s="26">
        <f t="shared" ca="1" si="11"/>
        <v>11663.36</v>
      </c>
      <c r="X52" s="26">
        <f ca="1">VLOOKUP(DATE(YEAR(H52+Electric!AB58),MONTH(H52+Electric!AB58),1),'FAF &amp; DDs'!$A$2:$B$321,2,FALSE)*I52</f>
        <v>-227.1232</v>
      </c>
      <c r="Y52" s="26">
        <f t="shared" ca="1" si="12"/>
        <v>327.68</v>
      </c>
      <c r="Z52" s="26">
        <f t="shared" ca="1" si="13"/>
        <v>11772.68</v>
      </c>
      <c r="AB52" s="1" t="s">
        <v>160</v>
      </c>
      <c r="AC52" s="109">
        <v>37043</v>
      </c>
      <c r="AD52" s="84">
        <v>38657</v>
      </c>
      <c r="AE52" s="84">
        <v>38808</v>
      </c>
      <c r="AF52" s="84">
        <v>38991</v>
      </c>
      <c r="AG52" s="84">
        <v>39173</v>
      </c>
      <c r="AH52" s="84">
        <v>39356</v>
      </c>
      <c r="AI52" s="84">
        <v>39539</v>
      </c>
      <c r="AJ52" s="84">
        <v>40969</v>
      </c>
      <c r="AK52" s="84">
        <v>41334</v>
      </c>
      <c r="AL52" s="84">
        <v>42370</v>
      </c>
      <c r="AM52" s="84">
        <v>42795</v>
      </c>
      <c r="AN52" s="84">
        <v>43160</v>
      </c>
      <c r="AO52" s="84">
        <v>43525</v>
      </c>
      <c r="AP52" s="106">
        <f>DATE(2040,3,1)</f>
        <v>51196</v>
      </c>
      <c r="AQ52" s="106">
        <f>DATE(2041,3,1)</f>
        <v>51561</v>
      </c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</row>
    <row r="53" spans="4:55" s="23" customFormat="1" x14ac:dyDescent="0.2">
      <c r="E53" s="38">
        <f t="shared" ca="1" si="14"/>
        <v>31</v>
      </c>
      <c r="F53" s="37">
        <f ca="1">Electric!X59</f>
        <v>31</v>
      </c>
      <c r="H53" s="32">
        <f ca="1">IF(ROW()&gt;(Electric!$Y$6-Electric!$Y$5+6),"",+Electric!V59)</f>
        <v>42557</v>
      </c>
      <c r="I53" s="33">
        <f ca="1">IF($H53="","",+Electric!F59)</f>
        <v>41000</v>
      </c>
      <c r="J53" s="43">
        <f ca="1">IF($H53="","",+Electric!G59)</f>
        <v>139.02000000000001</v>
      </c>
      <c r="K53" s="26">
        <f t="shared" ca="1" si="34"/>
        <v>6122.8304000000007</v>
      </c>
      <c r="L53" s="26">
        <f t="shared" ca="1" si="34"/>
        <v>5797.5153999999993</v>
      </c>
      <c r="M53" s="26">
        <f t="shared" ca="1" si="34"/>
        <v>6419.5962</v>
      </c>
      <c r="N53" s="26">
        <f t="shared" ca="1" si="6"/>
        <v>230.2299999999999</v>
      </c>
      <c r="O53" s="26">
        <f t="shared" ca="1" si="36"/>
        <v>3837.6</v>
      </c>
      <c r="P53" s="73">
        <f t="shared" ca="1" si="7"/>
        <v>1947.6702</v>
      </c>
      <c r="Q53" s="26">
        <f t="shared" ca="1" si="8"/>
        <v>131.20000000000002</v>
      </c>
      <c r="R53" s="26">
        <f t="shared" ca="1" si="3"/>
        <v>6419.5999999999995</v>
      </c>
      <c r="S53" s="26">
        <f t="shared" ca="1" si="9"/>
        <v>5136.6459999999997</v>
      </c>
      <c r="T53" s="26">
        <f t="shared" ca="1" si="35"/>
        <v>5082.7559999999994</v>
      </c>
      <c r="U53" s="26">
        <f t="shared" ca="1" si="35"/>
        <v>5082.7559999999994</v>
      </c>
      <c r="V53" s="26">
        <f t="shared" ca="1" si="10"/>
        <v>8.759999999999998</v>
      </c>
      <c r="W53" s="26">
        <f t="shared" ca="1" si="11"/>
        <v>4669.8999999999996</v>
      </c>
      <c r="X53" s="26">
        <f ca="1">VLOOKUP(DATE(YEAR(H53+Electric!AB59),MONTH(H53+Electric!AB59),1),'FAF &amp; DDs'!$A$2:$B$321,2,FALSE)*I53</f>
        <v>272.89599999999996</v>
      </c>
      <c r="Y53" s="26">
        <f t="shared" ca="1" si="12"/>
        <v>131.20000000000002</v>
      </c>
      <c r="Z53" s="26">
        <f t="shared" ca="1" si="13"/>
        <v>5082.7599999999993</v>
      </c>
      <c r="AB53" s="1">
        <v>40</v>
      </c>
      <c r="AC53" s="111">
        <v>5.7</v>
      </c>
      <c r="AD53" s="111">
        <v>6.21</v>
      </c>
      <c r="AE53" s="111">
        <v>6.61</v>
      </c>
      <c r="AF53" s="111">
        <v>7.03</v>
      </c>
      <c r="AG53" s="111">
        <v>7.24</v>
      </c>
      <c r="AH53" s="111">
        <v>7.46</v>
      </c>
      <c r="AI53" s="111">
        <v>7.64</v>
      </c>
      <c r="AJ53" s="111">
        <v>8</v>
      </c>
      <c r="AK53" s="111">
        <v>8.16</v>
      </c>
      <c r="AL53" s="111">
        <v>8.4499999999999993</v>
      </c>
      <c r="AM53" s="111">
        <v>8.4499999999999993</v>
      </c>
      <c r="AN53" s="111">
        <v>8.4499999999999993</v>
      </c>
      <c r="AO53" s="111">
        <v>8.4499999999999993</v>
      </c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</row>
    <row r="54" spans="4:55" s="23" customFormat="1" x14ac:dyDescent="0.2">
      <c r="E54" s="38">
        <f t="shared" ca="1" si="14"/>
        <v>21</v>
      </c>
      <c r="F54" s="37">
        <f ca="1">Electric!X60</f>
        <v>32</v>
      </c>
      <c r="H54" s="32">
        <f ca="1">IF(ROW()&gt;(Electric!$Y$6-Electric!$Y$5+6),"",+Electric!V60)</f>
        <v>42526</v>
      </c>
      <c r="I54" s="33">
        <f ca="1">IF($H54="","",+Electric!F60)</f>
        <v>38800</v>
      </c>
      <c r="J54" s="43">
        <f ca="1">IF($H54="","",+Electric!G60)</f>
        <v>140.46</v>
      </c>
      <c r="K54" s="26">
        <f t="shared" ca="1" si="34"/>
        <v>5818.86986875</v>
      </c>
      <c r="L54" s="26">
        <f t="shared" ca="1" si="34"/>
        <v>5499.0713250000008</v>
      </c>
      <c r="M54" s="26">
        <f t="shared" ca="1" si="34"/>
        <v>6129.2771750000011</v>
      </c>
      <c r="N54" s="26">
        <f t="shared" ca="1" si="6"/>
        <v>230.2299999999999</v>
      </c>
      <c r="O54" s="26">
        <f t="shared" ca="1" si="36"/>
        <v>3519.7344000000003</v>
      </c>
      <c r="P54" s="73">
        <f t="shared" ca="1" si="7"/>
        <v>1865.4843750000002</v>
      </c>
      <c r="Q54" s="26">
        <f t="shared" ca="1" si="8"/>
        <v>124.16000000000001</v>
      </c>
      <c r="R54" s="26">
        <f t="shared" ca="1" si="3"/>
        <v>6129.27</v>
      </c>
      <c r="S54" s="26">
        <f t="shared" ca="1" si="9"/>
        <v>4849.4430000000011</v>
      </c>
      <c r="T54" s="26">
        <f t="shared" ca="1" si="35"/>
        <v>4740.6185000000005</v>
      </c>
      <c r="U54" s="26">
        <f t="shared" ca="1" si="35"/>
        <v>4615.2412999999997</v>
      </c>
      <c r="V54" s="26">
        <f t="shared" ca="1" si="10"/>
        <v>8.759999999999998</v>
      </c>
      <c r="W54" s="26">
        <f t="shared" ca="1" si="11"/>
        <v>4218.0300999999999</v>
      </c>
      <c r="X54" s="26">
        <f ca="1">VLOOKUP(DATE(YEAR(H54+Electric!AB60),MONTH(H54+Electric!AB60),1),'FAF &amp; DDs'!$A$2:$B$321,2,FALSE)*I54</f>
        <v>389.66840000000002</v>
      </c>
      <c r="Y54" s="26">
        <f t="shared" ca="1" si="12"/>
        <v>124.16000000000001</v>
      </c>
      <c r="Z54" s="26">
        <f t="shared" ca="1" si="13"/>
        <v>4740.62</v>
      </c>
      <c r="AB54" s="1">
        <v>41</v>
      </c>
      <c r="AC54" s="111">
        <v>5.7</v>
      </c>
      <c r="AD54" s="111">
        <v>6.21</v>
      </c>
      <c r="AE54" s="111">
        <v>6.61</v>
      </c>
      <c r="AF54" s="111">
        <v>7.03</v>
      </c>
      <c r="AG54" s="111">
        <v>7.24</v>
      </c>
      <c r="AH54" s="111">
        <v>7.46</v>
      </c>
      <c r="AI54" s="111">
        <v>7.64</v>
      </c>
      <c r="AJ54" s="111">
        <v>8</v>
      </c>
      <c r="AK54" s="111">
        <v>8.16</v>
      </c>
      <c r="AL54" s="111">
        <v>8.4499999999999993</v>
      </c>
      <c r="AM54" s="111">
        <v>8.4499999999999993</v>
      </c>
      <c r="AN54" s="111">
        <v>8.4499999999999993</v>
      </c>
      <c r="AO54" s="111">
        <v>8.4499999999999993</v>
      </c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</row>
    <row r="55" spans="4:55" s="23" customFormat="1" x14ac:dyDescent="0.2">
      <c r="E55" s="38">
        <f t="shared" ca="1" si="14"/>
        <v>0</v>
      </c>
      <c r="F55" s="37">
        <f ca="1">Electric!X61</f>
        <v>29</v>
      </c>
      <c r="H55" s="32">
        <f ca="1">IF(ROW()&gt;(Electric!$Y$6-Electric!$Y$5+6),"",+Electric!V61)</f>
        <v>42494</v>
      </c>
      <c r="I55" s="33">
        <f ca="1">IF($H55="","",+Electric!F61)</f>
        <v>38600</v>
      </c>
      <c r="J55" s="43">
        <f ca="1">IF($H55="","",+Electric!G61)</f>
        <v>126.22</v>
      </c>
      <c r="K55" s="26">
        <f t="shared" ca="1" si="34"/>
        <v>5608.9168000000009</v>
      </c>
      <c r="L55" s="26">
        <f t="shared" ca="1" si="34"/>
        <v>5254.9568000000008</v>
      </c>
      <c r="M55" s="26">
        <f t="shared" ca="1" si="34"/>
        <v>5842.7736000000004</v>
      </c>
      <c r="N55" s="26">
        <f t="shared" ca="1" si="6"/>
        <v>230.23000000000008</v>
      </c>
      <c r="O55" s="26">
        <f t="shared" ca="1" si="36"/>
        <v>3288.7200000000007</v>
      </c>
      <c r="P55" s="73">
        <f t="shared" ca="1" si="7"/>
        <v>1500.7558000000006</v>
      </c>
      <c r="Q55" s="26">
        <f t="shared" ca="1" si="8"/>
        <v>123.52000000000001</v>
      </c>
      <c r="R55" s="26">
        <f t="shared" ca="1" si="3"/>
        <v>5842.7800000000007</v>
      </c>
      <c r="S55" s="26">
        <f t="shared" ca="1" si="9"/>
        <v>4862.7378000000008</v>
      </c>
      <c r="T55" s="26">
        <f t="shared" ca="1" si="35"/>
        <v>4645.5078000000003</v>
      </c>
      <c r="U55" s="26">
        <f t="shared" ca="1" si="35"/>
        <v>4282.6678000000002</v>
      </c>
      <c r="V55" s="26">
        <f t="shared" ca="1" si="10"/>
        <v>8.7600000000000033</v>
      </c>
      <c r="W55" s="26">
        <f t="shared" ca="1" si="11"/>
        <v>3813.6800000000021</v>
      </c>
      <c r="X55" s="26">
        <f ca="1">VLOOKUP(DATE(YEAR(H55+Electric!AB61),MONTH(H55+Electric!AB61),1),'FAF &amp; DDs'!$A$2:$B$321,2,FALSE)*I55</f>
        <v>699.54780000000005</v>
      </c>
      <c r="Y55" s="26">
        <f t="shared" ca="1" si="12"/>
        <v>123.52000000000001</v>
      </c>
      <c r="Z55" s="26">
        <f t="shared" ca="1" si="13"/>
        <v>4645.51</v>
      </c>
      <c r="AB55" s="1">
        <v>42</v>
      </c>
      <c r="AC55" s="111">
        <v>5.7</v>
      </c>
      <c r="AD55" s="111">
        <v>6.21</v>
      </c>
      <c r="AE55" s="111">
        <v>6.61</v>
      </c>
      <c r="AF55" s="111">
        <v>7.03</v>
      </c>
      <c r="AG55" s="111">
        <v>7.24</v>
      </c>
      <c r="AH55" s="111">
        <v>7.46</v>
      </c>
      <c r="AI55" s="111">
        <v>7.64</v>
      </c>
      <c r="AJ55" s="111">
        <v>8</v>
      </c>
      <c r="AK55" s="111">
        <v>8.16</v>
      </c>
      <c r="AL55" s="111">
        <v>8.4499999999999993</v>
      </c>
      <c r="AM55" s="111">
        <v>8.4499999999999993</v>
      </c>
      <c r="AN55" s="111">
        <v>8.4499999999999993</v>
      </c>
      <c r="AO55" s="111">
        <v>8.4499999999999993</v>
      </c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</row>
    <row r="56" spans="4:55" s="23" customFormat="1" x14ac:dyDescent="0.2">
      <c r="E56" s="38">
        <f t="shared" ca="1" si="14"/>
        <v>0</v>
      </c>
      <c r="F56" s="37">
        <f ca="1">Electric!X62</f>
        <v>30</v>
      </c>
      <c r="H56" s="32">
        <f ca="1">IF(ROW()&gt;(Electric!$Y$6-Electric!$Y$5+6),"",+Electric!V62)</f>
        <v>42465</v>
      </c>
      <c r="I56" s="33">
        <f ca="1">IF($H56="","",+Electric!F62)</f>
        <v>36600</v>
      </c>
      <c r="J56" s="43">
        <f ca="1">IF($H56="","",+Electric!G62)</f>
        <v>108.08</v>
      </c>
      <c r="K56" s="26">
        <f t="shared" ca="1" si="34"/>
        <v>5011.9822000000004</v>
      </c>
      <c r="L56" s="26">
        <f t="shared" ca="1" si="34"/>
        <v>4676.6221999999998</v>
      </c>
      <c r="M56" s="26">
        <f t="shared" ca="1" si="34"/>
        <v>5204.8373999999994</v>
      </c>
      <c r="N56" s="26">
        <f t="shared" ca="1" si="6"/>
        <v>230.23</v>
      </c>
      <c r="O56" s="26">
        <f t="shared" ca="1" si="36"/>
        <v>3118.3199999999988</v>
      </c>
      <c r="P56" s="73">
        <f t="shared" ca="1" si="7"/>
        <v>1285.0711999999996</v>
      </c>
      <c r="Q56" s="26">
        <f t="shared" ca="1" si="8"/>
        <v>117.12</v>
      </c>
      <c r="R56" s="26">
        <f t="shared" ca="1" si="3"/>
        <v>5204.84</v>
      </c>
      <c r="S56" s="26">
        <f t="shared" ca="1" si="9"/>
        <v>4402.4862000000003</v>
      </c>
      <c r="T56" s="26">
        <f t="shared" ca="1" si="35"/>
        <v>4196.0562</v>
      </c>
      <c r="U56" s="26">
        <f t="shared" ca="1" si="35"/>
        <v>3852.0162</v>
      </c>
      <c r="V56" s="26">
        <f t="shared" ca="1" si="10"/>
        <v>8.759999999999998</v>
      </c>
      <c r="W56" s="26">
        <f t="shared" ca="1" si="11"/>
        <v>3616.0799999999995</v>
      </c>
      <c r="X56" s="26">
        <f ca="1">VLOOKUP(DATE(YEAR(H56+Electric!AB62),MONTH(H56+Electric!AB62),1),'FAF &amp; DDs'!$A$2:$B$321,2,FALSE)*I56</f>
        <v>454.09620000000001</v>
      </c>
      <c r="Y56" s="26">
        <f t="shared" ca="1" si="12"/>
        <v>117.12</v>
      </c>
      <c r="Z56" s="26">
        <f t="shared" ca="1" si="13"/>
        <v>4196.0600000000004</v>
      </c>
      <c r="AB56" s="1">
        <v>43</v>
      </c>
      <c r="AC56" s="111">
        <v>5.7</v>
      </c>
      <c r="AD56" s="111">
        <v>6.21</v>
      </c>
      <c r="AE56" s="111">
        <v>6.61</v>
      </c>
      <c r="AF56" s="111">
        <v>7.03</v>
      </c>
      <c r="AG56" s="111">
        <v>7.24</v>
      </c>
      <c r="AH56" s="111">
        <v>7.46</v>
      </c>
      <c r="AI56" s="111">
        <v>7.64</v>
      </c>
      <c r="AJ56" s="111">
        <v>8</v>
      </c>
      <c r="AK56" s="111">
        <v>8.16</v>
      </c>
      <c r="AL56" s="111">
        <v>8.4499999999999993</v>
      </c>
      <c r="AM56" s="111">
        <v>8.4499999999999993</v>
      </c>
      <c r="AN56" s="111">
        <v>8.4499999999999993</v>
      </c>
      <c r="AO56" s="111">
        <v>8.4499999999999993</v>
      </c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</row>
    <row r="57" spans="4:55" s="23" customFormat="1" x14ac:dyDescent="0.2">
      <c r="E57" s="38">
        <f t="shared" ca="1" si="14"/>
        <v>0</v>
      </c>
      <c r="F57" s="37">
        <f ca="1">Electric!X63</f>
        <v>31</v>
      </c>
      <c r="H57" s="32">
        <f ca="1">IF(ROW()&gt;(Electric!$Y$6-Electric!$Y$5+6),"",+Electric!V63)</f>
        <v>42435</v>
      </c>
      <c r="I57" s="33">
        <f ca="1">IF($H57="","",+Electric!F63)</f>
        <v>40400</v>
      </c>
      <c r="J57" s="43">
        <f ca="1">IF($H57="","",+Electric!G63)</f>
        <v>108.62</v>
      </c>
      <c r="K57" s="26">
        <f t="shared" ca="1" si="34"/>
        <v>4922.9093999999996</v>
      </c>
      <c r="L57" s="26">
        <f t="shared" ca="1" si="34"/>
        <v>4552.2093999999997</v>
      </c>
      <c r="M57" s="26">
        <f t="shared" ca="1" si="34"/>
        <v>5076.9621999999999</v>
      </c>
      <c r="N57" s="26">
        <f t="shared" ca="1" si="6"/>
        <v>230.22999999999996</v>
      </c>
      <c r="O57" s="26">
        <f t="shared" ca="1" si="36"/>
        <v>3442.0800000000008</v>
      </c>
      <c r="P57" s="73">
        <f t="shared" ca="1" si="7"/>
        <v>1291.4918</v>
      </c>
      <c r="Q57" s="26">
        <f t="shared" ca="1" si="8"/>
        <v>129.28</v>
      </c>
      <c r="R57" s="26">
        <f t="shared" ca="1" si="3"/>
        <v>5076.96</v>
      </c>
      <c r="S57" s="26">
        <f t="shared" ca="1" si="9"/>
        <v>4340.3904000000002</v>
      </c>
      <c r="T57" s="26">
        <f t="shared" ca="1" si="35"/>
        <v>4113.4404000000004</v>
      </c>
      <c r="U57" s="26">
        <f t="shared" ca="1" si="35"/>
        <v>3733.6804000000002</v>
      </c>
      <c r="V57" s="26">
        <f t="shared" ca="1" si="10"/>
        <v>8.76</v>
      </c>
      <c r="W57" s="26">
        <f t="shared" ca="1" si="11"/>
        <v>3991.5199999999995</v>
      </c>
      <c r="X57" s="26">
        <f ca="1">VLOOKUP(DATE(YEAR(H57+Electric!AB63),MONTH(H57+Electric!AB63),1),'FAF &amp; DDs'!$A$2:$B$321,2,FALSE)*I57</f>
        <v>-16.119599999999998</v>
      </c>
      <c r="Y57" s="26">
        <f t="shared" ca="1" si="12"/>
        <v>129.28</v>
      </c>
      <c r="Z57" s="26">
        <f t="shared" ca="1" si="13"/>
        <v>4113.4400000000005</v>
      </c>
      <c r="AB57" s="1">
        <v>44</v>
      </c>
      <c r="AC57" s="111">
        <v>0</v>
      </c>
      <c r="AD57" s="111">
        <v>0</v>
      </c>
      <c r="AE57" s="111">
        <v>0</v>
      </c>
      <c r="AF57" s="111">
        <v>0</v>
      </c>
      <c r="AG57" s="111">
        <v>0</v>
      </c>
      <c r="AH57" s="111">
        <v>0</v>
      </c>
      <c r="AI57" s="111">
        <v>0</v>
      </c>
      <c r="AJ57" s="111">
        <v>0</v>
      </c>
      <c r="AK57" s="111">
        <v>0</v>
      </c>
      <c r="AL57" s="111">
        <v>0</v>
      </c>
      <c r="AM57" s="111">
        <v>0</v>
      </c>
      <c r="AN57" s="111">
        <v>0</v>
      </c>
      <c r="AO57" s="111">
        <v>0</v>
      </c>
    </row>
    <row r="58" spans="4:55" s="23" customFormat="1" x14ac:dyDescent="0.2">
      <c r="D58" s="30"/>
      <c r="E58" s="38">
        <f t="shared" ca="1" si="14"/>
        <v>0</v>
      </c>
      <c r="F58" s="37">
        <f ca="1">Electric!X64</f>
        <v>28</v>
      </c>
      <c r="H58" s="32">
        <f ca="1">IF(ROW()&gt;(Electric!$Y$6-Electric!$Y$5+6),"",+Electric!V64)</f>
        <v>42404</v>
      </c>
      <c r="I58" s="33">
        <f ca="1">IF($H58="","",+Electric!F64)</f>
        <v>0</v>
      </c>
      <c r="J58" s="43">
        <f ca="1">IF($H58="","",+Electric!G64)</f>
        <v>105.38</v>
      </c>
      <c r="K58" s="26">
        <f t="shared" ca="1" si="34"/>
        <v>908.01099999999985</v>
      </c>
      <c r="L58" s="26">
        <f t="shared" ca="1" si="34"/>
        <v>913.03099999999995</v>
      </c>
      <c r="M58" s="26">
        <f t="shared" ca="1" si="34"/>
        <v>1483.1982</v>
      </c>
      <c r="N58" s="26">
        <f t="shared" ca="1" si="6"/>
        <v>230.23</v>
      </c>
      <c r="O58" s="26">
        <f t="shared" ca="1" si="36"/>
        <v>0</v>
      </c>
      <c r="P58" s="73">
        <f t="shared" ca="1" si="7"/>
        <v>0</v>
      </c>
      <c r="Q58" s="26">
        <f t="shared" ca="1" si="8"/>
        <v>0</v>
      </c>
      <c r="R58" s="26">
        <f t="shared" ca="1" si="3"/>
        <v>230.23</v>
      </c>
      <c r="S58" s="26">
        <f t="shared" ca="1" si="9"/>
        <v>17.55</v>
      </c>
      <c r="T58" s="26">
        <f t="shared" ca="1" si="35"/>
        <v>8.76</v>
      </c>
      <c r="U58" s="26">
        <f t="shared" ca="1" si="35"/>
        <v>8.76</v>
      </c>
      <c r="V58" s="26">
        <f t="shared" ca="1" si="10"/>
        <v>8.76</v>
      </c>
      <c r="W58" s="26">
        <f t="shared" ca="1" si="11"/>
        <v>0</v>
      </c>
      <c r="X58" s="26">
        <f ca="1">VLOOKUP(DATE(YEAR(H58+Electric!AB64),MONTH(H58+Electric!AB64),1),'FAF &amp; DDs'!$A$2:$B$321,2,FALSE)*I58</f>
        <v>0</v>
      </c>
      <c r="Y58" s="26">
        <f t="shared" ca="1" si="12"/>
        <v>0</v>
      </c>
      <c r="Z58" s="26">
        <f t="shared" ca="1" si="13"/>
        <v>8.76</v>
      </c>
      <c r="AB58" s="1">
        <v>46</v>
      </c>
      <c r="AC58" s="111">
        <v>7.69</v>
      </c>
      <c r="AD58" s="111">
        <v>8.3800000000000008</v>
      </c>
      <c r="AE58" s="111">
        <v>8.92</v>
      </c>
      <c r="AF58" s="111">
        <v>9.49</v>
      </c>
      <c r="AG58" s="111">
        <v>9.77</v>
      </c>
      <c r="AH58" s="111">
        <v>10.06</v>
      </c>
      <c r="AI58" s="111">
        <v>10.3</v>
      </c>
      <c r="AJ58" s="111">
        <v>10.79</v>
      </c>
      <c r="AK58" s="111">
        <v>11.01</v>
      </c>
      <c r="AL58" s="111">
        <v>11.89</v>
      </c>
      <c r="AM58" s="111">
        <v>11.89</v>
      </c>
      <c r="AN58" s="111">
        <v>11.89</v>
      </c>
      <c r="AO58" s="111">
        <v>11.89</v>
      </c>
    </row>
    <row r="59" spans="4:55" s="23" customFormat="1" x14ac:dyDescent="0.2">
      <c r="D59" s="30"/>
      <c r="E59" s="38">
        <f t="shared" ca="1" si="14"/>
        <v>0</v>
      </c>
      <c r="F59" s="37">
        <f ca="1">Electric!X65</f>
        <v>30</v>
      </c>
      <c r="H59" s="32">
        <f ca="1">IF(ROW()&gt;(Electric!$Y$6-Electric!$Y$5+6),"",+Electric!V65)</f>
        <v>42376</v>
      </c>
      <c r="I59" s="33">
        <f ca="1">IF($H59="","",+Electric!F65)</f>
        <v>37200</v>
      </c>
      <c r="J59" s="43">
        <f ca="1">IF($H59="","",+Electric!G65)</f>
        <v>105.38</v>
      </c>
      <c r="K59" s="26">
        <f t="shared" ca="1" si="34"/>
        <v>5281.2802000000001</v>
      </c>
      <c r="L59" s="26">
        <f t="shared" ca="1" si="34"/>
        <v>4940.3402000000006</v>
      </c>
      <c r="M59" s="26">
        <f t="shared" ca="1" si="34"/>
        <v>5458.4274000000005</v>
      </c>
      <c r="N59" s="26">
        <f t="shared" ca="1" si="6"/>
        <v>150.22999999999999</v>
      </c>
      <c r="O59" s="26">
        <f t="shared" ca="1" si="36"/>
        <v>3196.2239999999997</v>
      </c>
      <c r="P59" s="73">
        <f t="shared" ca="1" si="7"/>
        <v>1178.7806800000001</v>
      </c>
      <c r="Q59" s="26">
        <f t="shared" ca="1" si="8"/>
        <v>119.04</v>
      </c>
      <c r="R59" s="26">
        <f t="shared" ca="1" si="3"/>
        <v>5331.0199999999995</v>
      </c>
      <c r="S59" s="26">
        <f t="shared" ca="1" si="9"/>
        <v>4699.5792000000001</v>
      </c>
      <c r="T59" s="26">
        <f t="shared" ca="1" si="35"/>
        <v>4489.9092000000001</v>
      </c>
      <c r="U59" s="26">
        <f t="shared" ca="1" si="35"/>
        <v>4140.2292000000007</v>
      </c>
      <c r="V59" s="26">
        <f t="shared" ca="1" si="10"/>
        <v>6.36</v>
      </c>
      <c r="W59" s="26">
        <f t="shared" ca="1" si="11"/>
        <v>3734.88</v>
      </c>
      <c r="X59" s="26">
        <f ca="1">VLOOKUP(DATE(YEAR(H59+Electric!AB65),MONTH(H59+Electric!AB65),1),'FAF &amp; DDs'!$A$2:$B$321,2,FALSE)*I59</f>
        <v>686.74920000000009</v>
      </c>
      <c r="Y59" s="26">
        <f t="shared" ca="1" si="12"/>
        <v>119.04</v>
      </c>
      <c r="Z59" s="26">
        <f t="shared" ca="1" si="13"/>
        <v>4547.03</v>
      </c>
      <c r="AB59" s="1">
        <v>47</v>
      </c>
      <c r="AC59" s="111">
        <v>7.69</v>
      </c>
      <c r="AD59" s="111">
        <v>8.3800000000000008</v>
      </c>
      <c r="AE59" s="111">
        <v>8.92</v>
      </c>
      <c r="AF59" s="111">
        <v>9.49</v>
      </c>
      <c r="AG59" s="111">
        <v>9.77</v>
      </c>
      <c r="AH59" s="111">
        <v>10.06</v>
      </c>
      <c r="AI59" s="111">
        <v>10.3</v>
      </c>
      <c r="AJ59" s="111">
        <v>10.79</v>
      </c>
      <c r="AK59" s="111">
        <v>11.01</v>
      </c>
      <c r="AL59" s="111">
        <v>11.89</v>
      </c>
      <c r="AM59" s="111">
        <v>11.89</v>
      </c>
      <c r="AN59" s="111">
        <v>11.89</v>
      </c>
      <c r="AO59" s="111">
        <v>11.89</v>
      </c>
    </row>
    <row r="60" spans="4:55" s="23" customFormat="1" x14ac:dyDescent="0.2">
      <c r="D60" s="30"/>
      <c r="E60" s="38">
        <f t="shared" ca="1" si="14"/>
        <v>0</v>
      </c>
      <c r="F60" s="37">
        <f ca="1">Electric!X66</f>
        <v>34</v>
      </c>
      <c r="H60" s="32">
        <f ca="1">IF(ROW()&gt;(Electric!$Y$6-Electric!$Y$5+6),"",+Electric!V66)</f>
        <v>42346</v>
      </c>
      <c r="I60" s="33">
        <f ca="1">IF($H60="","",+Electric!F66)</f>
        <v>75000</v>
      </c>
      <c r="J60" s="43">
        <f ca="1">IF($H60="","",+Electric!G66)</f>
        <v>114.6</v>
      </c>
      <c r="K60" s="26">
        <f t="shared" ca="1" si="34"/>
        <v>9518.5360000000001</v>
      </c>
      <c r="L60" s="26">
        <f t="shared" ca="1" si="34"/>
        <v>8818.5560000000005</v>
      </c>
      <c r="M60" s="26">
        <f t="shared" ca="1" si="34"/>
        <v>9155.8259999999991</v>
      </c>
      <c r="N60" s="26">
        <f t="shared" ca="1" si="6"/>
        <v>130.22999999999979</v>
      </c>
      <c r="O60" s="26">
        <f t="shared" ca="1" si="36"/>
        <v>6457.5000000000127</v>
      </c>
      <c r="P60" s="73">
        <f t="shared" ca="1" si="7"/>
        <v>1261.7459999999944</v>
      </c>
      <c r="Q60" s="26">
        <f t="shared" ca="1" si="8"/>
        <v>240</v>
      </c>
      <c r="R60" s="26">
        <f t="shared" ca="1" si="3"/>
        <v>9155.83</v>
      </c>
      <c r="S60" s="26">
        <f t="shared" ca="1" si="9"/>
        <v>9213.4</v>
      </c>
      <c r="T60" s="26">
        <f t="shared" ca="1" si="35"/>
        <v>8872.11</v>
      </c>
      <c r="U60" s="26">
        <f t="shared" ca="1" si="35"/>
        <v>8152.1100000000006</v>
      </c>
      <c r="V60" s="26">
        <f t="shared" ca="1" si="10"/>
        <v>5.7600000000000042</v>
      </c>
      <c r="W60" s="26">
        <f t="shared" ca="1" si="11"/>
        <v>7559.9999999999982</v>
      </c>
      <c r="X60" s="26">
        <f ca="1">VLOOKUP(DATE(YEAR(H60+Electric!AB66),MONTH(H60+Electric!AB66),1),'FAF &amp; DDs'!$A$2:$B$321,2,FALSE)*I60</f>
        <v>1066.3499999999999</v>
      </c>
      <c r="Y60" s="26">
        <f t="shared" ca="1" si="12"/>
        <v>240</v>
      </c>
      <c r="Z60" s="26">
        <f t="shared" ca="1" si="13"/>
        <v>8872.11</v>
      </c>
      <c r="AB60" s="1">
        <v>48</v>
      </c>
      <c r="AC60" s="111">
        <v>8.15</v>
      </c>
      <c r="AD60" s="111">
        <v>8.8800000000000008</v>
      </c>
      <c r="AE60" s="111">
        <v>9.4600000000000009</v>
      </c>
      <c r="AF60" s="111">
        <v>10.07</v>
      </c>
      <c r="AG60" s="111">
        <v>10.37</v>
      </c>
      <c r="AH60" s="111">
        <v>10.68</v>
      </c>
      <c r="AI60" s="111">
        <v>10.94</v>
      </c>
      <c r="AJ60" s="111">
        <v>11.46</v>
      </c>
      <c r="AK60" s="111">
        <v>11.69</v>
      </c>
      <c r="AL60" s="111">
        <v>12.63</v>
      </c>
      <c r="AM60" s="111">
        <v>12.63</v>
      </c>
      <c r="AN60" s="111">
        <v>12.63</v>
      </c>
      <c r="AO60" s="111">
        <v>12.63</v>
      </c>
    </row>
    <row r="61" spans="4:55" s="23" customFormat="1" x14ac:dyDescent="0.2">
      <c r="D61" s="30"/>
      <c r="E61" s="38">
        <f t="shared" ca="1" si="14"/>
        <v>0</v>
      </c>
      <c r="F61" s="37">
        <f ca="1">Electric!X67</f>
        <v>29</v>
      </c>
      <c r="H61" s="32">
        <f ca="1">IF(ROW()&gt;(Electric!$Y$6-Electric!$Y$5+6),"",+Electric!V67)</f>
        <v>42312</v>
      </c>
      <c r="I61" s="33">
        <f ca="1">IF($H61="","",+Electric!F67)</f>
        <v>0</v>
      </c>
      <c r="J61" s="43">
        <f ca="1">IF($H61="","",+Electric!G67)</f>
        <v>148.06</v>
      </c>
      <c r="K61" s="26">
        <f t="shared" ca="1" si="34"/>
        <v>1217.7195999999999</v>
      </c>
      <c r="L61" s="26">
        <f t="shared" ca="1" si="34"/>
        <v>1222.7395999999999</v>
      </c>
      <c r="M61" s="26">
        <f t="shared" ca="1" si="34"/>
        <v>1760.3706</v>
      </c>
      <c r="N61" s="26">
        <f t="shared" ca="1" si="6"/>
        <v>130.22999999999993</v>
      </c>
      <c r="O61" s="26">
        <f t="shared" ca="1" si="36"/>
        <v>0</v>
      </c>
      <c r="P61" s="73">
        <f t="shared" ca="1" si="7"/>
        <v>0</v>
      </c>
      <c r="Q61" s="26">
        <f t="shared" ca="1" si="8"/>
        <v>0</v>
      </c>
      <c r="R61" s="26">
        <f t="shared" ca="1" si="3"/>
        <v>130.22999999999993</v>
      </c>
      <c r="S61" s="26">
        <f t="shared" ca="1" si="9"/>
        <v>9.5500000000000007</v>
      </c>
      <c r="T61" s="26">
        <f t="shared" ca="1" si="35"/>
        <v>5.76</v>
      </c>
      <c r="U61" s="26">
        <f t="shared" ca="1" si="35"/>
        <v>5.76</v>
      </c>
      <c r="V61" s="26">
        <f t="shared" ca="1" si="10"/>
        <v>5.7599999999999989</v>
      </c>
      <c r="W61" s="26">
        <f t="shared" ca="1" si="11"/>
        <v>0</v>
      </c>
      <c r="X61" s="26">
        <f ca="1">VLOOKUP(DATE(YEAR(H61+Electric!AB67),MONTH(H61+Electric!AB67),1),'FAF &amp; DDs'!$A$2:$B$321,2,FALSE)*I61</f>
        <v>0</v>
      </c>
      <c r="Y61" s="26">
        <f t="shared" ca="1" si="12"/>
        <v>0</v>
      </c>
      <c r="Z61" s="26">
        <f t="shared" ca="1" si="13"/>
        <v>5.7599999999999989</v>
      </c>
      <c r="AB61" s="1">
        <v>49</v>
      </c>
      <c r="AC61" s="111">
        <v>0</v>
      </c>
      <c r="AD61" s="111">
        <v>0</v>
      </c>
      <c r="AE61" s="111">
        <v>0</v>
      </c>
      <c r="AF61" s="111">
        <v>0</v>
      </c>
      <c r="AG61" s="111">
        <v>0</v>
      </c>
      <c r="AH61" s="111">
        <v>0</v>
      </c>
      <c r="AI61" s="111">
        <v>0</v>
      </c>
      <c r="AJ61" s="111">
        <v>0</v>
      </c>
      <c r="AK61" s="111">
        <v>0</v>
      </c>
      <c r="AL61" s="111">
        <v>0</v>
      </c>
      <c r="AM61" s="111">
        <v>0</v>
      </c>
      <c r="AN61" s="111">
        <v>0</v>
      </c>
      <c r="AO61" s="111">
        <v>0</v>
      </c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</row>
    <row r="62" spans="4:55" s="23" customFormat="1" x14ac:dyDescent="0.2">
      <c r="D62" s="30"/>
      <c r="E62" s="38">
        <f t="shared" ca="1" si="14"/>
        <v>7</v>
      </c>
      <c r="F62" s="37">
        <f ca="1">Electric!X68</f>
        <v>28</v>
      </c>
      <c r="H62" s="32">
        <f ca="1">IF(ROW()&gt;(Electric!$Y$6-Electric!$Y$5+6),"",+Electric!V68)</f>
        <v>42283</v>
      </c>
      <c r="I62" s="33">
        <f ca="1">IF($H62="","",+Electric!F68)</f>
        <v>41800</v>
      </c>
      <c r="J62" s="43">
        <f ca="1">IF($H62="","",+Electric!G68)</f>
        <v>148.06</v>
      </c>
      <c r="K62" s="26">
        <f t="shared" ca="1" si="34"/>
        <v>5823.0868500000006</v>
      </c>
      <c r="L62" s="26">
        <f t="shared" ca="1" si="34"/>
        <v>5447.5778000000009</v>
      </c>
      <c r="M62" s="26">
        <f t="shared" ca="1" si="34"/>
        <v>5921.4616000000005</v>
      </c>
      <c r="N62" s="26">
        <f t="shared" ca="1" si="6"/>
        <v>130.23000000000008</v>
      </c>
      <c r="O62" s="26">
        <f t="shared" ca="1" si="36"/>
        <v>3686.7600000000102</v>
      </c>
      <c r="P62" s="73">
        <f t="shared" ca="1" si="7"/>
        <v>1702.6900000000028</v>
      </c>
      <c r="Q62" s="26">
        <f t="shared" ca="1" si="8"/>
        <v>133.76000000000002</v>
      </c>
      <c r="R62" s="26">
        <f t="shared" ca="1" si="3"/>
        <v>5921.4600000000009</v>
      </c>
      <c r="S62" s="26">
        <f t="shared" ca="1" si="9"/>
        <v>4926.7766000000001</v>
      </c>
      <c r="T62" s="26">
        <f t="shared" ca="1" si="35"/>
        <v>4781.9116000000004</v>
      </c>
      <c r="U62" s="26">
        <f t="shared" ca="1" si="35"/>
        <v>4480.9516000000003</v>
      </c>
      <c r="V62" s="26">
        <f t="shared" ca="1" si="10"/>
        <v>5.7599999999999909</v>
      </c>
      <c r="W62" s="26">
        <f t="shared" ca="1" si="11"/>
        <v>4374.3700000000017</v>
      </c>
      <c r="X62" s="26">
        <f ca="1">VLOOKUP(DATE(YEAR(H62+Electric!AB68),MONTH(H62+Electric!AB68),1),'FAF &amp; DDs'!$A$2:$B$321,2,FALSE)*I62</f>
        <v>268.02160000000003</v>
      </c>
      <c r="Y62" s="26">
        <f t="shared" ca="1" si="12"/>
        <v>133.76000000000002</v>
      </c>
      <c r="Z62" s="26">
        <f t="shared" ca="1" si="13"/>
        <v>4781.91</v>
      </c>
      <c r="AB62" s="1">
        <v>58</v>
      </c>
      <c r="AC62" s="111">
        <v>7.43</v>
      </c>
      <c r="AD62" s="111">
        <v>8.1</v>
      </c>
      <c r="AE62" s="111">
        <v>8.6300000000000008</v>
      </c>
      <c r="AF62" s="111">
        <v>9.18</v>
      </c>
      <c r="AG62" s="111">
        <v>9.4600000000000009</v>
      </c>
      <c r="AH62" s="111">
        <v>9.74</v>
      </c>
      <c r="AI62" s="111">
        <v>9.9700000000000006</v>
      </c>
      <c r="AJ62" s="111">
        <v>10.44</v>
      </c>
      <c r="AK62" s="111">
        <v>10.65</v>
      </c>
      <c r="AL62" s="111">
        <v>11.5</v>
      </c>
      <c r="AM62" s="111">
        <v>11.5</v>
      </c>
      <c r="AN62" s="111">
        <v>11.5</v>
      </c>
      <c r="AO62" s="111">
        <v>11.5</v>
      </c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</row>
    <row r="63" spans="4:55" s="23" customFormat="1" x14ac:dyDescent="0.2">
      <c r="D63" s="30"/>
      <c r="E63" s="38">
        <f t="shared" ca="1" si="14"/>
        <v>33</v>
      </c>
      <c r="F63" s="37">
        <f ca="1">Electric!X69</f>
        <v>33</v>
      </c>
      <c r="H63" s="32">
        <f ca="1">IF(ROW()&gt;(Electric!$Y$6-Electric!$Y$5+6),"",+Electric!V69)</f>
        <v>42255</v>
      </c>
      <c r="I63" s="33">
        <f ca="1">IF($H63="","",+Electric!F69)</f>
        <v>56400</v>
      </c>
      <c r="J63" s="43">
        <f ca="1">IF($H63="","",+Electric!G69)</f>
        <v>151.66</v>
      </c>
      <c r="K63" s="26">
        <f t="shared" ca="1" si="34"/>
        <v>7686.9717999999993</v>
      </c>
      <c r="L63" s="26">
        <f t="shared" ca="1" si="34"/>
        <v>7193.5835999999999</v>
      </c>
      <c r="M63" s="26">
        <f t="shared" ca="1" si="34"/>
        <v>7657.3978000000006</v>
      </c>
      <c r="N63" s="26">
        <f t="shared" ca="1" si="6"/>
        <v>130.2299999999999</v>
      </c>
      <c r="O63" s="26">
        <f t="shared" ca="1" si="36"/>
        <v>5329.8</v>
      </c>
      <c r="P63" s="73">
        <f t="shared" ca="1" si="7"/>
        <v>1967.0302000000001</v>
      </c>
      <c r="Q63" s="26">
        <f t="shared" ca="1" si="8"/>
        <v>180.48000000000002</v>
      </c>
      <c r="R63" s="26">
        <f t="shared" ca="1" si="3"/>
        <v>7657.3999999999987</v>
      </c>
      <c r="S63" s="26">
        <f t="shared" ca="1" si="9"/>
        <v>6793.5676000000003</v>
      </c>
      <c r="T63" s="26">
        <f t="shared" ca="1" si="35"/>
        <v>6789.7776000000013</v>
      </c>
      <c r="U63" s="26">
        <f t="shared" ca="1" si="35"/>
        <v>6789.7776000000013</v>
      </c>
      <c r="V63" s="26">
        <f t="shared" ca="1" si="10"/>
        <v>5.759999999999998</v>
      </c>
      <c r="W63" s="26">
        <f t="shared" ca="1" si="11"/>
        <v>6553.68</v>
      </c>
      <c r="X63" s="26">
        <f ca="1">VLOOKUP(DATE(YEAR(H63+Electric!AB69),MONTH(H63+Electric!AB69),1),'FAF &amp; DDs'!$A$2:$B$321,2,FALSE)*I63</f>
        <v>49.857599999999998</v>
      </c>
      <c r="Y63" s="26">
        <f t="shared" ca="1" si="12"/>
        <v>180.48000000000002</v>
      </c>
      <c r="Z63" s="26">
        <f t="shared" ca="1" si="13"/>
        <v>6789.78</v>
      </c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</row>
    <row r="64" spans="4:55" s="23" customFormat="1" x14ac:dyDescent="0.2">
      <c r="D64" s="30"/>
      <c r="E64" s="38">
        <f t="shared" ca="1" si="14"/>
        <v>29</v>
      </c>
      <c r="F64" s="37">
        <f ca="1">Electric!X70</f>
        <v>29</v>
      </c>
      <c r="H64" s="32">
        <f ca="1">IF(ROW()&gt;(Electric!$Y$6-Electric!$Y$5+6),"",+Electric!V70)</f>
        <v>42222</v>
      </c>
      <c r="I64" s="33">
        <f ca="1">IF($H64="","",+Electric!F70)</f>
        <v>40600</v>
      </c>
      <c r="J64" s="43">
        <f ca="1">IF($H64="","",+Electric!G70)</f>
        <v>161.78</v>
      </c>
      <c r="K64" s="26">
        <f t="shared" ca="1" si="34"/>
        <v>6315.4313999999995</v>
      </c>
      <c r="L64" s="26">
        <f t="shared" ca="1" si="34"/>
        <v>6000.0707999999995</v>
      </c>
      <c r="M64" s="26">
        <f t="shared" ca="1" si="34"/>
        <v>6491.0293999999994</v>
      </c>
      <c r="N64" s="26">
        <f t="shared" ca="1" si="6"/>
        <v>130.22999999999993</v>
      </c>
      <c r="O64" s="26">
        <f t="shared" ca="1" si="36"/>
        <v>3836.7</v>
      </c>
      <c r="P64" s="73">
        <f t="shared" ca="1" si="7"/>
        <v>2098.2865999999999</v>
      </c>
      <c r="Q64" s="26">
        <f t="shared" ca="1" si="8"/>
        <v>129.92000000000002</v>
      </c>
      <c r="R64" s="26">
        <f t="shared" ca="1" si="3"/>
        <v>6491.03</v>
      </c>
      <c r="S64" s="26">
        <f t="shared" ca="1" si="9"/>
        <v>5153.0828000000001</v>
      </c>
      <c r="T64" s="26">
        <f t="shared" ca="1" si="35"/>
        <v>5149.2928000000002</v>
      </c>
      <c r="U64" s="26">
        <f t="shared" ca="1" si="35"/>
        <v>5149.2928000000002</v>
      </c>
      <c r="V64" s="26">
        <f t="shared" ca="1" si="10"/>
        <v>5.7599999999999989</v>
      </c>
      <c r="W64" s="26">
        <f t="shared" ca="1" si="11"/>
        <v>4717.72</v>
      </c>
      <c r="X64" s="26">
        <f ca="1">VLOOKUP(DATE(YEAR(H64+Electric!AB70),MONTH(H64+Electric!AB70),1),'FAF &amp; DDs'!$A$2:$B$321,2,FALSE)*I64</f>
        <v>295.89280000000002</v>
      </c>
      <c r="Y64" s="26">
        <f t="shared" ca="1" si="12"/>
        <v>129.92000000000002</v>
      </c>
      <c r="Z64" s="26">
        <f t="shared" ca="1" si="13"/>
        <v>5149.2900000000009</v>
      </c>
      <c r="AB64" s="1"/>
      <c r="AC64" s="1"/>
      <c r="AD64" s="1" t="s">
        <v>164</v>
      </c>
      <c r="AE64" s="1"/>
      <c r="AF64" s="1"/>
      <c r="AG64" s="1"/>
      <c r="AH64" s="111"/>
      <c r="AI64" s="1"/>
      <c r="AJ64" s="1"/>
      <c r="AK64" s="148"/>
      <c r="AL64" s="148"/>
      <c r="AM64" s="148"/>
      <c r="AN64" s="148"/>
      <c r="AO64" s="148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</row>
    <row r="65" spans="4:56" s="23" customFormat="1" x14ac:dyDescent="0.2">
      <c r="D65" s="30"/>
      <c r="E65" s="38">
        <f t="shared" ca="1" si="14"/>
        <v>33</v>
      </c>
      <c r="F65" s="37">
        <f ca="1">Electric!X71</f>
        <v>33</v>
      </c>
      <c r="H65" s="32">
        <f ca="1">IF(ROW()&gt;(Electric!$Y$6-Electric!$Y$5+6),"",+Electric!V71)</f>
        <v>42193</v>
      </c>
      <c r="I65" s="33">
        <f ca="1">IF($H65="","",+Electric!F71)</f>
        <v>86000</v>
      </c>
      <c r="J65" s="43">
        <f ca="1">IF($H65="","",+Electric!G71)</f>
        <v>155.29990000000001</v>
      </c>
      <c r="K65" s="26">
        <f t="shared" ca="1" si="34"/>
        <v>12343.788013000001</v>
      </c>
      <c r="L65" s="26">
        <f t="shared" ca="1" si="34"/>
        <v>11533.376940000002</v>
      </c>
      <c r="M65" s="26">
        <f t="shared" ca="1" si="34"/>
        <v>11999.897702999999</v>
      </c>
      <c r="N65" s="26">
        <f t="shared" ca="1" si="6"/>
        <v>130.2299999999999</v>
      </c>
      <c r="O65" s="26">
        <f t="shared" ca="1" si="36"/>
        <v>8127</v>
      </c>
      <c r="P65" s="73">
        <f t="shared" ca="1" si="7"/>
        <v>2014.2397030000002</v>
      </c>
      <c r="Q65" s="26">
        <f t="shared" ca="1" si="8"/>
        <v>275.2</v>
      </c>
      <c r="R65" s="26">
        <f t="shared" ca="1" si="3"/>
        <v>11999.9</v>
      </c>
      <c r="S65" s="26">
        <f t="shared" ca="1" si="9"/>
        <v>11731.178</v>
      </c>
      <c r="T65" s="26">
        <f t="shared" ca="1" si="35"/>
        <v>11727.387999999999</v>
      </c>
      <c r="U65" s="26">
        <f t="shared" ca="1" si="35"/>
        <v>11727.387999999999</v>
      </c>
      <c r="V65" s="26">
        <f t="shared" ca="1" si="10"/>
        <v>5.759999999999998</v>
      </c>
      <c r="W65" s="26">
        <f t="shared" ca="1" si="11"/>
        <v>9993.1999999999989</v>
      </c>
      <c r="X65" s="26">
        <f ca="1">VLOOKUP(DATE(YEAR(H65+Electric!AB71),MONTH(H65+Electric!AB71),1),'FAF &amp; DDs'!$A$2:$B$321,2,FALSE)*I65</f>
        <v>1453.2280000000001</v>
      </c>
      <c r="Y65" s="26">
        <f t="shared" ca="1" si="12"/>
        <v>275.2</v>
      </c>
      <c r="Z65" s="26">
        <f t="shared" ca="1" si="13"/>
        <v>11727.390000000001</v>
      </c>
      <c r="AB65" s="1"/>
      <c r="AC65" s="1" t="s">
        <v>36</v>
      </c>
      <c r="AD65" s="1"/>
      <c r="AE65" s="1"/>
      <c r="AF65" s="1"/>
      <c r="AG65" s="1"/>
      <c r="AH65" s="1"/>
      <c r="AI65" s="1"/>
      <c r="AJ65" s="1"/>
      <c r="AK65" s="148"/>
      <c r="AL65" s="148"/>
      <c r="AM65" s="148"/>
      <c r="AN65" s="148"/>
      <c r="AO65" s="148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3"/>
    </row>
    <row r="66" spans="4:56" s="23" customFormat="1" x14ac:dyDescent="0.2">
      <c r="D66" s="30"/>
      <c r="E66" s="38">
        <f t="shared" ca="1" si="14"/>
        <v>21</v>
      </c>
      <c r="F66" s="37">
        <f ca="1">Electric!X72</f>
        <v>30</v>
      </c>
      <c r="H66" s="32">
        <f ca="1">IF(ROW()&gt;(Electric!$Y$6-Electric!$Y$5+6),"",+Electric!V72)</f>
        <v>42160</v>
      </c>
      <c r="I66" s="33">
        <f ca="1">IF($H66="","",+Electric!F72)</f>
        <v>12600</v>
      </c>
      <c r="J66" s="43">
        <f ca="1">IF($H66="","",+Electric!G72)</f>
        <v>146.47999999999999</v>
      </c>
      <c r="K66" s="26">
        <f t="shared" ref="K66:M85" ca="1" si="37">(1-$O$2)*(IF(OR($F66&gt;$F$3,$F66&lt;$F$2),$F66,30)/30*HLOOKUP(($H66+$Q$1),$AC$80:$AQ$98,MATCH(VALUE(RIGHT(TRIM(K$5),2)),$AB$80:$AB$98,0))+"CC"+(ROUND(($E66/$F66)*$I66,0)*HLOOKUP(($H66+$Q$1),$AC$30:$AQ$48,MATCH(VALUE(RIGHT(TRIM(K$5),2)),$AB$30:$AB$48,0))+"Summer kWh"+ROUND((($F66-$E66)/$F66)*$I66,0)*HLOOKUP(($H66+$Q$1),$AC$8:$AQ$26,MATCH(VALUE(RIGHT(TRIM(K$5),2)),$AB$8:$AB$26,0))+"Winter kWh")+(IF(($H66+$Q$1)&gt;DATE(2009,7,1),$I66*0.0209*$O$3,0)+"State Wind Energy kWh Surcharge")+($E66/IF($F66&lt;=$F$3,$F66,30)*$J66*HLOOKUP(($H66+$Q$1),$AC$66:$AQ$76,MATCH(VALUE(RIGHT(TRIM(K$5),2)),$AB$66:$AB$76,0))+"Summer kW"+(($F66-$E66)/IF($F66&lt;=$F$3,$F66,30)*$J66)*HLOOKUP(($H66+$Q$1),$AC$52:$AQ$62,MATCH(VALUE(RIGHT(TRIM(K$5),2)),$AB$52:$AB$62,0))+"Winter kW")+$X66)+$Q66</f>
        <v>2857.55116</v>
      </c>
      <c r="L66" s="26">
        <f t="shared" ca="1" si="37"/>
        <v>2806.6344399999998</v>
      </c>
      <c r="M66" s="26">
        <f t="shared" ca="1" si="37"/>
        <v>3283.4891599999996</v>
      </c>
      <c r="N66" s="26">
        <f t="shared" ca="1" si="6"/>
        <v>130.2300000000003</v>
      </c>
      <c r="O66" s="26">
        <f t="shared" ca="1" si="36"/>
        <v>1158.9479999999999</v>
      </c>
      <c r="P66" s="73">
        <f t="shared" ca="1" si="7"/>
        <v>1813.7153600000013</v>
      </c>
      <c r="Q66" s="26">
        <f t="shared" ca="1" si="8"/>
        <v>40.32</v>
      </c>
      <c r="R66" s="26">
        <f t="shared" ca="1" si="3"/>
        <v>3283.5000000000009</v>
      </c>
      <c r="S66" s="26">
        <f t="shared" ca="1" si="9"/>
        <v>1613.0638000000001</v>
      </c>
      <c r="T66" s="26">
        <f t="shared" ref="T66:U85" ca="1" si="38">IF(OR($F66&gt;$F$3,$F66&lt;$F$2),$F66,30)/30*HLOOKUP(($H66+$Q$1),$AC$80:$AQ$98,MATCH(VALUE(RIGHT(TRIM(T$5),2)),$AB$80:$AB$98,0))+"CC"++(ROUND(($E66/$F66)*$I66,0)*HLOOKUP(($H66),$AC$30:$AQ$48,MATCH(VALUE(RIGHT(TRIM(T$5),2)),$AB$30:$AB$48,0))+"Summer kWh"+ROUND((($F66-$E66)/$F66)*$I66,0)*HLOOKUP(($H66),$AC$8:$AQ$26,MATCH(VALUE(RIGHT(TRIM(T$5),2)),$AB$8:$AB$26,0))+"Winter kWh")+(IF($H66&gt;DATE(2009,7,1),$I66*0.0209*$O$3,0)+"State Wind Energy kWh Surcharge")+$X66+$Q66</f>
        <v>1592.2637999999999</v>
      </c>
      <c r="U66" s="26">
        <f t="shared" ca="1" si="38"/>
        <v>1555.9757999999999</v>
      </c>
      <c r="V66" s="26">
        <f t="shared" ca="1" si="10"/>
        <v>5.760000000000006</v>
      </c>
      <c r="W66" s="26">
        <f t="shared" ca="1" si="11"/>
        <v>1405.9080000000001</v>
      </c>
      <c r="X66" s="26">
        <f ca="1">VLOOKUP(DATE(YEAR(H66+Electric!AB72),MONTH(H66+Electric!AB72),1),'FAF &amp; DDs'!$A$2:$B$321,2,FALSE)*I66</f>
        <v>140.2758</v>
      </c>
      <c r="Y66" s="26">
        <f t="shared" ca="1" si="12"/>
        <v>40.32</v>
      </c>
      <c r="Z66" s="26">
        <f t="shared" ca="1" si="13"/>
        <v>1592.27</v>
      </c>
      <c r="AB66" s="1" t="s">
        <v>160</v>
      </c>
      <c r="AC66" s="109">
        <v>37043</v>
      </c>
      <c r="AD66" s="84">
        <v>38657</v>
      </c>
      <c r="AE66" s="84">
        <v>38808</v>
      </c>
      <c r="AF66" s="84">
        <v>38991</v>
      </c>
      <c r="AG66" s="84">
        <v>39173</v>
      </c>
      <c r="AH66" s="84">
        <v>39356</v>
      </c>
      <c r="AI66" s="84">
        <v>39539</v>
      </c>
      <c r="AJ66" s="84">
        <v>40969</v>
      </c>
      <c r="AK66" s="84">
        <v>41334</v>
      </c>
      <c r="AL66" s="84">
        <v>42370</v>
      </c>
      <c r="AM66" s="84">
        <v>42795</v>
      </c>
      <c r="AN66" s="84">
        <v>43160</v>
      </c>
      <c r="AO66" s="84">
        <v>43525</v>
      </c>
      <c r="AP66" s="106">
        <f>DATE(2040,3,1)</f>
        <v>51196</v>
      </c>
      <c r="AQ66" s="106">
        <f>DATE(2041,3,1)</f>
        <v>51561</v>
      </c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</row>
    <row r="67" spans="4:56" s="23" customFormat="1" x14ac:dyDescent="0.2">
      <c r="D67" s="30"/>
      <c r="E67" s="38">
        <f t="shared" ca="1" si="14"/>
        <v>0</v>
      </c>
      <c r="F67" s="37">
        <f ca="1">Electric!X73</f>
        <v>29</v>
      </c>
      <c r="H67" s="32">
        <f ca="1">IF(ROW()&gt;(Electric!$Y$6-Electric!$Y$5+6),"",+Electric!V73)</f>
        <v>42130</v>
      </c>
      <c r="I67" s="33">
        <f ca="1">IF($H67="","",+Electric!F73)</f>
        <v>28000</v>
      </c>
      <c r="J67" s="43">
        <f ca="1">IF($H67="","",+Electric!G73)</f>
        <v>146.47999999999999</v>
      </c>
      <c r="K67" s="26">
        <f t="shared" ca="1" si="37"/>
        <v>4419.2268000000004</v>
      </c>
      <c r="L67" s="26">
        <f t="shared" ca="1" si="37"/>
        <v>4161.0468000000001</v>
      </c>
      <c r="M67" s="26">
        <f t="shared" ca="1" si="37"/>
        <v>4654.9748</v>
      </c>
      <c r="N67" s="26">
        <f t="shared" ca="1" si="6"/>
        <v>130.22999999999993</v>
      </c>
      <c r="O67" s="26">
        <f t="shared" ca="1" si="36"/>
        <v>2410.8000000000106</v>
      </c>
      <c r="P67" s="73">
        <f t="shared" ca="1" si="7"/>
        <v>1612.7447999999952</v>
      </c>
      <c r="Q67" s="26">
        <f t="shared" ca="1" si="8"/>
        <v>89.600000000000009</v>
      </c>
      <c r="R67" s="26">
        <f t="shared" ca="1" si="3"/>
        <v>4654.9700000000012</v>
      </c>
      <c r="S67" s="26">
        <f t="shared" ca="1" si="9"/>
        <v>3459.15</v>
      </c>
      <c r="T67" s="26">
        <f t="shared" ca="1" si="38"/>
        <v>3329.36</v>
      </c>
      <c r="U67" s="26">
        <f t="shared" ca="1" si="38"/>
        <v>3060.56</v>
      </c>
      <c r="V67" s="26">
        <f t="shared" ca="1" si="10"/>
        <v>5.7599999999999989</v>
      </c>
      <c r="W67" s="26">
        <f t="shared" ca="1" si="11"/>
        <v>2822.4000000000083</v>
      </c>
      <c r="X67" s="26">
        <f ca="1">VLOOKUP(DATE(YEAR(H67+Electric!AB73),MONTH(H67+Electric!AB73),1),'FAF &amp; DDs'!$A$2:$B$321,2,FALSE)*I67</f>
        <v>411.59999999999997</v>
      </c>
      <c r="Y67" s="26">
        <f t="shared" ca="1" si="12"/>
        <v>89.600000000000009</v>
      </c>
      <c r="Z67" s="26">
        <f t="shared" ca="1" si="13"/>
        <v>3329.36</v>
      </c>
      <c r="AB67" s="1">
        <v>40</v>
      </c>
      <c r="AC67" s="111">
        <v>6.88</v>
      </c>
      <c r="AD67" s="111">
        <v>7.5</v>
      </c>
      <c r="AE67" s="111">
        <v>7.99</v>
      </c>
      <c r="AF67" s="111">
        <v>8.5</v>
      </c>
      <c r="AG67" s="111">
        <v>8.76</v>
      </c>
      <c r="AH67" s="111">
        <v>9.02</v>
      </c>
      <c r="AI67" s="111">
        <v>9.24</v>
      </c>
      <c r="AJ67" s="111">
        <v>9.68</v>
      </c>
      <c r="AK67" s="111">
        <v>9.8699999999999992</v>
      </c>
      <c r="AL67" s="111">
        <v>10.220000000000001</v>
      </c>
      <c r="AM67" s="111">
        <v>10.220000000000001</v>
      </c>
      <c r="AN67" s="111">
        <v>10.220000000000001</v>
      </c>
      <c r="AO67" s="111">
        <v>10.220000000000001</v>
      </c>
      <c r="AP67" s="111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</row>
    <row r="68" spans="4:56" s="23" customFormat="1" x14ac:dyDescent="0.2">
      <c r="D68" s="30"/>
      <c r="E68" s="38">
        <f t="shared" ca="1" si="14"/>
        <v>0</v>
      </c>
      <c r="F68" s="37">
        <f ca="1">Electric!X74</f>
        <v>32</v>
      </c>
      <c r="H68" s="32">
        <f ca="1">IF(ROW()&gt;(Electric!$Y$6-Electric!$Y$5+6),"",+Electric!V74)</f>
        <v>42101</v>
      </c>
      <c r="I68" s="33">
        <f ca="1">IF($H68="","",+Electric!F74)</f>
        <v>79400</v>
      </c>
      <c r="J68" s="43">
        <f ca="1">IF($H68="","",+Electric!G74)</f>
        <v>127.66</v>
      </c>
      <c r="K68" s="26">
        <f t="shared" ca="1" si="37"/>
        <v>9785.0173999999988</v>
      </c>
      <c r="L68" s="26">
        <f t="shared" ca="1" si="37"/>
        <v>9043.6774000000005</v>
      </c>
      <c r="M68" s="26">
        <f t="shared" ca="1" si="37"/>
        <v>9412.0083999999988</v>
      </c>
      <c r="N68" s="26">
        <f t="shared" ca="1" si="6"/>
        <v>130.23000000000002</v>
      </c>
      <c r="O68" s="26">
        <f t="shared" ca="1" si="36"/>
        <v>6836.3399999999874</v>
      </c>
      <c r="P68" s="73">
        <f t="shared" ca="1" si="7"/>
        <v>1405.5366000000024</v>
      </c>
      <c r="Q68" s="26">
        <f t="shared" ca="1" si="8"/>
        <v>254.08</v>
      </c>
      <c r="R68" s="26">
        <f t="shared" ca="1" si="3"/>
        <v>9412.01</v>
      </c>
      <c r="S68" s="26">
        <f t="shared" ca="1" si="9"/>
        <v>9410.2717999999986</v>
      </c>
      <c r="T68" s="26">
        <f t="shared" ca="1" si="38"/>
        <v>9049.1818000000003</v>
      </c>
      <c r="U68" s="26">
        <f t="shared" ca="1" si="38"/>
        <v>8286.9418000000005</v>
      </c>
      <c r="V68" s="26">
        <f t="shared" ca="1" si="10"/>
        <v>5.7600000000000193</v>
      </c>
      <c r="W68" s="26">
        <f t="shared" ca="1" si="11"/>
        <v>8003.52</v>
      </c>
      <c r="X68" s="26">
        <f ca="1">VLOOKUP(DATE(YEAR(H68+Electric!AB74),MONTH(H68+Electric!AB74),1),'FAF &amp; DDs'!$A$2:$B$321,2,FALSE)*I68</f>
        <v>785.82179999999994</v>
      </c>
      <c r="Y68" s="26">
        <f t="shared" ca="1" si="12"/>
        <v>254.08</v>
      </c>
      <c r="Z68" s="26">
        <f t="shared" ca="1" si="13"/>
        <v>9049.18</v>
      </c>
      <c r="AB68" s="1">
        <v>41</v>
      </c>
      <c r="AC68" s="111">
        <v>6.88</v>
      </c>
      <c r="AD68" s="111">
        <v>7.5</v>
      </c>
      <c r="AE68" s="111">
        <v>7.99</v>
      </c>
      <c r="AF68" s="111">
        <v>8.5</v>
      </c>
      <c r="AG68" s="111">
        <v>8.76</v>
      </c>
      <c r="AH68" s="111">
        <v>9.02</v>
      </c>
      <c r="AI68" s="111">
        <v>9.24</v>
      </c>
      <c r="AJ68" s="111">
        <v>9.68</v>
      </c>
      <c r="AK68" s="111">
        <v>9.8699999999999992</v>
      </c>
      <c r="AL68" s="111">
        <v>10.220000000000001</v>
      </c>
      <c r="AM68" s="111">
        <v>10.220000000000001</v>
      </c>
      <c r="AN68" s="111">
        <v>10.220000000000001</v>
      </c>
      <c r="AO68" s="111">
        <v>10.220000000000001</v>
      </c>
      <c r="AP68" s="111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</row>
    <row r="69" spans="4:56" s="23" customFormat="1" x14ac:dyDescent="0.2">
      <c r="D69" s="30"/>
      <c r="E69" s="38">
        <f t="shared" ca="1" si="14"/>
        <v>0</v>
      </c>
      <c r="F69" s="37">
        <f ca="1">Electric!X75</f>
        <v>28</v>
      </c>
      <c r="H69" s="32">
        <f ca="1">IF(ROW()&gt;(Electric!$Y$6-Electric!$Y$5+6),"",+Electric!V75)</f>
        <v>42069</v>
      </c>
      <c r="I69" s="33">
        <f ca="1">IF($H69="","",+Electric!F75)</f>
        <v>45000</v>
      </c>
      <c r="J69" s="43">
        <f ca="1">IF($H69="","",+Electric!G75)</f>
        <v>118.6</v>
      </c>
      <c r="K69" s="26">
        <f t="shared" ca="1" si="37"/>
        <v>5881.3810000000003</v>
      </c>
      <c r="L69" s="26">
        <f t="shared" ca="1" si="37"/>
        <v>5463.4009999999998</v>
      </c>
      <c r="M69" s="26">
        <f t="shared" ca="1" si="37"/>
        <v>5854.0709999999999</v>
      </c>
      <c r="N69" s="26">
        <f t="shared" ca="1" si="6"/>
        <v>130.23000000000008</v>
      </c>
      <c r="O69" s="26">
        <f t="shared" ca="1" si="36"/>
        <v>3874.5000000000027</v>
      </c>
      <c r="P69" s="73">
        <f t="shared" ca="1" si="7"/>
        <v>1305.7859999999989</v>
      </c>
      <c r="Q69" s="26">
        <f t="shared" ca="1" si="8"/>
        <v>144</v>
      </c>
      <c r="R69" s="26">
        <f t="shared" ca="1" si="3"/>
        <v>5854.0800000000008</v>
      </c>
      <c r="S69" s="26">
        <f t="shared" ca="1" si="9"/>
        <v>5291.6050000000005</v>
      </c>
      <c r="T69" s="26">
        <f t="shared" ca="1" si="38"/>
        <v>5085.3150000000005</v>
      </c>
      <c r="U69" s="26">
        <f t="shared" ca="1" si="38"/>
        <v>4653.3150000000005</v>
      </c>
      <c r="V69" s="26">
        <f t="shared" ca="1" si="10"/>
        <v>5.7599999999999909</v>
      </c>
      <c r="W69" s="26">
        <f t="shared" ca="1" si="11"/>
        <v>4535.99999999998</v>
      </c>
      <c r="X69" s="26">
        <f ca="1">VLOOKUP(DATE(YEAR(H69+Electric!AB75),MONTH(H69+Electric!AB75),1),'FAF &amp; DDs'!$A$2:$B$321,2,FALSE)*I69</f>
        <v>399.55500000000001</v>
      </c>
      <c r="Y69" s="26">
        <f t="shared" ca="1" si="12"/>
        <v>144</v>
      </c>
      <c r="Z69" s="26">
        <f t="shared" ca="1" si="13"/>
        <v>5085.3200000000006</v>
      </c>
      <c r="AB69" s="1">
        <v>42</v>
      </c>
      <c r="AC69" s="111">
        <v>7.4</v>
      </c>
      <c r="AD69" s="111">
        <v>8.07</v>
      </c>
      <c r="AE69" s="111">
        <v>8.59</v>
      </c>
      <c r="AF69" s="111">
        <v>9.14</v>
      </c>
      <c r="AG69" s="111">
        <v>9.41</v>
      </c>
      <c r="AH69" s="111">
        <v>9.69</v>
      </c>
      <c r="AI69" s="111">
        <v>9.92</v>
      </c>
      <c r="AJ69" s="111">
        <v>10.39</v>
      </c>
      <c r="AK69" s="111">
        <v>10.6</v>
      </c>
      <c r="AL69" s="111">
        <v>10.97</v>
      </c>
      <c r="AM69" s="111">
        <v>10.97</v>
      </c>
      <c r="AN69" s="111">
        <v>10.97</v>
      </c>
      <c r="AO69" s="111">
        <v>10.97</v>
      </c>
      <c r="AP69" s="111"/>
    </row>
    <row r="70" spans="4:56" s="23" customFormat="1" x14ac:dyDescent="0.2">
      <c r="D70" s="30"/>
      <c r="E70" s="38">
        <f t="shared" ca="1" si="14"/>
        <v>0</v>
      </c>
      <c r="F70" s="37">
        <f ca="1">Electric!X76</f>
        <v>29</v>
      </c>
      <c r="H70" s="32">
        <f ca="1">IF(ROW()&gt;(Electric!$Y$6-Electric!$Y$5+6),"",+Electric!V76)</f>
        <v>42041</v>
      </c>
      <c r="I70" s="33">
        <f ca="1">IF($H70="","",+Electric!F76)</f>
        <v>0</v>
      </c>
      <c r="J70" s="43">
        <f ca="1">IF($H70="","",+Electric!G76)</f>
        <v>117.6</v>
      </c>
      <c r="K70" s="26">
        <f t="shared" ca="1" si="37"/>
        <v>969.16599999999994</v>
      </c>
      <c r="L70" s="26">
        <f t="shared" ca="1" si="37"/>
        <v>974.18600000000004</v>
      </c>
      <c r="M70" s="26">
        <f t="shared" ca="1" si="37"/>
        <v>1425.0059999999999</v>
      </c>
      <c r="N70" s="26">
        <f t="shared" ca="1" si="6"/>
        <v>130.22999999999993</v>
      </c>
      <c r="O70" s="26">
        <f t="shared" ca="1" si="36"/>
        <v>0</v>
      </c>
      <c r="P70" s="73">
        <f t="shared" ca="1" si="7"/>
        <v>0</v>
      </c>
      <c r="Q70" s="26">
        <f t="shared" ca="1" si="8"/>
        <v>0</v>
      </c>
      <c r="R70" s="26">
        <f t="shared" ca="1" si="3"/>
        <v>130.22999999999993</v>
      </c>
      <c r="S70" s="26">
        <f t="shared" ca="1" si="9"/>
        <v>9.5500000000000007</v>
      </c>
      <c r="T70" s="26">
        <f t="shared" ca="1" si="38"/>
        <v>5.76</v>
      </c>
      <c r="U70" s="26">
        <f t="shared" ca="1" si="38"/>
        <v>5.76</v>
      </c>
      <c r="V70" s="26">
        <f t="shared" ca="1" si="10"/>
        <v>5.7599999999999989</v>
      </c>
      <c r="W70" s="26">
        <f t="shared" ca="1" si="11"/>
        <v>0</v>
      </c>
      <c r="X70" s="26">
        <f ca="1">VLOOKUP(DATE(YEAR(H70+Electric!AB76),MONTH(H70+Electric!AB76),1),'FAF &amp; DDs'!$A$2:$B$321,2,FALSE)*I70</f>
        <v>0</v>
      </c>
      <c r="Y70" s="26">
        <f t="shared" ca="1" si="12"/>
        <v>0</v>
      </c>
      <c r="Z70" s="26">
        <f t="shared" ca="1" si="13"/>
        <v>5.7599999999999989</v>
      </c>
      <c r="AB70" s="1">
        <v>43</v>
      </c>
      <c r="AC70" s="111">
        <v>7.4</v>
      </c>
      <c r="AD70" s="111">
        <v>8.07</v>
      </c>
      <c r="AE70" s="111">
        <v>8.59</v>
      </c>
      <c r="AF70" s="111">
        <v>9.14</v>
      </c>
      <c r="AG70" s="111">
        <v>9.41</v>
      </c>
      <c r="AH70" s="111">
        <v>9.69</v>
      </c>
      <c r="AI70" s="111">
        <v>9.92</v>
      </c>
      <c r="AJ70" s="111">
        <v>10.39</v>
      </c>
      <c r="AK70" s="111">
        <v>10.6</v>
      </c>
      <c r="AL70" s="111">
        <v>10.97</v>
      </c>
      <c r="AM70" s="111">
        <v>10.97</v>
      </c>
      <c r="AN70" s="111">
        <v>10.97</v>
      </c>
      <c r="AO70" s="111">
        <v>10.97</v>
      </c>
      <c r="AP70" s="111"/>
      <c r="AS70" s="1" t="s">
        <v>227</v>
      </c>
    </row>
    <row r="71" spans="4:56" s="23" customFormat="1" x14ac:dyDescent="0.2">
      <c r="D71" s="30"/>
      <c r="E71" s="38">
        <f t="shared" ca="1" si="14"/>
        <v>0</v>
      </c>
      <c r="F71" s="37">
        <f ca="1">Electric!X77</f>
        <v>31</v>
      </c>
      <c r="H71" s="32">
        <f ca="1">IF(ROW()&gt;(Electric!$Y$6-Electric!$Y$5+6),"",+Electric!V77)</f>
        <v>42012</v>
      </c>
      <c r="I71" s="33">
        <f ca="1">IF($H71="","",+Electric!F77)</f>
        <v>42400</v>
      </c>
      <c r="J71" s="43">
        <f ca="1">IF($H71="","",+Electric!G77)</f>
        <v>117.6</v>
      </c>
      <c r="K71" s="26">
        <f t="shared" ca="1" si="37"/>
        <v>6023.4580000000005</v>
      </c>
      <c r="L71" s="26">
        <f t="shared" ca="1" si="37"/>
        <v>5629.9179999999997</v>
      </c>
      <c r="M71" s="26">
        <f t="shared" ca="1" si="37"/>
        <v>6021.3779999999997</v>
      </c>
      <c r="N71" s="26">
        <f t="shared" ref="N71:N134" ca="1" si="39">IFERROR(IF(OR($F71&gt;$F$3,$F71&lt;$F$2),$F71,30)/30*(($H71-HLOOKUP($H71,$AC$80:$AQ$80,1))*HLOOKUP($H71,$AC$80:$AQ$98,MATCH($AC$2,$AB$80:$AB$98,0))+(HLOOKUP($H71,$AC$80:$AQ$80,1)-$H71+$F71)*HLOOKUP($H71-$F71,$AC$80:$AQ$98,MATCH($AC$2,$AB$80:$AB$98,0)))/$F71,0)</f>
        <v>130.22999999999968</v>
      </c>
      <c r="O71" s="26">
        <f t="shared" ca="1" si="36"/>
        <v>3650.6400000000003</v>
      </c>
      <c r="P71" s="73">
        <f t="shared" ref="P71:P134" ca="1" si="40">IF(I71=0,0,+$E71/IF($F71&lt;=$F$3,$F71,30)*$J71*HLOOKUP(($H71+$Q$1),$AC$66:$AQ$76,MATCH($AC$2,$AB$66:$AB$76,0))+"Summer"+(($F71-$E71)/IF($F71&lt;=$F$3,$F71,30)*$J71)/$F71*(($H71-HLOOKUP($H71,$AC$52:$AQ$52,1))*HLOOKUP($H71,$AC$52:$AQ$62,MATCH($AC$2,$AB$52:$AB$62,0))+(HLOOKUP($H71,$AC$52:$AQ$52,1)-$H71+$F71)*HLOOKUP($H71-$F71,$AC$52:$AQ$62,MATCH($AC$2,$AB$52:$AB$62,0)))+"Winter")</f>
        <v>1294.775999999998</v>
      </c>
      <c r="Q71" s="26">
        <f t="shared" ref="Q71:Q134" ca="1" si="41">MIN(0.0032*$I71,0.05*(O71+P71+$X71))</f>
        <v>135.68</v>
      </c>
      <c r="R71" s="26">
        <f t="shared" ref="R71:R134" ca="1" si="42">N71+ROUND(O71,2)+ROUND(P71,2)+ROUND(Q71,2)+ROUND(X71,2)-ROUND($O$2*(N71+O71+P71+X71),2)</f>
        <v>6021.38</v>
      </c>
      <c r="S71" s="26">
        <f t="shared" ref="S71:S134" ca="1" si="43">(1-$O$2)*(IF(OR($F71&gt;$F$3,$F71&lt;$F$2),$F71,30)/30*HLOOKUP(($H71+$Q$1),$AC$80:$AQ$98,MATCH(VALUE(RIGHT(TRIM(S$5),2)),$AB$80:$AB$98,0))+"CC"++(ROUND(($E71/$F71)*$I71,0)*HLOOKUP(($H71+$Q$1),$AC$30:$AQ$48,MATCH(VALUE(RIGHT(TRIM(S$5),2)),$AB$30:$AB$48,0))+"Summer kWh"+ROUND((($F71-$E71)/$F71)*$I71,0)*HLOOKUP(($H71+$Q$1),$AC$8:$AQ$26,MATCH(VALUE(RIGHT(TRIM(S$5),2)),$AB$8:$AB$26,0))+"Winter kWh")+(IF($H71&gt;DATE(2009,7,1),$I71*0.0209*$O$3,0)+"State Wind Energy kWh Surcharge")+($E71/IF($F71&lt;=$F$3,$F71,30)*$J71*HLOOKUP(($H71+$Q$1),$AC$66:$AQ$76,MATCH(VALUE(RIGHT(TRIM(S$5),2)),$AB$66:$AB$76,0))+"Summer kW"+(($F71-$E71)/IF($F71&lt;=$F$3,$F71,30)*$J71)*HLOOKUP(($H71+$Q$1),$AC$52:$AQ$62,MATCH(VALUE(RIGHT(TRIM(S$5),2)),$AB$52:$AB$62,0))+"Winter kW")+$X71)+$Q71</f>
        <v>5420.0020000000004</v>
      </c>
      <c r="T71" s="26">
        <f t="shared" ca="1" si="38"/>
        <v>5225.4120000000003</v>
      </c>
      <c r="U71" s="26">
        <f t="shared" ca="1" si="38"/>
        <v>4818.3720000000003</v>
      </c>
      <c r="V71" s="26">
        <f t="shared" ref="V71:V134" ca="1" si="44">IFERROR(IF(OR($F71&gt;$F$3,$F71&lt;$F$2),$F71,30)/30*(($H71-HLOOKUP($H71,$AC$80:$AQ$80,1))*HLOOKUP($H71,$AC$80:$AQ$98,MATCH($AC$1,$AB$80:$AB$98,0))+(HLOOKUP($H71,$AC$80:$AQ$80,1)-$H71+$F71)*HLOOKUP($H71-$F71,$AC$80:$AQ$98,MATCH($AC$1,$AB$80:$AB$98,0)))/$F71,0)</f>
        <v>5.759999999999998</v>
      </c>
      <c r="W71" s="26">
        <f t="shared" ref="W71:W134" ca="1" si="45">+IFERROR(ROUND(($E71/$F71)*$I71,0)*HLOOKUP(($H71),$AC$30:$AQ$48,MATCH($AC$1,$AB$30:$AB$48,0))+"Summer"+ROUND((($F71-$E71)/$F71)*$I71,0)/$F71*(($H71-HLOOKUP($H71,$AC$8:$AQ$8,1))*HLOOKUP($H71,$AC$8:$AQ$26,MATCH($AC$1,$AB$8:$AB$26,0))+(HLOOKUP($H71,$AC$8:$AQ$8,1)-$H71+$F71)*HLOOKUP($H71-$F71,$AC$8:$AQ$26,MATCH($AC$1,$AB$8:$AB$26,0)))+"Winter",0)</f>
        <v>4273.919999999991</v>
      </c>
      <c r="X71" s="26">
        <f ca="1">VLOOKUP(DATE(YEAR(H71+Electric!AB77),MONTH(H71+Electric!AB77),1),'FAF &amp; DDs'!$A$2:$B$321,2,FALSE)*I71</f>
        <v>810.05200000000002</v>
      </c>
      <c r="Y71" s="26">
        <f t="shared" ref="Y71:Y134" ca="1" si="46">IFERROR(MIN(0.0032*I71,0.05*(W71+X71)),0)</f>
        <v>135.68</v>
      </c>
      <c r="Z71" s="26">
        <f t="shared" ref="Z71:Z134" ca="1" si="47">V71+ROUND(W71,2)+ROUND(X71,2)+ROUND(Y71,2)</f>
        <v>5225.4100000000008</v>
      </c>
      <c r="AB71" s="1">
        <v>44</v>
      </c>
      <c r="AC71" s="111">
        <v>0</v>
      </c>
      <c r="AD71" s="111">
        <v>0</v>
      </c>
      <c r="AE71" s="111">
        <v>0</v>
      </c>
      <c r="AF71" s="111">
        <v>0</v>
      </c>
      <c r="AG71" s="111">
        <v>0</v>
      </c>
      <c r="AH71" s="111">
        <v>0</v>
      </c>
      <c r="AI71" s="111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1">
        <v>0</v>
      </c>
      <c r="AP71" s="111"/>
    </row>
    <row r="72" spans="4:56" s="23" customFormat="1" x14ac:dyDescent="0.2">
      <c r="D72" s="30"/>
      <c r="E72" s="38">
        <f t="shared" ref="E72:E135" ca="1" si="48">MIN(F72,MAX((H72-DATE(YEAR(H72),5,15)),0),MAX(0,(DATE(YEAR(H72),9,15)-(H72-F72))))</f>
        <v>0</v>
      </c>
      <c r="F72" s="37">
        <f ca="1">Electric!X78</f>
        <v>32</v>
      </c>
      <c r="H72" s="32">
        <f ca="1">IF(ROW()&gt;(Electric!$Y$6-Electric!$Y$5+6),"",+Electric!V78)</f>
        <v>41981</v>
      </c>
      <c r="I72" s="33">
        <f ca="1">IF($H72="","",+Electric!F78)</f>
        <v>46600</v>
      </c>
      <c r="J72" s="43">
        <f ca="1">IF($H72="","",+Electric!G78)</f>
        <v>116.5</v>
      </c>
      <c r="K72" s="26">
        <f t="shared" ca="1" si="37"/>
        <v>6216.2040000000006</v>
      </c>
      <c r="L72" s="26">
        <f t="shared" ca="1" si="37"/>
        <v>5783.1840000000002</v>
      </c>
      <c r="M72" s="26">
        <f t="shared" ca="1" si="37"/>
        <v>6165.6289999999999</v>
      </c>
      <c r="N72" s="26">
        <f t="shared" ca="1" si="39"/>
        <v>130.23000000000002</v>
      </c>
      <c r="O72" s="26">
        <f t="shared" ca="1" si="36"/>
        <v>4012.2600000000029</v>
      </c>
      <c r="P72" s="73">
        <f t="shared" ca="1" si="40"/>
        <v>1282.6650000000022</v>
      </c>
      <c r="Q72" s="26">
        <f t="shared" ca="1" si="41"/>
        <v>149.12</v>
      </c>
      <c r="R72" s="26">
        <f t="shared" ca="1" si="42"/>
        <v>6165.63</v>
      </c>
      <c r="S72" s="26">
        <f t="shared" ca="1" si="43"/>
        <v>5657.0040000000008</v>
      </c>
      <c r="T72" s="26">
        <f t="shared" ca="1" si="38"/>
        <v>5443.5140000000001</v>
      </c>
      <c r="U72" s="26">
        <f t="shared" ca="1" si="38"/>
        <v>4996.1540000000005</v>
      </c>
      <c r="V72" s="26">
        <f t="shared" ca="1" si="44"/>
        <v>5.7599999999999909</v>
      </c>
      <c r="W72" s="26">
        <f t="shared" ca="1" si="45"/>
        <v>4697.2800000000107</v>
      </c>
      <c r="X72" s="26">
        <f ca="1">VLOOKUP(DATE(YEAR(H72+Electric!AB78),MONTH(H72+Electric!AB78),1),'FAF &amp; DDs'!$A$2:$B$321,2,FALSE)*I72</f>
        <v>591.35400000000004</v>
      </c>
      <c r="Y72" s="26">
        <f t="shared" ca="1" si="46"/>
        <v>149.12</v>
      </c>
      <c r="Z72" s="26">
        <f t="shared" ca="1" si="47"/>
        <v>5443.51</v>
      </c>
      <c r="AB72" s="1">
        <v>46</v>
      </c>
      <c r="AC72" s="111">
        <v>9.0500000000000007</v>
      </c>
      <c r="AD72" s="111">
        <v>9.86</v>
      </c>
      <c r="AE72" s="111">
        <v>10.5</v>
      </c>
      <c r="AF72" s="111">
        <v>11.17</v>
      </c>
      <c r="AG72" s="111">
        <v>11.51</v>
      </c>
      <c r="AH72" s="111">
        <v>11.86</v>
      </c>
      <c r="AI72" s="111">
        <v>12.14</v>
      </c>
      <c r="AJ72" s="111">
        <v>12.72</v>
      </c>
      <c r="AK72" s="111">
        <v>12.97</v>
      </c>
      <c r="AL72" s="111">
        <v>14.01</v>
      </c>
      <c r="AM72" s="111">
        <v>14.01</v>
      </c>
      <c r="AN72" s="111">
        <v>14.01</v>
      </c>
      <c r="AO72" s="111">
        <v>14.01</v>
      </c>
      <c r="AP72" s="111"/>
      <c r="AR72" s="109">
        <v>37043</v>
      </c>
      <c r="AS72" s="84">
        <v>39630</v>
      </c>
      <c r="AT72" s="84">
        <v>39995</v>
      </c>
      <c r="AU72" s="84">
        <v>40360</v>
      </c>
      <c r="AV72" s="84">
        <v>40725</v>
      </c>
      <c r="AW72" s="84">
        <v>41091</v>
      </c>
      <c r="AX72" s="84">
        <v>41456</v>
      </c>
      <c r="AY72" s="84">
        <v>41821</v>
      </c>
      <c r="AZ72" s="84">
        <v>42186</v>
      </c>
      <c r="BA72" s="84">
        <v>42552</v>
      </c>
      <c r="BB72" s="84">
        <v>42917</v>
      </c>
      <c r="BC72" s="84">
        <v>43282</v>
      </c>
      <c r="BD72" s="106">
        <f>DATE(2041,3,1)</f>
        <v>51561</v>
      </c>
    </row>
    <row r="73" spans="4:56" s="23" customFormat="1" x14ac:dyDescent="0.2">
      <c r="D73" s="30"/>
      <c r="E73" s="38">
        <f t="shared" ca="1" si="48"/>
        <v>0</v>
      </c>
      <c r="F73" s="37">
        <f ca="1">Electric!X79</f>
        <v>29</v>
      </c>
      <c r="H73" s="32">
        <f ca="1">IF(ROW()&gt;(Electric!$Y$6-Electric!$Y$5+6),"",+Electric!V79)</f>
        <v>41949</v>
      </c>
      <c r="I73" s="33">
        <f ca="1">IF($H73="","",+Electric!F79)</f>
        <v>33800</v>
      </c>
      <c r="J73" s="43">
        <f ca="1">IF($H73="","",+Electric!G79)</f>
        <v>130.41999999999999</v>
      </c>
      <c r="K73" s="26">
        <f t="shared" ca="1" si="37"/>
        <v>4948.1021999999994</v>
      </c>
      <c r="L73" s="26">
        <f t="shared" ca="1" si="37"/>
        <v>4635.4021999999995</v>
      </c>
      <c r="M73" s="26">
        <f t="shared" ca="1" si="37"/>
        <v>5075.4391999999989</v>
      </c>
      <c r="N73" s="26">
        <f t="shared" ca="1" si="39"/>
        <v>130.22999999999993</v>
      </c>
      <c r="O73" s="26">
        <f t="shared" ca="1" si="36"/>
        <v>2910.1799999999957</v>
      </c>
      <c r="P73" s="73">
        <f t="shared" ca="1" si="40"/>
        <v>1435.9241999999997</v>
      </c>
      <c r="Q73" s="26">
        <f t="shared" ca="1" si="41"/>
        <v>108.16000000000001</v>
      </c>
      <c r="R73" s="26">
        <f t="shared" ca="1" si="42"/>
        <v>5075.4399999999996</v>
      </c>
      <c r="S73" s="26">
        <f t="shared" ca="1" si="43"/>
        <v>4167.795000000001</v>
      </c>
      <c r="T73" s="26">
        <f t="shared" ca="1" si="38"/>
        <v>4011.9050000000002</v>
      </c>
      <c r="U73" s="26">
        <f t="shared" ca="1" si="38"/>
        <v>3687.4250000000002</v>
      </c>
      <c r="V73" s="26">
        <f t="shared" ca="1" si="44"/>
        <v>5.760000000000014</v>
      </c>
      <c r="W73" s="26">
        <f t="shared" ca="1" si="45"/>
        <v>3407.0399999999931</v>
      </c>
      <c r="X73" s="26">
        <f ca="1">VLOOKUP(DATE(YEAR(H73+Electric!AB79),MONTH(H73+Electric!AB79),1),'FAF &amp; DDs'!$A$2:$B$321,2,FALSE)*I73</f>
        <v>490.94499999999999</v>
      </c>
      <c r="Y73" s="26">
        <f t="shared" ca="1" si="46"/>
        <v>108.16000000000001</v>
      </c>
      <c r="Z73" s="26">
        <f t="shared" ca="1" si="47"/>
        <v>4011.91</v>
      </c>
      <c r="AB73" s="1">
        <v>47</v>
      </c>
      <c r="AC73" s="111">
        <v>9.0500000000000007</v>
      </c>
      <c r="AD73" s="111">
        <v>9.86</v>
      </c>
      <c r="AE73" s="111">
        <v>10.5</v>
      </c>
      <c r="AF73" s="111">
        <v>11.17</v>
      </c>
      <c r="AG73" s="111">
        <v>11.51</v>
      </c>
      <c r="AH73" s="111">
        <v>11.86</v>
      </c>
      <c r="AI73" s="111">
        <v>12.14</v>
      </c>
      <c r="AJ73" s="111">
        <v>12.72</v>
      </c>
      <c r="AK73" s="111">
        <v>12.97</v>
      </c>
      <c r="AL73" s="111">
        <v>14.01</v>
      </c>
      <c r="AM73" s="111">
        <v>14.01</v>
      </c>
      <c r="AN73" s="111">
        <v>14.01</v>
      </c>
      <c r="AO73" s="111">
        <v>14.01</v>
      </c>
      <c r="AP73" s="111"/>
      <c r="AR73" s="110">
        <v>0</v>
      </c>
      <c r="AS73" s="110">
        <v>1.9300000000000001E-2</v>
      </c>
      <c r="AT73" s="110">
        <v>2.01E-2</v>
      </c>
      <c r="AU73" s="110">
        <v>2.0899999999999998E-2</v>
      </c>
      <c r="AV73" s="110">
        <v>2.1700000000000001E-2</v>
      </c>
      <c r="AW73" s="110">
        <v>2.2599999999999999E-2</v>
      </c>
      <c r="AX73" s="110">
        <v>2.35E-2</v>
      </c>
      <c r="AY73" s="110">
        <v>2.4400000000000002E-2</v>
      </c>
      <c r="AZ73" s="110">
        <f>ROUND(AY73*1.04,4)</f>
        <v>2.5399999999999999E-2</v>
      </c>
      <c r="BA73" s="110">
        <f t="shared" ref="BA73:BB73" si="49">ROUND(AZ73*1.04,4)</f>
        <v>2.64E-2</v>
      </c>
      <c r="BB73" s="110">
        <f t="shared" si="49"/>
        <v>2.75E-2</v>
      </c>
      <c r="BC73" s="110">
        <v>0</v>
      </c>
    </row>
    <row r="74" spans="4:56" s="23" customFormat="1" x14ac:dyDescent="0.2">
      <c r="D74" s="30"/>
      <c r="E74" s="38">
        <f t="shared" ca="1" si="48"/>
        <v>7</v>
      </c>
      <c r="F74" s="37">
        <f ca="1">Electric!X80</f>
        <v>30</v>
      </c>
      <c r="H74" s="32">
        <f ca="1">IF(ROW()&gt;(Electric!$Y$6-Electric!$Y$5+6),"",+Electric!V80)</f>
        <v>41920</v>
      </c>
      <c r="I74" s="33">
        <f ca="1">IF($H74="","",+Electric!F80)</f>
        <v>37800</v>
      </c>
      <c r="J74" s="43">
        <f ca="1">IF($H74="","",+Electric!G80)</f>
        <v>155.80000000000001</v>
      </c>
      <c r="K74" s="26">
        <f t="shared" ca="1" si="37"/>
        <v>5182.1110000000008</v>
      </c>
      <c r="L74" s="26">
        <f t="shared" ca="1" si="37"/>
        <v>4846.0009333333346</v>
      </c>
      <c r="M74" s="26">
        <f t="shared" ca="1" si="37"/>
        <v>5345.9053333333341</v>
      </c>
      <c r="N74" s="26">
        <f t="shared" ca="1" si="39"/>
        <v>130.2300000000003</v>
      </c>
      <c r="O74" s="26">
        <f t="shared" ca="1" si="36"/>
        <v>3328.6679999999988</v>
      </c>
      <c r="P74" s="73">
        <f t="shared" ca="1" si="40"/>
        <v>1786.6105333333344</v>
      </c>
      <c r="Q74" s="26">
        <f t="shared" ca="1" si="41"/>
        <v>120.96000000000001</v>
      </c>
      <c r="R74" s="26">
        <f t="shared" ca="1" si="42"/>
        <v>5345.91</v>
      </c>
      <c r="S74" s="26">
        <f t="shared" ca="1" si="43"/>
        <v>4186.4247999999998</v>
      </c>
      <c r="T74" s="26">
        <f t="shared" ca="1" si="38"/>
        <v>4052.2248000000004</v>
      </c>
      <c r="U74" s="26">
        <f t="shared" ca="1" si="38"/>
        <v>3774.0168000000003</v>
      </c>
      <c r="V74" s="26">
        <f t="shared" ca="1" si="44"/>
        <v>5.7599999999999909</v>
      </c>
      <c r="W74" s="26">
        <f t="shared" ca="1" si="45"/>
        <v>3946.0680000000011</v>
      </c>
      <c r="X74" s="26">
        <f ca="1">VLOOKUP(DATE(YEAR(H74+Electric!AB80),MONTH(H74+Electric!AB80),1),'FAF &amp; DDs'!$A$2:$B$321,2,FALSE)*I74</f>
        <v>-20.563199999999998</v>
      </c>
      <c r="Y74" s="26">
        <f t="shared" ca="1" si="46"/>
        <v>120.96000000000001</v>
      </c>
      <c r="Z74" s="26">
        <f t="shared" ca="1" si="47"/>
        <v>4052.23</v>
      </c>
      <c r="AB74" s="1">
        <v>48</v>
      </c>
      <c r="AC74" s="111">
        <v>10.4</v>
      </c>
      <c r="AD74" s="111">
        <v>11.34</v>
      </c>
      <c r="AE74" s="111">
        <v>12.08</v>
      </c>
      <c r="AF74" s="111">
        <v>12.85</v>
      </c>
      <c r="AG74" s="111">
        <v>13.24</v>
      </c>
      <c r="AH74" s="111">
        <v>13.64</v>
      </c>
      <c r="AI74" s="111">
        <v>13.97</v>
      </c>
      <c r="AJ74" s="111">
        <v>14.63</v>
      </c>
      <c r="AK74" s="111">
        <v>14.92</v>
      </c>
      <c r="AL74" s="111">
        <v>16.11</v>
      </c>
      <c r="AM74" s="111">
        <v>16.11</v>
      </c>
      <c r="AN74" s="111">
        <v>16.11</v>
      </c>
      <c r="AO74" s="111">
        <v>16.11</v>
      </c>
      <c r="AP74" s="111"/>
      <c r="AS74" s="110"/>
      <c r="AT74" s="170"/>
      <c r="AU74" s="170"/>
      <c r="AV74" s="170"/>
      <c r="AW74" s="170"/>
      <c r="AX74" s="170"/>
      <c r="AY74" s="170"/>
      <c r="AZ74" s="170"/>
      <c r="BA74" s="170"/>
    </row>
    <row r="75" spans="4:56" s="23" customFormat="1" x14ac:dyDescent="0.2">
      <c r="D75" s="30"/>
      <c r="E75" s="38">
        <f t="shared" ca="1" si="48"/>
        <v>33</v>
      </c>
      <c r="F75" s="37">
        <f ca="1">Electric!X81</f>
        <v>33</v>
      </c>
      <c r="H75" s="32">
        <f ca="1">IF(ROW()&gt;(Electric!$Y$6-Electric!$Y$5+6),"",+Electric!V81)</f>
        <v>41890</v>
      </c>
      <c r="I75" s="33">
        <f ca="1">IF($H75="","",+Electric!F81)</f>
        <v>49000</v>
      </c>
      <c r="J75" s="43">
        <f ca="1">IF($H75="","",+Electric!G81)</f>
        <v>175.8</v>
      </c>
      <c r="K75" s="26">
        <f t="shared" ca="1" si="37"/>
        <v>7425.8540000000003</v>
      </c>
      <c r="L75" s="26">
        <f t="shared" ca="1" si="37"/>
        <v>7030.0080000000007</v>
      </c>
      <c r="M75" s="26">
        <f t="shared" ca="1" si="37"/>
        <v>7552.5140000000001</v>
      </c>
      <c r="N75" s="26">
        <f t="shared" ca="1" si="39"/>
        <v>130.2299999999999</v>
      </c>
      <c r="O75" s="26">
        <f t="shared" ca="1" si="36"/>
        <v>4630.5</v>
      </c>
      <c r="P75" s="73">
        <f t="shared" ca="1" si="40"/>
        <v>2280.1260000000002</v>
      </c>
      <c r="Q75" s="26">
        <f t="shared" ca="1" si="41"/>
        <v>156.80000000000001</v>
      </c>
      <c r="R75" s="26">
        <f t="shared" ca="1" si="42"/>
        <v>7552.5199999999995</v>
      </c>
      <c r="S75" s="26">
        <f t="shared" ca="1" si="43"/>
        <v>6215.0080000000007</v>
      </c>
      <c r="T75" s="26">
        <f t="shared" ca="1" si="38"/>
        <v>6211.2180000000008</v>
      </c>
      <c r="U75" s="26">
        <f t="shared" ca="1" si="38"/>
        <v>6211.2180000000008</v>
      </c>
      <c r="V75" s="26">
        <f t="shared" ca="1" si="44"/>
        <v>5.759999999999998</v>
      </c>
      <c r="W75" s="26">
        <f t="shared" ca="1" si="45"/>
        <v>5693.8</v>
      </c>
      <c r="X75" s="26">
        <f ca="1">VLOOKUP(DATE(YEAR(H75+Electric!AB81),MONTH(H75+Electric!AB81),1),'FAF &amp; DDs'!$A$2:$B$321,2,FALSE)*I75</f>
        <v>354.858</v>
      </c>
      <c r="Y75" s="26">
        <f t="shared" ca="1" si="46"/>
        <v>156.80000000000001</v>
      </c>
      <c r="Z75" s="26">
        <f t="shared" ca="1" si="47"/>
        <v>6211.22</v>
      </c>
      <c r="AB75" s="1">
        <v>49</v>
      </c>
      <c r="AC75" s="111">
        <v>0</v>
      </c>
      <c r="AD75" s="111">
        <v>0</v>
      </c>
      <c r="AE75" s="111">
        <v>0</v>
      </c>
      <c r="AF75" s="111">
        <v>0</v>
      </c>
      <c r="AG75" s="111">
        <v>0</v>
      </c>
      <c r="AH75" s="111">
        <v>0</v>
      </c>
      <c r="AI75" s="111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1">
        <v>0</v>
      </c>
      <c r="AP75" s="111"/>
    </row>
    <row r="76" spans="4:56" s="23" customFormat="1" x14ac:dyDescent="0.2">
      <c r="D76" s="30"/>
      <c r="E76" s="38">
        <f t="shared" ca="1" si="48"/>
        <v>28</v>
      </c>
      <c r="F76" s="37">
        <f ca="1">Electric!X82</f>
        <v>28</v>
      </c>
      <c r="H76" s="32">
        <f ca="1">IF(ROW()&gt;(Electric!$Y$6-Electric!$Y$5+6),"",+Electric!V82)</f>
        <v>41857</v>
      </c>
      <c r="I76" s="33">
        <f ca="1">IF($H76="","",+Electric!F82)</f>
        <v>42200</v>
      </c>
      <c r="J76" s="43">
        <f ca="1">IF($H76="","",+Electric!G82)</f>
        <v>169.41990000000001</v>
      </c>
      <c r="K76" s="26">
        <f t="shared" ca="1" si="37"/>
        <v>6655.2898129999994</v>
      </c>
      <c r="L76" s="26">
        <f t="shared" ca="1" si="37"/>
        <v>6328.2263400000002</v>
      </c>
      <c r="M76" s="26">
        <f t="shared" ca="1" si="37"/>
        <v>6836.9715029999998</v>
      </c>
      <c r="N76" s="26">
        <f t="shared" ca="1" si="39"/>
        <v>130.22999999999982</v>
      </c>
      <c r="O76" s="26">
        <f t="shared" ca="1" si="36"/>
        <v>3987.9</v>
      </c>
      <c r="P76" s="73">
        <f t="shared" ca="1" si="40"/>
        <v>2197.3761030000001</v>
      </c>
      <c r="Q76" s="26">
        <f t="shared" ca="1" si="41"/>
        <v>135.04000000000002</v>
      </c>
      <c r="R76" s="26">
        <f t="shared" ca="1" si="42"/>
        <v>6836.9800000000005</v>
      </c>
      <c r="S76" s="26">
        <f t="shared" ca="1" si="43"/>
        <v>5434.6554000000006</v>
      </c>
      <c r="T76" s="26">
        <f t="shared" ca="1" si="38"/>
        <v>5430.8654000000006</v>
      </c>
      <c r="U76" s="26">
        <f t="shared" ca="1" si="38"/>
        <v>5430.8654000000006</v>
      </c>
      <c r="V76" s="26">
        <f t="shared" ca="1" si="44"/>
        <v>5.7600000000000069</v>
      </c>
      <c r="W76" s="26">
        <f t="shared" ca="1" si="45"/>
        <v>4903.6400000000003</v>
      </c>
      <c r="X76" s="26">
        <f ca="1">VLOOKUP(DATE(YEAR(H76+Electric!AB82),MONTH(H76+Electric!AB82),1),'FAF &amp; DDs'!$A$2:$B$321,2,FALSE)*I76</f>
        <v>386.42540000000002</v>
      </c>
      <c r="Y76" s="26">
        <f t="shared" ca="1" si="46"/>
        <v>135.04000000000002</v>
      </c>
      <c r="Z76" s="26">
        <f t="shared" ca="1" si="47"/>
        <v>5430.8700000000008</v>
      </c>
      <c r="AB76" s="1">
        <v>58</v>
      </c>
      <c r="AC76" s="111">
        <v>9.6300000000000008</v>
      </c>
      <c r="AD76" s="111">
        <v>10.5</v>
      </c>
      <c r="AE76" s="111">
        <v>11.18</v>
      </c>
      <c r="AF76" s="111">
        <v>11.9</v>
      </c>
      <c r="AG76" s="111">
        <v>12.26</v>
      </c>
      <c r="AH76" s="111">
        <v>12.63</v>
      </c>
      <c r="AI76" s="111">
        <v>12.93</v>
      </c>
      <c r="AJ76" s="111">
        <v>13.54</v>
      </c>
      <c r="AK76" s="111">
        <v>13.81</v>
      </c>
      <c r="AL76" s="111">
        <v>14.91</v>
      </c>
      <c r="AM76" s="111">
        <v>14.91</v>
      </c>
      <c r="AN76" s="111">
        <v>14.91</v>
      </c>
      <c r="AO76" s="111">
        <v>14.91</v>
      </c>
      <c r="AP76" s="111"/>
    </row>
    <row r="77" spans="4:56" s="23" customFormat="1" x14ac:dyDescent="0.2">
      <c r="D77" s="30"/>
      <c r="E77" s="38">
        <f t="shared" ca="1" si="48"/>
        <v>34</v>
      </c>
      <c r="F77" s="37">
        <f ca="1">Electric!X83</f>
        <v>34</v>
      </c>
      <c r="H77" s="32">
        <f ca="1">IF(ROW()&gt;(Electric!$Y$6-Electric!$Y$5+6),"",+Electric!V83)</f>
        <v>41829</v>
      </c>
      <c r="I77" s="33">
        <f ca="1">IF($H77="","",+Electric!F83)</f>
        <v>49000</v>
      </c>
      <c r="J77" s="43">
        <f ca="1">IF($H77="","",+Electric!G83)</f>
        <v>171.4599</v>
      </c>
      <c r="K77" s="26">
        <f t="shared" ca="1" si="37"/>
        <v>7117.1432130000003</v>
      </c>
      <c r="L77" s="26">
        <f t="shared" ca="1" si="37"/>
        <v>6718.1289400000005</v>
      </c>
      <c r="M77" s="26">
        <f t="shared" ca="1" si="37"/>
        <v>7230.348903000001</v>
      </c>
      <c r="N77" s="26">
        <f t="shared" ca="1" si="39"/>
        <v>130.22999999999999</v>
      </c>
      <c r="O77" s="26">
        <f t="shared" ca="1" si="36"/>
        <v>4630.5</v>
      </c>
      <c r="P77" s="73">
        <f t="shared" ca="1" si="40"/>
        <v>2223.8349030000004</v>
      </c>
      <c r="Q77" s="26">
        <f t="shared" ca="1" si="41"/>
        <v>156.80000000000001</v>
      </c>
      <c r="R77" s="26">
        <f t="shared" ca="1" si="42"/>
        <v>7230.3399999999992</v>
      </c>
      <c r="S77" s="26">
        <f t="shared" ca="1" si="43"/>
        <v>5949.1340000000009</v>
      </c>
      <c r="T77" s="26">
        <f t="shared" ca="1" si="38"/>
        <v>5945.344000000001</v>
      </c>
      <c r="U77" s="26">
        <f t="shared" ca="1" si="38"/>
        <v>5945.344000000001</v>
      </c>
      <c r="V77" s="26">
        <f t="shared" ca="1" si="44"/>
        <v>5.7599999999999909</v>
      </c>
      <c r="W77" s="26">
        <f t="shared" ca="1" si="45"/>
        <v>5693.8</v>
      </c>
      <c r="X77" s="26">
        <f ca="1">VLOOKUP(DATE(YEAR(H77+Electric!AB83),MONTH(H77+Electric!AB83),1),'FAF &amp; DDs'!$A$2:$B$321,2,FALSE)*I77</f>
        <v>88.983999999999995</v>
      </c>
      <c r="Y77" s="26">
        <f t="shared" ca="1" si="46"/>
        <v>156.80000000000001</v>
      </c>
      <c r="Z77" s="26">
        <f t="shared" ca="1" si="47"/>
        <v>5945.34</v>
      </c>
    </row>
    <row r="78" spans="4:56" s="23" customFormat="1" x14ac:dyDescent="0.2">
      <c r="D78" s="30"/>
      <c r="E78" s="38">
        <f t="shared" ca="1" si="48"/>
        <v>21</v>
      </c>
      <c r="F78" s="37">
        <f ca="1">Electric!X84</f>
        <v>30</v>
      </c>
      <c r="H78" s="32">
        <f ca="1">IF(ROW()&gt;(Electric!$Y$6-Electric!$Y$5+6),"",+Electric!V84)</f>
        <v>41795</v>
      </c>
      <c r="I78" s="33">
        <f ca="1">IF($H78="","",+Electric!F84)</f>
        <v>39800</v>
      </c>
      <c r="J78" s="43">
        <f ca="1">IF($H78="","",+Electric!G84)</f>
        <v>153.07990000000001</v>
      </c>
      <c r="K78" s="26">
        <f t="shared" ca="1" si="37"/>
        <v>6668.9322243000006</v>
      </c>
      <c r="L78" s="26">
        <f t="shared" ca="1" si="37"/>
        <v>6339.0520532</v>
      </c>
      <c r="M78" s="26">
        <f t="shared" ca="1" si="37"/>
        <v>6817.2669218000001</v>
      </c>
      <c r="N78" s="26">
        <f t="shared" ca="1" si="39"/>
        <v>130.23000000000005</v>
      </c>
      <c r="O78" s="26">
        <f t="shared" ca="1" si="36"/>
        <v>3660.8039999999992</v>
      </c>
      <c r="P78" s="73">
        <f t="shared" ca="1" si="40"/>
        <v>1895.4353218000006</v>
      </c>
      <c r="Q78" s="26">
        <f t="shared" ca="1" si="41"/>
        <v>127.36</v>
      </c>
      <c r="R78" s="26">
        <f t="shared" ca="1" si="42"/>
        <v>6817.27</v>
      </c>
      <c r="S78" s="26">
        <f t="shared" ca="1" si="43"/>
        <v>5634.9615999999996</v>
      </c>
      <c r="T78" s="26">
        <f t="shared" ca="1" si="38"/>
        <v>5577.4416000000001</v>
      </c>
      <c r="U78" s="26">
        <f t="shared" ca="1" si="38"/>
        <v>5462.8176000000003</v>
      </c>
      <c r="V78" s="26">
        <f t="shared" ca="1" si="44"/>
        <v>5.760000000000006</v>
      </c>
      <c r="W78" s="26">
        <f t="shared" ca="1" si="45"/>
        <v>4440.884</v>
      </c>
      <c r="X78" s="26">
        <f ca="1">VLOOKUP(DATE(YEAR(H78+Electric!AB84),MONTH(H78+Electric!AB84),1),'FAF &amp; DDs'!$A$2:$B$321,2,FALSE)*I78</f>
        <v>1003.4376</v>
      </c>
      <c r="Y78" s="26">
        <f t="shared" ca="1" si="46"/>
        <v>127.36</v>
      </c>
      <c r="Z78" s="26">
        <f t="shared" ca="1" si="47"/>
        <v>5577.44</v>
      </c>
      <c r="AB78" s="1"/>
      <c r="AC78" s="1"/>
      <c r="AD78" s="1" t="s">
        <v>165</v>
      </c>
      <c r="AE78" s="1"/>
      <c r="AF78" s="1"/>
      <c r="AG78" s="1"/>
      <c r="AH78" s="1"/>
      <c r="AI78" s="1"/>
      <c r="AJ78" s="1"/>
      <c r="AK78" s="148"/>
      <c r="AL78" s="148"/>
      <c r="AM78" s="148"/>
      <c r="AN78" s="148"/>
      <c r="AO78" s="148"/>
      <c r="AP78" s="148"/>
    </row>
    <row r="79" spans="4:56" s="23" customFormat="1" x14ac:dyDescent="0.2">
      <c r="D79" s="30"/>
      <c r="E79" s="38">
        <f t="shared" ca="1" si="48"/>
        <v>0</v>
      </c>
      <c r="F79" s="37">
        <f ca="1">Electric!X85</f>
        <v>28</v>
      </c>
      <c r="H79" s="32">
        <f ca="1">IF(ROW()&gt;(Electric!$Y$6-Electric!$Y$5+6),"",+Electric!V85)</f>
        <v>41765</v>
      </c>
      <c r="I79" s="33">
        <f ca="1">IF($H79="","",+Electric!F85)</f>
        <v>33200</v>
      </c>
      <c r="J79" s="43">
        <f ca="1">IF($H79="","",+Electric!G85)</f>
        <v>118.98</v>
      </c>
      <c r="K79" s="26">
        <f t="shared" ca="1" si="37"/>
        <v>4604.7047999999995</v>
      </c>
      <c r="L79" s="26">
        <f t="shared" ca="1" si="37"/>
        <v>4297.6448</v>
      </c>
      <c r="M79" s="26">
        <f t="shared" ca="1" si="37"/>
        <v>4705.9177999999993</v>
      </c>
      <c r="N79" s="26">
        <f t="shared" ca="1" si="39"/>
        <v>130.23000000000008</v>
      </c>
      <c r="O79" s="26">
        <f t="shared" ca="1" si="36"/>
        <v>2858.5200000000023</v>
      </c>
      <c r="P79" s="73">
        <f t="shared" ca="1" si="40"/>
        <v>1309.9697999999989</v>
      </c>
      <c r="Q79" s="26">
        <f t="shared" ca="1" si="41"/>
        <v>106.24000000000001</v>
      </c>
      <c r="R79" s="26">
        <f t="shared" ca="1" si="42"/>
        <v>4705.92</v>
      </c>
      <c r="S79" s="26">
        <f t="shared" ca="1" si="43"/>
        <v>3912.7080000000005</v>
      </c>
      <c r="T79" s="26">
        <f t="shared" ca="1" si="38"/>
        <v>3759.518</v>
      </c>
      <c r="U79" s="26">
        <f t="shared" ca="1" si="38"/>
        <v>3440.7980000000007</v>
      </c>
      <c r="V79" s="26">
        <f t="shared" ca="1" si="44"/>
        <v>5.7600000000000069</v>
      </c>
      <c r="W79" s="26">
        <f t="shared" ca="1" si="45"/>
        <v>3346.5600000000022</v>
      </c>
      <c r="X79" s="26">
        <f ca="1">VLOOKUP(DATE(YEAR(H79+Electric!AB85),MONTH(H79+Electric!AB85),1),'FAF &amp; DDs'!$A$2:$B$321,2,FALSE)*I79</f>
        <v>300.95800000000003</v>
      </c>
      <c r="Y79" s="26">
        <f t="shared" ca="1" si="46"/>
        <v>106.24000000000001</v>
      </c>
      <c r="Z79" s="26">
        <f t="shared" ca="1" si="47"/>
        <v>3759.52</v>
      </c>
      <c r="AB79" s="1"/>
      <c r="AC79" s="1" t="s">
        <v>36</v>
      </c>
      <c r="AD79" s="1"/>
      <c r="AE79" s="1"/>
      <c r="AF79" s="1"/>
      <c r="AG79" s="1"/>
      <c r="AH79" s="1"/>
      <c r="AI79" s="1"/>
      <c r="AJ79" s="1"/>
      <c r="AK79" s="148"/>
      <c r="AL79" s="148"/>
      <c r="AM79" s="9" t="s">
        <v>244</v>
      </c>
      <c r="AN79" s="206">
        <v>1.4E-2</v>
      </c>
      <c r="AO79" s="206">
        <v>1.6E-2</v>
      </c>
      <c r="AP79" s="206">
        <v>1.4999999999999999E-2</v>
      </c>
    </row>
    <row r="80" spans="4:56" s="23" customFormat="1" x14ac:dyDescent="0.2">
      <c r="D80" s="30"/>
      <c r="E80" s="38">
        <f t="shared" ca="1" si="48"/>
        <v>0</v>
      </c>
      <c r="F80" s="37">
        <f ca="1">Electric!X86</f>
        <v>29</v>
      </c>
      <c r="H80" s="32">
        <f ca="1">IF(ROW()&gt;(Electric!$Y$6-Electric!$Y$5+6),"",+Electric!V86)</f>
        <v>41737</v>
      </c>
      <c r="I80" s="33">
        <f ca="1">IF($H80="","",+Electric!F86)</f>
        <v>36000</v>
      </c>
      <c r="J80" s="43">
        <f ca="1">IF($H80="","",+Electric!G86)</f>
        <v>108.46</v>
      </c>
      <c r="K80" s="26">
        <f t="shared" ca="1" si="37"/>
        <v>4637.4675999999999</v>
      </c>
      <c r="L80" s="26">
        <f t="shared" ca="1" si="37"/>
        <v>4304.0875999999998</v>
      </c>
      <c r="M80" s="26">
        <f t="shared" ca="1" si="37"/>
        <v>4678.458599999999</v>
      </c>
      <c r="N80" s="26">
        <f t="shared" ca="1" si="39"/>
        <v>130.22999999999993</v>
      </c>
      <c r="O80" s="26">
        <f t="shared" ca="1" si="36"/>
        <v>3099.5999999999958</v>
      </c>
      <c r="P80" s="73">
        <f t="shared" ca="1" si="40"/>
        <v>1194.1445999999999</v>
      </c>
      <c r="Q80" s="26">
        <f t="shared" ca="1" si="41"/>
        <v>115.2</v>
      </c>
      <c r="R80" s="26">
        <f t="shared" ca="1" si="42"/>
        <v>4678.45</v>
      </c>
      <c r="S80" s="26">
        <f t="shared" ca="1" si="43"/>
        <v>4054.8340000000003</v>
      </c>
      <c r="T80" s="26">
        <f t="shared" ca="1" si="38"/>
        <v>3889.0440000000003</v>
      </c>
      <c r="U80" s="26">
        <f t="shared" ca="1" si="38"/>
        <v>3543.4440000000004</v>
      </c>
      <c r="V80" s="26">
        <f t="shared" ca="1" si="44"/>
        <v>5.7599999999999989</v>
      </c>
      <c r="W80" s="26">
        <f t="shared" ca="1" si="45"/>
        <v>3628.800000000002</v>
      </c>
      <c r="X80" s="26">
        <f ca="1">VLOOKUP(DATE(YEAR(H80+Electric!AB86),MONTH(H80+Electric!AB86),1),'FAF &amp; DDs'!$A$2:$B$321,2,FALSE)*I80</f>
        <v>139.28399999999999</v>
      </c>
      <c r="Y80" s="26">
        <f t="shared" ca="1" si="46"/>
        <v>115.2</v>
      </c>
      <c r="Z80" s="26">
        <f t="shared" ca="1" si="47"/>
        <v>3889.0400000000004</v>
      </c>
      <c r="AB80" s="1" t="s">
        <v>160</v>
      </c>
      <c r="AC80" s="109">
        <v>37043</v>
      </c>
      <c r="AD80" s="84">
        <v>38657</v>
      </c>
      <c r="AE80" s="84">
        <v>38808</v>
      </c>
      <c r="AF80" s="84">
        <v>38991</v>
      </c>
      <c r="AG80" s="84">
        <v>39173</v>
      </c>
      <c r="AH80" s="84">
        <v>39356</v>
      </c>
      <c r="AI80" s="84">
        <v>39539</v>
      </c>
      <c r="AJ80" s="84">
        <v>40969</v>
      </c>
      <c r="AK80" s="84">
        <v>41334</v>
      </c>
      <c r="AL80" s="84">
        <v>42370</v>
      </c>
      <c r="AM80" s="84">
        <v>42795</v>
      </c>
      <c r="AN80" s="84">
        <v>43160</v>
      </c>
      <c r="AO80" s="84">
        <v>43525</v>
      </c>
      <c r="AP80" s="84">
        <v>43891</v>
      </c>
      <c r="AQ80" s="106">
        <f>DATE(2041,3,1)</f>
        <v>51561</v>
      </c>
    </row>
    <row r="81" spans="4:43" s="23" customFormat="1" x14ac:dyDescent="0.2">
      <c r="D81" s="30"/>
      <c r="E81" s="38">
        <f t="shared" ca="1" si="48"/>
        <v>0</v>
      </c>
      <c r="F81" s="37">
        <f ca="1">Electric!X87</f>
        <v>33</v>
      </c>
      <c r="H81" s="32">
        <f ca="1">IF(ROW()&gt;(Electric!$Y$6-Electric!$Y$5+6),"",+Electric!V87)</f>
        <v>41708</v>
      </c>
      <c r="I81" s="33">
        <f ca="1">IF($H81="","",+Electric!F87)</f>
        <v>35400</v>
      </c>
      <c r="J81" s="43">
        <f ca="1">IF($H81="","",+Electric!G87)</f>
        <v>111.7</v>
      </c>
      <c r="K81" s="26">
        <f t="shared" ca="1" si="37"/>
        <v>4717.4949999999999</v>
      </c>
      <c r="L81" s="26">
        <f t="shared" ca="1" si="37"/>
        <v>4389.7550000000001</v>
      </c>
      <c r="M81" s="26">
        <f t="shared" ca="1" si="37"/>
        <v>4774.2</v>
      </c>
      <c r="N81" s="26">
        <f t="shared" ca="1" si="39"/>
        <v>130.2300000000001</v>
      </c>
      <c r="O81" s="26">
        <f t="shared" ca="1" si="36"/>
        <v>3047.9400000000005</v>
      </c>
      <c r="P81" s="73">
        <f t="shared" ca="1" si="40"/>
        <v>1229.8169999999998</v>
      </c>
      <c r="Q81" s="26">
        <f t="shared" ca="1" si="41"/>
        <v>113.28</v>
      </c>
      <c r="R81" s="26">
        <f t="shared" ca="1" si="42"/>
        <v>4774.2</v>
      </c>
      <c r="S81" s="26">
        <f t="shared" ca="1" si="43"/>
        <v>4103.3830000000007</v>
      </c>
      <c r="T81" s="26">
        <f t="shared" ca="1" si="38"/>
        <v>3940.2930000000006</v>
      </c>
      <c r="U81" s="26">
        <f t="shared" ca="1" si="38"/>
        <v>3600.4530000000004</v>
      </c>
      <c r="V81" s="26">
        <f t="shared" ca="1" si="44"/>
        <v>5.759999999999998</v>
      </c>
      <c r="W81" s="26">
        <f t="shared" ca="1" si="45"/>
        <v>3568.3199999999997</v>
      </c>
      <c r="X81" s="26">
        <f ca="1">VLOOKUP(DATE(YEAR(H81+Electric!AB87),MONTH(H81+Electric!AB87),1),'FAF &amp; DDs'!$A$2:$B$321,2,FALSE)*I81</f>
        <v>252.93300000000002</v>
      </c>
      <c r="Y81" s="26">
        <f t="shared" ca="1" si="46"/>
        <v>113.28</v>
      </c>
      <c r="Z81" s="26">
        <f t="shared" ca="1" si="47"/>
        <v>3940.2900000000004</v>
      </c>
      <c r="AB81" s="1">
        <v>30</v>
      </c>
      <c r="AC81" s="111">
        <v>3.5</v>
      </c>
      <c r="AD81" s="111">
        <v>3.5</v>
      </c>
      <c r="AE81" s="111">
        <v>3.5</v>
      </c>
      <c r="AF81" s="111">
        <v>3.5</v>
      </c>
      <c r="AG81" s="111">
        <v>3.5</v>
      </c>
      <c r="AH81" s="111">
        <v>3.5</v>
      </c>
      <c r="AI81" s="111">
        <v>3.5</v>
      </c>
      <c r="AJ81" s="111">
        <v>4.67</v>
      </c>
      <c r="AK81" s="111">
        <v>5.76</v>
      </c>
      <c r="AL81" s="111">
        <v>8.76</v>
      </c>
      <c r="AM81" s="111">
        <v>8.82</v>
      </c>
      <c r="AN81" s="111">
        <v>8.94</v>
      </c>
      <c r="AO81" s="111">
        <v>12.64</v>
      </c>
      <c r="AP81" s="111">
        <f t="shared" ref="AP81:AP96" si="50">+ROUND(AO81*(1+AP$79),2)</f>
        <v>12.83</v>
      </c>
    </row>
    <row r="82" spans="4:43" s="23" customFormat="1" x14ac:dyDescent="0.2">
      <c r="D82" s="30"/>
      <c r="E82" s="38">
        <f t="shared" ca="1" si="48"/>
        <v>0</v>
      </c>
      <c r="F82" s="37">
        <f ca="1">Electric!X88</f>
        <v>29</v>
      </c>
      <c r="H82" s="32">
        <f ca="1">IF(ROW()&gt;(Electric!$Y$6-Electric!$Y$5+6),"",+Electric!V88)</f>
        <v>41675</v>
      </c>
      <c r="I82" s="33">
        <f ca="1">IF($H82="","",+Electric!F88)</f>
        <v>39400</v>
      </c>
      <c r="J82" s="43">
        <f ca="1">IF($H82="","",+Electric!G88)</f>
        <v>126.02</v>
      </c>
      <c r="K82" s="26">
        <f t="shared" ca="1" si="37"/>
        <v>5125.0716000000002</v>
      </c>
      <c r="L82" s="26">
        <f t="shared" ca="1" si="37"/>
        <v>4759.7316000000001</v>
      </c>
      <c r="M82" s="26">
        <f t="shared" ca="1" si="37"/>
        <v>5179.3885999999993</v>
      </c>
      <c r="N82" s="26">
        <f t="shared" ca="1" si="39"/>
        <v>130.22999999999993</v>
      </c>
      <c r="O82" s="26">
        <f t="shared" ca="1" si="36"/>
        <v>3392.34</v>
      </c>
      <c r="P82" s="73">
        <f t="shared" ca="1" si="40"/>
        <v>1387.4802</v>
      </c>
      <c r="Q82" s="26">
        <f t="shared" ca="1" si="41"/>
        <v>126.08000000000001</v>
      </c>
      <c r="R82" s="26">
        <f t="shared" ca="1" si="42"/>
        <v>5179.3900000000003</v>
      </c>
      <c r="S82" s="26">
        <f t="shared" ca="1" si="43"/>
        <v>4427.7084000000004</v>
      </c>
      <c r="T82" s="26">
        <f t="shared" ca="1" si="38"/>
        <v>4246.6184000000003</v>
      </c>
      <c r="U82" s="26">
        <f t="shared" ca="1" si="38"/>
        <v>3868.3784000000005</v>
      </c>
      <c r="V82" s="26">
        <f t="shared" ca="1" si="44"/>
        <v>5.7599999999999989</v>
      </c>
      <c r="W82" s="26">
        <f t="shared" ca="1" si="45"/>
        <v>3971.5199999999968</v>
      </c>
      <c r="X82" s="26">
        <f ca="1">VLOOKUP(DATE(YEAR(H82+Electric!AB88),MONTH(H82+Electric!AB88),1),'FAF &amp; DDs'!$A$2:$B$321,2,FALSE)*I82</f>
        <v>143.25839999999999</v>
      </c>
      <c r="Y82" s="26">
        <f t="shared" ca="1" si="46"/>
        <v>126.08000000000001</v>
      </c>
      <c r="Z82" s="26">
        <f t="shared" ca="1" si="47"/>
        <v>4246.62</v>
      </c>
      <c r="AB82" s="1">
        <v>31</v>
      </c>
      <c r="AC82" s="111">
        <v>3.6</v>
      </c>
      <c r="AD82" s="111">
        <v>3.6</v>
      </c>
      <c r="AE82" s="111">
        <v>3.6</v>
      </c>
      <c r="AF82" s="111">
        <v>3.6</v>
      </c>
      <c r="AG82" s="111">
        <v>3.6</v>
      </c>
      <c r="AH82" s="111">
        <v>3.6</v>
      </c>
      <c r="AI82" s="111">
        <v>3.6</v>
      </c>
      <c r="AJ82" s="111">
        <v>4.7699999999999996</v>
      </c>
      <c r="AK82" s="111">
        <v>5.86</v>
      </c>
      <c r="AL82" s="111">
        <f>+AL81+0.1</f>
        <v>8.86</v>
      </c>
      <c r="AM82" s="111">
        <v>8.92</v>
      </c>
      <c r="AN82" s="111">
        <v>9.0399999999999991</v>
      </c>
      <c r="AO82" s="111">
        <v>12.74</v>
      </c>
      <c r="AP82" s="111">
        <f t="shared" si="50"/>
        <v>12.93</v>
      </c>
    </row>
    <row r="83" spans="4:43" s="23" customFormat="1" x14ac:dyDescent="0.2">
      <c r="D83" s="30"/>
      <c r="E83" s="38">
        <f t="shared" ca="1" si="48"/>
        <v>0</v>
      </c>
      <c r="F83" s="37">
        <f ca="1">Electric!X89</f>
        <v>32</v>
      </c>
      <c r="H83" s="32">
        <f ca="1">IF(ROW()&gt;(Electric!$Y$6-Electric!$Y$5+6),"",+Electric!V89)</f>
        <v>41646</v>
      </c>
      <c r="I83" s="33">
        <f ca="1">IF($H83="","",+Electric!F89)</f>
        <v>37000</v>
      </c>
      <c r="J83" s="43">
        <f ca="1">IF($H83="","",+Electric!G89)</f>
        <v>105.62</v>
      </c>
      <c r="K83" s="26">
        <f t="shared" ca="1" si="37"/>
        <v>5159.0801999999994</v>
      </c>
      <c r="L83" s="26">
        <f t="shared" ca="1" si="37"/>
        <v>4816.3001999999997</v>
      </c>
      <c r="M83" s="26">
        <f t="shared" ca="1" si="37"/>
        <v>5181.1771999999992</v>
      </c>
      <c r="N83" s="26">
        <f t="shared" ca="1" si="39"/>
        <v>130.23000000000002</v>
      </c>
      <c r="O83" s="26">
        <f t="shared" ca="1" si="36"/>
        <v>3185.6999999999985</v>
      </c>
      <c r="P83" s="73">
        <f t="shared" ca="1" si="40"/>
        <v>1162.8762000000006</v>
      </c>
      <c r="Q83" s="26">
        <f t="shared" ca="1" si="41"/>
        <v>118.4</v>
      </c>
      <c r="R83" s="26">
        <f t="shared" ca="1" si="42"/>
        <v>5181.1799999999994</v>
      </c>
      <c r="S83" s="26">
        <f t="shared" ca="1" si="43"/>
        <v>4608.0209999999997</v>
      </c>
      <c r="T83" s="26">
        <f t="shared" ca="1" si="38"/>
        <v>4437.7309999999998</v>
      </c>
      <c r="U83" s="26">
        <f t="shared" ca="1" si="38"/>
        <v>4082.5310000000004</v>
      </c>
      <c r="V83" s="26">
        <f t="shared" ca="1" si="44"/>
        <v>5.759999999999998</v>
      </c>
      <c r="W83" s="26">
        <f t="shared" ca="1" si="45"/>
        <v>3729.6</v>
      </c>
      <c r="X83" s="26">
        <f ca="1">VLOOKUP(DATE(YEAR(H83+Electric!AB89),MONTH(H83+Electric!AB89),1),'FAF &amp; DDs'!$A$2:$B$321,2,FALSE)*I83</f>
        <v>583.97099999999989</v>
      </c>
      <c r="Y83" s="26">
        <f t="shared" ca="1" si="46"/>
        <v>118.4</v>
      </c>
      <c r="Z83" s="26">
        <f t="shared" ca="1" si="47"/>
        <v>4437.7299999999996</v>
      </c>
      <c r="AB83" s="1">
        <v>32</v>
      </c>
      <c r="AC83" s="111">
        <v>3.6</v>
      </c>
      <c r="AD83" s="111">
        <v>3.6</v>
      </c>
      <c r="AE83" s="111">
        <v>3.6</v>
      </c>
      <c r="AF83" s="111">
        <v>3.6</v>
      </c>
      <c r="AG83" s="111">
        <v>3.6</v>
      </c>
      <c r="AH83" s="111">
        <v>3.6</v>
      </c>
      <c r="AI83" s="111">
        <v>3.6</v>
      </c>
      <c r="AJ83" s="111">
        <v>4.7699999999999996</v>
      </c>
      <c r="AK83" s="111">
        <v>5.86</v>
      </c>
      <c r="AL83" s="111">
        <v>7.36</v>
      </c>
      <c r="AM83" s="111">
        <v>7.41</v>
      </c>
      <c r="AN83" s="111">
        <v>7.51</v>
      </c>
      <c r="AO83" s="111">
        <v>9.41</v>
      </c>
      <c r="AP83" s="111">
        <f t="shared" si="50"/>
        <v>9.5500000000000007</v>
      </c>
    </row>
    <row r="84" spans="4:43" s="23" customFormat="1" x14ac:dyDescent="0.2">
      <c r="D84" s="30"/>
      <c r="E84" s="38">
        <f t="shared" ca="1" si="48"/>
        <v>0</v>
      </c>
      <c r="F84" s="37">
        <f ca="1">Electric!X90</f>
        <v>31</v>
      </c>
      <c r="H84" s="32">
        <f ca="1">IF(ROW()&gt;(Electric!$Y$6-Electric!$Y$5+6),"",+Electric!V90)</f>
        <v>41614</v>
      </c>
      <c r="I84" s="33">
        <f ca="1">IF($H84="","",+Electric!F90)</f>
        <v>33000</v>
      </c>
      <c r="J84" s="43">
        <f ca="1">IF($H84="","",+Electric!G90)</f>
        <v>98.38</v>
      </c>
      <c r="K84" s="26">
        <f t="shared" ca="1" si="37"/>
        <v>4487.8708000000006</v>
      </c>
      <c r="L84" s="26">
        <f t="shared" ca="1" si="37"/>
        <v>4182.6908000000003</v>
      </c>
      <c r="M84" s="26">
        <f t="shared" ca="1" si="37"/>
        <v>4532.5338000000002</v>
      </c>
      <c r="N84" s="26">
        <f t="shared" ca="1" si="39"/>
        <v>130.2299999999999</v>
      </c>
      <c r="O84" s="26">
        <f t="shared" ca="1" si="36"/>
        <v>2841.3</v>
      </c>
      <c r="P84" s="73">
        <f t="shared" ca="1" si="40"/>
        <v>1083.1637999999998</v>
      </c>
      <c r="Q84" s="26">
        <f t="shared" ca="1" si="41"/>
        <v>105.60000000000001</v>
      </c>
      <c r="R84" s="26">
        <f t="shared" ca="1" si="42"/>
        <v>4532.5300000000007</v>
      </c>
      <c r="S84" s="26">
        <f t="shared" ca="1" si="43"/>
        <v>3962.2900000000004</v>
      </c>
      <c r="T84" s="26">
        <f t="shared" ca="1" si="38"/>
        <v>3810.0000000000005</v>
      </c>
      <c r="U84" s="26">
        <f t="shared" ca="1" si="38"/>
        <v>3493.2000000000003</v>
      </c>
      <c r="V84" s="26">
        <f t="shared" ca="1" si="44"/>
        <v>5.759999999999998</v>
      </c>
      <c r="W84" s="26">
        <f t="shared" ca="1" si="45"/>
        <v>3326.4000000000005</v>
      </c>
      <c r="X84" s="26">
        <f ca="1">VLOOKUP(DATE(YEAR(H84+Electric!AB90),MONTH(H84+Electric!AB90),1),'FAF &amp; DDs'!$A$2:$B$321,2,FALSE)*I84</f>
        <v>372.24</v>
      </c>
      <c r="Y84" s="26">
        <f t="shared" ca="1" si="46"/>
        <v>105.60000000000001</v>
      </c>
      <c r="Z84" s="26">
        <f t="shared" ca="1" si="47"/>
        <v>3810.0000000000005</v>
      </c>
      <c r="AB84" s="1">
        <v>33</v>
      </c>
      <c r="AC84" s="111">
        <v>3.5</v>
      </c>
      <c r="AD84" s="111">
        <v>3.5</v>
      </c>
      <c r="AE84" s="111">
        <v>3.5</v>
      </c>
      <c r="AF84" s="111">
        <v>3.5</v>
      </c>
      <c r="AG84" s="111">
        <v>3.5</v>
      </c>
      <c r="AH84" s="111">
        <v>3.5</v>
      </c>
      <c r="AI84" s="111">
        <v>3.5</v>
      </c>
      <c r="AJ84" s="111">
        <v>4.67</v>
      </c>
      <c r="AK84" s="111">
        <v>5.76</v>
      </c>
      <c r="AL84" s="111">
        <v>7.26</v>
      </c>
      <c r="AM84" s="111">
        <v>7.31</v>
      </c>
      <c r="AN84" s="111">
        <v>7.41</v>
      </c>
      <c r="AO84" s="111">
        <v>9.31</v>
      </c>
      <c r="AP84" s="111">
        <f t="shared" si="50"/>
        <v>9.4499999999999993</v>
      </c>
    </row>
    <row r="85" spans="4:43" s="23" customFormat="1" x14ac:dyDescent="0.2">
      <c r="D85" s="30"/>
      <c r="E85" s="38">
        <f t="shared" ca="1" si="48"/>
        <v>0</v>
      </c>
      <c r="F85" s="37">
        <f ca="1">Electric!X91</f>
        <v>32</v>
      </c>
      <c r="H85" s="32">
        <f ca="1">IF(ROW()&gt;(Electric!$Y$6-Electric!$Y$5+6),"",+Electric!V91)</f>
        <v>41583</v>
      </c>
      <c r="I85" s="33">
        <f ca="1">IF($H85="","",+Electric!F91)</f>
        <v>35200</v>
      </c>
      <c r="J85" s="43">
        <f ca="1">IF($H85="","",+Electric!G91)</f>
        <v>140.32</v>
      </c>
      <c r="K85" s="26">
        <f t="shared" ca="1" si="37"/>
        <v>4683.5372000000007</v>
      </c>
      <c r="L85" s="26">
        <f t="shared" ca="1" si="37"/>
        <v>4357.677200000001</v>
      </c>
      <c r="M85" s="26">
        <f t="shared" ca="1" si="37"/>
        <v>4823.9692000000005</v>
      </c>
      <c r="N85" s="26">
        <f t="shared" ca="1" si="39"/>
        <v>130.23000000000002</v>
      </c>
      <c r="O85" s="26">
        <f t="shared" ca="1" si="36"/>
        <v>3030.7200000000021</v>
      </c>
      <c r="P85" s="73">
        <f t="shared" ca="1" si="40"/>
        <v>1544.9231999999986</v>
      </c>
      <c r="Q85" s="26">
        <f t="shared" ca="1" si="41"/>
        <v>112.64</v>
      </c>
      <c r="R85" s="26">
        <f t="shared" ca="1" si="42"/>
        <v>4823.97</v>
      </c>
      <c r="S85" s="26">
        <f t="shared" ca="1" si="43"/>
        <v>3834.2060000000001</v>
      </c>
      <c r="T85" s="26">
        <f t="shared" ca="1" si="38"/>
        <v>3672.0160000000001</v>
      </c>
      <c r="U85" s="26">
        <f t="shared" ca="1" si="38"/>
        <v>3334.0960000000005</v>
      </c>
      <c r="V85" s="26">
        <f t="shared" ca="1" si="44"/>
        <v>5.7600000000000051</v>
      </c>
      <c r="W85" s="26">
        <f t="shared" ca="1" si="45"/>
        <v>3548.16</v>
      </c>
      <c r="X85" s="26">
        <f ca="1">VLOOKUP(DATE(YEAR(H85+Electric!AB91),MONTH(H85+Electric!AB91),1),'FAF &amp; DDs'!$A$2:$B$321,2,FALSE)*I85</f>
        <v>5.4560000000000004</v>
      </c>
      <c r="Y85" s="26">
        <f t="shared" ca="1" si="46"/>
        <v>112.64</v>
      </c>
      <c r="Z85" s="26">
        <f t="shared" ca="1" si="47"/>
        <v>3672.02</v>
      </c>
      <c r="AB85" s="1">
        <v>34</v>
      </c>
      <c r="AC85" s="111">
        <v>3.5</v>
      </c>
      <c r="AD85" s="111">
        <v>3.5</v>
      </c>
      <c r="AE85" s="111">
        <v>3.5</v>
      </c>
      <c r="AF85" s="111">
        <v>3.5</v>
      </c>
      <c r="AG85" s="111">
        <v>3.5</v>
      </c>
      <c r="AH85" s="111">
        <v>3.5</v>
      </c>
      <c r="AI85" s="111">
        <v>3.5</v>
      </c>
      <c r="AJ85" s="111">
        <v>4.67</v>
      </c>
      <c r="AK85" s="111">
        <v>5.76</v>
      </c>
      <c r="AL85" s="111">
        <v>8.76</v>
      </c>
      <c r="AM85" s="111">
        <v>8.82</v>
      </c>
      <c r="AN85" s="111">
        <v>8.94</v>
      </c>
      <c r="AO85" s="111">
        <v>12.64</v>
      </c>
      <c r="AP85" s="111">
        <f t="shared" si="50"/>
        <v>12.83</v>
      </c>
    </row>
    <row r="86" spans="4:43" s="23" customFormat="1" x14ac:dyDescent="0.2">
      <c r="D86" s="30"/>
      <c r="E86" s="38">
        <f t="shared" ca="1" si="48"/>
        <v>9</v>
      </c>
      <c r="F86" s="37">
        <f ca="1">Electric!X92</f>
        <v>28</v>
      </c>
      <c r="H86" s="32">
        <f ca="1">IF(ROW()&gt;(Electric!$Y$6-Electric!$Y$5+6),"",+Electric!V92)</f>
        <v>41551</v>
      </c>
      <c r="I86" s="33">
        <f ca="1">IF($H86="","",+Electric!F92)</f>
        <v>42000</v>
      </c>
      <c r="J86" s="43">
        <f ca="1">IF($H86="","",+Electric!G92)</f>
        <v>150.47999999999999</v>
      </c>
      <c r="K86" s="26">
        <f t="shared" ref="K86:M105" ca="1" si="51">(1-$O$2)*(IF(OR($F86&gt;$F$3,$F86&lt;$F$2),$F86,30)/30*HLOOKUP(($H86+$Q$1),$AC$80:$AQ$98,MATCH(VALUE(RIGHT(TRIM(K$5),2)),$AB$80:$AB$98,0))+"CC"+(ROUND(($E86/$F86)*$I86,0)*HLOOKUP(($H86+$Q$1),$AC$30:$AQ$48,MATCH(VALUE(RIGHT(TRIM(K$5),2)),$AB$30:$AB$48,0))+"Summer kWh"+ROUND((($F86-$E86)/$F86)*$I86,0)*HLOOKUP(($H86+$Q$1),$AC$8:$AQ$26,MATCH(VALUE(RIGHT(TRIM(K$5),2)),$AB$8:$AB$26,0))+"Winter kWh")+(IF(($H86+$Q$1)&gt;DATE(2009,7,1),$I86*0.0209*$O$3,0)+"State Wind Energy kWh Surcharge")+($E86/IF($F86&lt;=$F$3,$F86,30)*$J86*HLOOKUP(($H86+$Q$1),$AC$66:$AQ$76,MATCH(VALUE(RIGHT(TRIM(K$5),2)),$AB$66:$AB$76,0))+"Summer kW"+(($F86-$E86)/IF($F86&lt;=$F$3,$F86,30)*$J86)*HLOOKUP(($H86+$Q$1),$AC$52:$AQ$62,MATCH(VALUE(RIGHT(TRIM(K$5),2)),$AB$52:$AB$62,0))+"Winter kW")+$X86)+$Q86</f>
        <v>5479.9110571428564</v>
      </c>
      <c r="L86" s="26">
        <f t="shared" ca="1" si="51"/>
        <v>5106.5401142857145</v>
      </c>
      <c r="M86" s="26">
        <f t="shared" ca="1" si="51"/>
        <v>5585.2511999999997</v>
      </c>
      <c r="N86" s="26">
        <f t="shared" ca="1" si="39"/>
        <v>130.22999999999996</v>
      </c>
      <c r="O86" s="26">
        <f t="shared" ca="1" si="36"/>
        <v>3729.5999999999985</v>
      </c>
      <c r="P86" s="73">
        <f t="shared" ca="1" si="40"/>
        <v>1751.5872000000008</v>
      </c>
      <c r="Q86" s="26">
        <f t="shared" ca="1" si="41"/>
        <v>134.4</v>
      </c>
      <c r="R86" s="26">
        <f t="shared" ca="1" si="42"/>
        <v>5585.25</v>
      </c>
      <c r="S86" s="26">
        <f t="shared" ca="1" si="43"/>
        <v>4553.134</v>
      </c>
      <c r="T86" s="26">
        <f t="shared" ref="T86:U105" ca="1" si="52">IF(OR($F86&gt;$F$3,$F86&lt;$F$2),$F86,30)/30*HLOOKUP(($H86+$Q$1),$AC$80:$AQ$98,MATCH(VALUE(RIGHT(TRIM(T$5),2)),$AB$80:$AB$98,0))+"CC"++(ROUND(($E86/$F86)*$I86,0)*HLOOKUP(($H86),$AC$30:$AQ$48,MATCH(VALUE(RIGHT(TRIM(T$5),2)),$AB$30:$AB$48,0))+"Summer kWh"+ROUND((($F86-$E86)/$F86)*$I86,0)*HLOOKUP(($H86),$AC$8:$AQ$26,MATCH(VALUE(RIGHT(TRIM(T$5),2)),$AB$8:$AB$26,0))+"Winter kWh")+(IF($H86&gt;DATE(2009,7,1),$I86*0.0209*$O$3,0)+"State Wind Energy kWh Surcharge")+$X86+$Q86</f>
        <v>4421.0940000000001</v>
      </c>
      <c r="U86" s="26">
        <f t="shared" ca="1" si="52"/>
        <v>4147.4940000000006</v>
      </c>
      <c r="V86" s="26">
        <f t="shared" ca="1" si="44"/>
        <v>5.7599999999999989</v>
      </c>
      <c r="W86" s="26">
        <f t="shared" ca="1" si="45"/>
        <v>4441.4999999999982</v>
      </c>
      <c r="X86" s="26">
        <f ca="1">VLOOKUP(DATE(YEAR(H86+Electric!AB92),MONTH(H86+Electric!AB92),1),'FAF &amp; DDs'!$A$2:$B$321,2,FALSE)*I86</f>
        <v>-160.566</v>
      </c>
      <c r="Y86" s="26">
        <f t="shared" ca="1" si="46"/>
        <v>134.4</v>
      </c>
      <c r="Z86" s="26">
        <f t="shared" ca="1" si="47"/>
        <v>4421.09</v>
      </c>
      <c r="AB86" s="1">
        <v>35</v>
      </c>
      <c r="AC86" s="111">
        <v>3.6</v>
      </c>
      <c r="AD86" s="111">
        <v>3.6</v>
      </c>
      <c r="AE86" s="111">
        <v>3.6</v>
      </c>
      <c r="AF86" s="111">
        <v>3.6</v>
      </c>
      <c r="AG86" s="111">
        <v>3.6</v>
      </c>
      <c r="AH86" s="111">
        <v>3.6</v>
      </c>
      <c r="AI86" s="111">
        <v>3.6</v>
      </c>
      <c r="AJ86" s="111">
        <v>4.7699999999999996</v>
      </c>
      <c r="AK86" s="111">
        <v>5.86</v>
      </c>
      <c r="AL86" s="111">
        <f>+AL85+0.1</f>
        <v>8.86</v>
      </c>
      <c r="AM86" s="111">
        <v>8.92</v>
      </c>
      <c r="AN86" s="111">
        <v>9.0399999999999991</v>
      </c>
      <c r="AO86" s="111">
        <v>12.74</v>
      </c>
      <c r="AP86" s="111">
        <f t="shared" si="50"/>
        <v>12.93</v>
      </c>
    </row>
    <row r="87" spans="4:43" s="23" customFormat="1" x14ac:dyDescent="0.2">
      <c r="D87" s="30"/>
      <c r="E87" s="38">
        <f t="shared" ca="1" si="48"/>
        <v>29</v>
      </c>
      <c r="F87" s="37">
        <f ca="1">Electric!X93</f>
        <v>29</v>
      </c>
      <c r="H87" s="32">
        <f ca="1">IF(ROW()&gt;(Electric!$Y$6-Electric!$Y$5+6),"",+Electric!V93)</f>
        <v>41523</v>
      </c>
      <c r="I87" s="33">
        <f ca="1">IF($H87="","",+Electric!F93)</f>
        <v>44400</v>
      </c>
      <c r="J87" s="43">
        <f ca="1">IF($H87="","",+Electric!G93)</f>
        <v>172.32</v>
      </c>
      <c r="K87" s="26">
        <f t="shared" ca="1" si="51"/>
        <v>6568.1079999999993</v>
      </c>
      <c r="L87" s="26">
        <f t="shared" ca="1" si="51"/>
        <v>6219.4015999999992</v>
      </c>
      <c r="M87" s="26">
        <f t="shared" ca="1" si="51"/>
        <v>6734.579999999999</v>
      </c>
      <c r="N87" s="26">
        <f t="shared" ca="1" si="39"/>
        <v>130.22999999999993</v>
      </c>
      <c r="O87" s="26">
        <f t="shared" ca="1" si="36"/>
        <v>4195.8</v>
      </c>
      <c r="P87" s="73">
        <f t="shared" ca="1" si="40"/>
        <v>2234.9904000000001</v>
      </c>
      <c r="Q87" s="26">
        <f t="shared" ca="1" si="41"/>
        <v>142.08000000000001</v>
      </c>
      <c r="R87" s="26">
        <f t="shared" ca="1" si="42"/>
        <v>6734.579999999999</v>
      </c>
      <c r="S87" s="26">
        <f t="shared" ca="1" si="43"/>
        <v>5342.3895999999995</v>
      </c>
      <c r="T87" s="26">
        <f t="shared" ca="1" si="52"/>
        <v>5338.5995999999996</v>
      </c>
      <c r="U87" s="26">
        <f t="shared" ca="1" si="52"/>
        <v>5338.5995999999996</v>
      </c>
      <c r="V87" s="26">
        <f t="shared" ca="1" si="44"/>
        <v>5.7599999999999989</v>
      </c>
      <c r="W87" s="26">
        <f t="shared" ca="1" si="45"/>
        <v>5159.28</v>
      </c>
      <c r="X87" s="26">
        <f ca="1">VLOOKUP(DATE(YEAR(H87+Electric!AB93),MONTH(H87+Electric!AB93),1),'FAF &amp; DDs'!$A$2:$B$321,2,FALSE)*I87</f>
        <v>31.479600000000001</v>
      </c>
      <c r="Y87" s="26">
        <f t="shared" ca="1" si="46"/>
        <v>142.08000000000001</v>
      </c>
      <c r="Z87" s="26">
        <f t="shared" ca="1" si="47"/>
        <v>5338.5999999999995</v>
      </c>
      <c r="AB87" s="1">
        <v>36</v>
      </c>
      <c r="AC87" s="111">
        <v>3.6</v>
      </c>
      <c r="AD87" s="111">
        <v>3.6</v>
      </c>
      <c r="AE87" s="111">
        <v>3.6</v>
      </c>
      <c r="AF87" s="111">
        <v>3.6</v>
      </c>
      <c r="AG87" s="111">
        <v>3.6</v>
      </c>
      <c r="AH87" s="111">
        <v>3.6</v>
      </c>
      <c r="AI87" s="111">
        <v>3.6</v>
      </c>
      <c r="AJ87" s="111">
        <v>4.7699999999999996</v>
      </c>
      <c r="AK87" s="111">
        <v>5.86</v>
      </c>
      <c r="AL87" s="111">
        <v>7.36</v>
      </c>
      <c r="AM87" s="111">
        <v>7.41</v>
      </c>
      <c r="AN87" s="111">
        <v>7.51</v>
      </c>
      <c r="AO87" s="111">
        <v>9.41</v>
      </c>
      <c r="AP87" s="111">
        <f t="shared" si="50"/>
        <v>9.5500000000000007</v>
      </c>
    </row>
    <row r="88" spans="4:43" s="23" customFormat="1" x14ac:dyDescent="0.2">
      <c r="D88" s="30"/>
      <c r="E88" s="38">
        <f t="shared" ca="1" si="48"/>
        <v>31</v>
      </c>
      <c r="F88" s="37">
        <f ca="1">Electric!X94</f>
        <v>31</v>
      </c>
      <c r="H88" s="32">
        <f ca="1">IF(ROW()&gt;(Electric!$Y$6-Electric!$Y$5+6),"",+Electric!V94)</f>
        <v>41494</v>
      </c>
      <c r="I88" s="33">
        <f ca="1">IF($H88="","",+Electric!F94)</f>
        <v>46800</v>
      </c>
      <c r="J88" s="43">
        <f ca="1">IF($H88="","",+Electric!G94)</f>
        <v>163.38</v>
      </c>
      <c r="K88" s="26">
        <f t="shared" ca="1" si="51"/>
        <v>6851.0745999999999</v>
      </c>
      <c r="L88" s="26">
        <f t="shared" ca="1" si="51"/>
        <v>6469.9220000000005</v>
      </c>
      <c r="M88" s="26">
        <f t="shared" ca="1" si="51"/>
        <v>6963.4326000000001</v>
      </c>
      <c r="N88" s="26">
        <f t="shared" ca="1" si="39"/>
        <v>130.23000000000005</v>
      </c>
      <c r="O88" s="26">
        <f t="shared" ca="1" si="36"/>
        <v>4422.6000000000004</v>
      </c>
      <c r="P88" s="73">
        <f t="shared" ca="1" si="40"/>
        <v>2119.0385999999999</v>
      </c>
      <c r="Q88" s="26">
        <f t="shared" ca="1" si="41"/>
        <v>149.76000000000002</v>
      </c>
      <c r="R88" s="26">
        <f t="shared" ca="1" si="42"/>
        <v>6963.4300000000012</v>
      </c>
      <c r="S88" s="26">
        <f t="shared" ca="1" si="43"/>
        <v>5739.2740000000003</v>
      </c>
      <c r="T88" s="26">
        <f t="shared" ca="1" si="52"/>
        <v>5735.4840000000004</v>
      </c>
      <c r="U88" s="26">
        <f t="shared" ca="1" si="52"/>
        <v>5735.4840000000004</v>
      </c>
      <c r="V88" s="26">
        <f t="shared" ca="1" si="44"/>
        <v>5.759999999999998</v>
      </c>
      <c r="W88" s="26">
        <f t="shared" ca="1" si="45"/>
        <v>5438.16</v>
      </c>
      <c r="X88" s="26">
        <f ca="1">VLOOKUP(DATE(YEAR(H88+Electric!AB94),MONTH(H88+Electric!AB94),1),'FAF &amp; DDs'!$A$2:$B$321,2,FALSE)*I88</f>
        <v>141.804</v>
      </c>
      <c r="Y88" s="26">
        <f t="shared" ca="1" si="46"/>
        <v>149.76000000000002</v>
      </c>
      <c r="Z88" s="26">
        <f t="shared" ca="1" si="47"/>
        <v>5735.4800000000005</v>
      </c>
      <c r="AB88" s="1">
        <v>37</v>
      </c>
      <c r="AC88" s="111">
        <v>3.5</v>
      </c>
      <c r="AD88" s="111">
        <v>3.5</v>
      </c>
      <c r="AE88" s="111">
        <v>3.5</v>
      </c>
      <c r="AF88" s="111">
        <v>3.5</v>
      </c>
      <c r="AG88" s="111">
        <v>3.5</v>
      </c>
      <c r="AH88" s="111">
        <v>3.5</v>
      </c>
      <c r="AI88" s="111">
        <v>3.5</v>
      </c>
      <c r="AJ88" s="111">
        <v>4.67</v>
      </c>
      <c r="AK88" s="111">
        <v>5.76</v>
      </c>
      <c r="AL88" s="111">
        <v>7.26</v>
      </c>
      <c r="AM88" s="111">
        <v>7.31</v>
      </c>
      <c r="AN88" s="111">
        <v>7.41</v>
      </c>
      <c r="AO88" s="111">
        <v>9.31</v>
      </c>
      <c r="AP88" s="111">
        <f t="shared" si="50"/>
        <v>9.4499999999999993</v>
      </c>
    </row>
    <row r="89" spans="4:43" s="23" customFormat="1" x14ac:dyDescent="0.2">
      <c r="D89" s="30"/>
      <c r="E89" s="38">
        <f t="shared" ca="1" si="48"/>
        <v>33</v>
      </c>
      <c r="F89" s="37">
        <f ca="1">Electric!X95</f>
        <v>33</v>
      </c>
      <c r="H89" s="32">
        <f ca="1">IF(ROW()&gt;(Electric!$Y$6-Electric!$Y$5+6),"",+Electric!V95)</f>
        <v>41463</v>
      </c>
      <c r="I89" s="33">
        <f ca="1">IF($H89="","",+Electric!F95)</f>
        <v>42600</v>
      </c>
      <c r="J89" s="43">
        <f ca="1">IF($H89="","",+Electric!G95)</f>
        <v>160.72</v>
      </c>
      <c r="K89" s="26">
        <f t="shared" ca="1" si="51"/>
        <v>6530.5551999999998</v>
      </c>
      <c r="L89" s="26">
        <f t="shared" ca="1" si="51"/>
        <v>6192.8208000000004</v>
      </c>
      <c r="M89" s="26">
        <f t="shared" ca="1" si="51"/>
        <v>6680.8671999999997</v>
      </c>
      <c r="N89" s="26">
        <f t="shared" ca="1" si="39"/>
        <v>130.23000000000002</v>
      </c>
      <c r="O89" s="26">
        <f t="shared" ca="1" si="36"/>
        <v>4025.7</v>
      </c>
      <c r="P89" s="73">
        <f t="shared" ca="1" si="40"/>
        <v>2084.5383999999999</v>
      </c>
      <c r="Q89" s="26">
        <f t="shared" ca="1" si="41"/>
        <v>136.32</v>
      </c>
      <c r="R89" s="26">
        <f t="shared" ca="1" si="42"/>
        <v>6680.87</v>
      </c>
      <c r="S89" s="26">
        <f t="shared" ca="1" si="43"/>
        <v>5400.0688</v>
      </c>
      <c r="T89" s="26">
        <f t="shared" ca="1" si="52"/>
        <v>5396.2788</v>
      </c>
      <c r="U89" s="26">
        <f t="shared" ca="1" si="52"/>
        <v>5396.2788</v>
      </c>
      <c r="V89" s="26">
        <f t="shared" ca="1" si="44"/>
        <v>5.759999999999998</v>
      </c>
      <c r="W89" s="26">
        <f t="shared" ca="1" si="45"/>
        <v>4950.12</v>
      </c>
      <c r="X89" s="26">
        <f ca="1">VLOOKUP(DATE(YEAR(H89+Electric!AB95),MONTH(H89+Electric!AB95),1),'FAF &amp; DDs'!$A$2:$B$321,2,FALSE)*I89</f>
        <v>304.0788</v>
      </c>
      <c r="Y89" s="26">
        <f t="shared" ca="1" si="46"/>
        <v>136.32</v>
      </c>
      <c r="Z89" s="26">
        <f t="shared" ca="1" si="47"/>
        <v>5396.28</v>
      </c>
      <c r="AB89" s="1">
        <v>40</v>
      </c>
      <c r="AC89" s="111">
        <v>7.05</v>
      </c>
      <c r="AD89" s="111">
        <v>7.05</v>
      </c>
      <c r="AE89" s="111">
        <v>7.05</v>
      </c>
      <c r="AF89" s="111">
        <v>7.05</v>
      </c>
      <c r="AG89" s="111">
        <v>7.05</v>
      </c>
      <c r="AH89" s="111">
        <v>7.05</v>
      </c>
      <c r="AI89" s="111">
        <v>7.05</v>
      </c>
      <c r="AJ89" s="111">
        <v>8.3800000000000008</v>
      </c>
      <c r="AK89" s="111">
        <v>9.5500000000000007</v>
      </c>
      <c r="AL89" s="111">
        <v>17.55</v>
      </c>
      <c r="AM89" s="111">
        <v>17.670000000000002</v>
      </c>
      <c r="AN89" s="111">
        <v>17.920000000000002</v>
      </c>
      <c r="AO89" s="111">
        <v>25.32</v>
      </c>
      <c r="AP89" s="204">
        <f t="shared" si="50"/>
        <v>25.7</v>
      </c>
      <c r="AQ89" s="214"/>
    </row>
    <row r="90" spans="4:43" s="23" customFormat="1" x14ac:dyDescent="0.2">
      <c r="D90" s="30"/>
      <c r="E90" s="38">
        <f t="shared" ca="1" si="48"/>
        <v>21</v>
      </c>
      <c r="F90" s="37">
        <f ca="1">Electric!X96</f>
        <v>30</v>
      </c>
      <c r="H90" s="32">
        <f ca="1">IF(ROW()&gt;(Electric!$Y$6-Electric!$Y$5+6),"",+Electric!V96)</f>
        <v>41430</v>
      </c>
      <c r="I90" s="33">
        <f ca="1">IF($H90="","",+Electric!F96)</f>
        <v>36600</v>
      </c>
      <c r="J90" s="43">
        <f ca="1">IF($H90="","",+Electric!G96)</f>
        <v>146.18</v>
      </c>
      <c r="K90" s="26">
        <f t="shared" ca="1" si="51"/>
        <v>5592.3952599999993</v>
      </c>
      <c r="L90" s="26">
        <f t="shared" ca="1" si="51"/>
        <v>5292.2052399999993</v>
      </c>
      <c r="M90" s="26">
        <f t="shared" ca="1" si="51"/>
        <v>5754.8657599999988</v>
      </c>
      <c r="N90" s="26">
        <f t="shared" ca="1" si="39"/>
        <v>130.22999999999999</v>
      </c>
      <c r="O90" s="26">
        <f t="shared" ca="1" si="36"/>
        <v>3366.4679999999998</v>
      </c>
      <c r="P90" s="73">
        <f t="shared" ca="1" si="40"/>
        <v>1810.0007600000001</v>
      </c>
      <c r="Q90" s="26">
        <f t="shared" ca="1" si="41"/>
        <v>117.12</v>
      </c>
      <c r="R90" s="26">
        <f t="shared" ca="1" si="42"/>
        <v>5754.87</v>
      </c>
      <c r="S90" s="26">
        <f t="shared" ca="1" si="43"/>
        <v>4590.954999999999</v>
      </c>
      <c r="T90" s="26">
        <f t="shared" ca="1" si="52"/>
        <v>4537.7550000000001</v>
      </c>
      <c r="U90" s="26">
        <f t="shared" ca="1" si="52"/>
        <v>4432.3469999999998</v>
      </c>
      <c r="V90" s="26">
        <f t="shared" ca="1" si="44"/>
        <v>5.7600000000000025</v>
      </c>
      <c r="W90" s="26">
        <f t="shared" ca="1" si="45"/>
        <v>4083.828</v>
      </c>
      <c r="X90" s="26">
        <f ca="1">VLOOKUP(DATE(YEAR(H90+Electric!AB96),MONTH(H90+Electric!AB96),1),'FAF &amp; DDs'!$A$2:$B$321,2,FALSE)*I90</f>
        <v>331.04699999999997</v>
      </c>
      <c r="Y90" s="26">
        <f t="shared" ca="1" si="46"/>
        <v>117.12</v>
      </c>
      <c r="Z90" s="26">
        <f t="shared" ca="1" si="47"/>
        <v>4537.76</v>
      </c>
      <c r="AB90" s="1">
        <v>41</v>
      </c>
      <c r="AC90" s="111">
        <v>7.15</v>
      </c>
      <c r="AD90" s="111">
        <v>7.15</v>
      </c>
      <c r="AE90" s="111">
        <v>7.15</v>
      </c>
      <c r="AF90" s="111">
        <v>7.15</v>
      </c>
      <c r="AG90" s="111">
        <v>7.15</v>
      </c>
      <c r="AH90" s="111">
        <v>7.15</v>
      </c>
      <c r="AI90" s="111">
        <v>7.15</v>
      </c>
      <c r="AJ90" s="111">
        <v>8.48</v>
      </c>
      <c r="AK90" s="111">
        <v>9.65</v>
      </c>
      <c r="AL90" s="111">
        <v>17.649999999999999</v>
      </c>
      <c r="AM90" s="111">
        <v>17.77</v>
      </c>
      <c r="AN90" s="111">
        <v>18.02</v>
      </c>
      <c r="AO90" s="111">
        <v>25.42</v>
      </c>
      <c r="AP90" s="204">
        <f t="shared" si="50"/>
        <v>25.8</v>
      </c>
    </row>
    <row r="91" spans="4:43" s="23" customFormat="1" x14ac:dyDescent="0.2">
      <c r="D91" s="30"/>
      <c r="E91" s="38">
        <f t="shared" ca="1" si="48"/>
        <v>0</v>
      </c>
      <c r="F91" s="37">
        <f ca="1">Electric!X97</f>
        <v>32</v>
      </c>
      <c r="H91" s="32">
        <f ca="1">IF(ROW()&gt;(Electric!$Y$6-Electric!$Y$5+6),"",+Electric!V97)</f>
        <v>41400</v>
      </c>
      <c r="I91" s="33">
        <f ca="1">IF($H91="","",+Electric!F97)</f>
        <v>37000</v>
      </c>
      <c r="J91" s="43">
        <f ca="1">IF($H91="","",+Electric!G97)</f>
        <v>142.54</v>
      </c>
      <c r="K91" s="26">
        <f t="shared" ca="1" si="51"/>
        <v>5132.3424000000005</v>
      </c>
      <c r="L91" s="26">
        <f t="shared" ca="1" si="51"/>
        <v>4789.5623999999998</v>
      </c>
      <c r="M91" s="26">
        <f t="shared" ca="1" si="51"/>
        <v>5259.6614</v>
      </c>
      <c r="N91" s="26">
        <f t="shared" ca="1" si="39"/>
        <v>130.22999999999996</v>
      </c>
      <c r="O91" s="26">
        <f t="shared" ca="1" si="36"/>
        <v>3185.7</v>
      </c>
      <c r="P91" s="73">
        <f t="shared" ca="1" si="40"/>
        <v>1569.3653999999999</v>
      </c>
      <c r="Q91" s="26">
        <f t="shared" ca="1" si="41"/>
        <v>118.4</v>
      </c>
      <c r="R91" s="26">
        <f t="shared" ca="1" si="42"/>
        <v>5259.6699999999992</v>
      </c>
      <c r="S91" s="26">
        <f t="shared" ca="1" si="43"/>
        <v>4280.0160000000005</v>
      </c>
      <c r="T91" s="26">
        <f t="shared" ca="1" si="52"/>
        <v>4109.7259999999997</v>
      </c>
      <c r="U91" s="26">
        <f t="shared" ca="1" si="52"/>
        <v>3754.5260000000003</v>
      </c>
      <c r="V91" s="26">
        <f t="shared" ca="1" si="44"/>
        <v>5.7599999999999989</v>
      </c>
      <c r="W91" s="26">
        <f t="shared" ca="1" si="45"/>
        <v>3729.6</v>
      </c>
      <c r="X91" s="26">
        <f ca="1">VLOOKUP(DATE(YEAR(H91+Electric!AB97),MONTH(H91+Electric!AB97),1),'FAF &amp; DDs'!$A$2:$B$321,2,FALSE)*I91</f>
        <v>255.96599999999998</v>
      </c>
      <c r="Y91" s="26">
        <f t="shared" ca="1" si="46"/>
        <v>118.4</v>
      </c>
      <c r="Z91" s="26">
        <f t="shared" ca="1" si="47"/>
        <v>4109.7299999999996</v>
      </c>
      <c r="AB91" s="1">
        <v>42</v>
      </c>
      <c r="AC91" s="111">
        <v>11.75</v>
      </c>
      <c r="AD91" s="111">
        <v>11.75</v>
      </c>
      <c r="AE91" s="111">
        <v>11.75</v>
      </c>
      <c r="AF91" s="111">
        <v>11.75</v>
      </c>
      <c r="AG91" s="111">
        <v>11.75</v>
      </c>
      <c r="AH91" s="111">
        <v>11.75</v>
      </c>
      <c r="AI91" s="111">
        <v>11.75</v>
      </c>
      <c r="AJ91" s="111">
        <v>13.31</v>
      </c>
      <c r="AK91" s="111">
        <v>14.57</v>
      </c>
      <c r="AL91" s="111">
        <v>22.57</v>
      </c>
      <c r="AM91" s="111">
        <v>22.73</v>
      </c>
      <c r="AN91" s="111">
        <v>23.05</v>
      </c>
      <c r="AO91" s="111">
        <v>30.53</v>
      </c>
      <c r="AP91" s="204">
        <f t="shared" si="50"/>
        <v>30.99</v>
      </c>
    </row>
    <row r="92" spans="4:43" s="23" customFormat="1" x14ac:dyDescent="0.2">
      <c r="D92" s="30"/>
      <c r="E92" s="38">
        <f t="shared" ca="1" si="48"/>
        <v>0</v>
      </c>
      <c r="F92" s="37">
        <f ca="1">Electric!X98</f>
        <v>31</v>
      </c>
      <c r="H92" s="32">
        <f ca="1">IF(ROW()&gt;(Electric!$Y$6-Electric!$Y$5+6),"",+Electric!V98)</f>
        <v>41368</v>
      </c>
      <c r="I92" s="33">
        <f ca="1">IF($H92="","",+Electric!F98)</f>
        <v>36600</v>
      </c>
      <c r="J92" s="43">
        <f ca="1">IF($H92="","",+Electric!G98)</f>
        <v>102</v>
      </c>
      <c r="K92" s="26">
        <f t="shared" ca="1" si="51"/>
        <v>4690.7991999999995</v>
      </c>
      <c r="L92" s="26">
        <f t="shared" ca="1" si="51"/>
        <v>4351.7791999999999</v>
      </c>
      <c r="M92" s="26">
        <f t="shared" ca="1" si="51"/>
        <v>4706.8991999999998</v>
      </c>
      <c r="N92" s="26">
        <f t="shared" ca="1" si="39"/>
        <v>130.22999999999999</v>
      </c>
      <c r="O92" s="26">
        <f t="shared" ca="1" si="36"/>
        <v>3151.2600000000007</v>
      </c>
      <c r="P92" s="73">
        <f t="shared" ca="1" si="40"/>
        <v>1123.02</v>
      </c>
      <c r="Q92" s="26">
        <f t="shared" ca="1" si="41"/>
        <v>117.12</v>
      </c>
      <c r="R92" s="26">
        <f t="shared" ca="1" si="42"/>
        <v>4706.9000000000005</v>
      </c>
      <c r="S92" s="26">
        <f t="shared" ca="1" si="43"/>
        <v>4165.9192000000003</v>
      </c>
      <c r="T92" s="26">
        <f t="shared" ca="1" si="52"/>
        <v>3997.4292000000005</v>
      </c>
      <c r="U92" s="26">
        <f t="shared" ca="1" si="52"/>
        <v>3646.0692000000004</v>
      </c>
      <c r="V92" s="26">
        <f t="shared" ca="1" si="44"/>
        <v>5.76</v>
      </c>
      <c r="W92" s="26">
        <f t="shared" ca="1" si="45"/>
        <v>3689.28</v>
      </c>
      <c r="X92" s="26">
        <f ca="1">VLOOKUP(DATE(YEAR(H92+Electric!AB98),MONTH(H92+Electric!AB98),1),'FAF &amp; DDs'!$A$2:$B$321,2,FALSE)*I92</f>
        <v>185.26919999999998</v>
      </c>
      <c r="Y92" s="26">
        <f t="shared" ca="1" si="46"/>
        <v>117.12</v>
      </c>
      <c r="Z92" s="26">
        <f t="shared" ca="1" si="47"/>
        <v>3997.4300000000003</v>
      </c>
      <c r="AB92" s="1">
        <v>43</v>
      </c>
      <c r="AC92" s="111">
        <v>30.63</v>
      </c>
      <c r="AD92" s="111">
        <v>30.63</v>
      </c>
      <c r="AE92" s="111">
        <v>30.63</v>
      </c>
      <c r="AF92" s="111">
        <v>30.63</v>
      </c>
      <c r="AG92" s="111">
        <v>30.63</v>
      </c>
      <c r="AH92" s="111">
        <v>30.63</v>
      </c>
      <c r="AI92" s="111">
        <v>30.63</v>
      </c>
      <c r="AJ92" s="111">
        <v>30.63</v>
      </c>
      <c r="AK92" s="111">
        <v>30.63</v>
      </c>
      <c r="AL92" s="111">
        <v>30.63</v>
      </c>
      <c r="AM92" s="111">
        <v>30.63</v>
      </c>
      <c r="AN92" s="111">
        <v>30.63</v>
      </c>
      <c r="AO92" s="111">
        <v>30.63</v>
      </c>
      <c r="AP92" s="204">
        <f t="shared" si="50"/>
        <v>31.09</v>
      </c>
    </row>
    <row r="93" spans="4:43" s="23" customFormat="1" x14ac:dyDescent="0.2">
      <c r="D93" s="30"/>
      <c r="E93" s="38">
        <f t="shared" ca="1" si="48"/>
        <v>0</v>
      </c>
      <c r="F93" s="37">
        <f ca="1">Electric!X99</f>
        <v>25</v>
      </c>
      <c r="H93" s="32">
        <f ca="1">IF(ROW()&gt;(Electric!$Y$6-Electric!$Y$5+6),"",+Electric!V99)</f>
        <v>41337</v>
      </c>
      <c r="I93" s="33">
        <f ca="1">IF($H93="","",+Electric!F99)</f>
        <v>33600</v>
      </c>
      <c r="J93" s="43">
        <f ca="1">IF($H93="","",+Electric!G99)</f>
        <v>102.54</v>
      </c>
      <c r="K93" s="26">
        <f t="shared" ca="1" si="51"/>
        <v>4551.1804000000011</v>
      </c>
      <c r="L93" s="26">
        <f t="shared" ca="1" si="51"/>
        <v>4240.3604000000005</v>
      </c>
      <c r="M93" s="26">
        <f t="shared" ca="1" si="51"/>
        <v>4601.2194</v>
      </c>
      <c r="N93" s="26">
        <f t="shared" ca="1" si="39"/>
        <v>127.12360000000001</v>
      </c>
      <c r="O93" s="26">
        <f t="shared" ca="1" si="36"/>
        <v>2842.6943999999999</v>
      </c>
      <c r="P93" s="73">
        <f t="shared" ca="1" si="40"/>
        <v>1109.113656</v>
      </c>
      <c r="Q93" s="26">
        <f t="shared" ca="1" si="41"/>
        <v>107.52000000000001</v>
      </c>
      <c r="R93" s="26">
        <f t="shared" ca="1" si="42"/>
        <v>4527.9836000000005</v>
      </c>
      <c r="S93" s="26">
        <f t="shared" ca="1" si="43"/>
        <v>3996.6940000000004</v>
      </c>
      <c r="T93" s="26">
        <f t="shared" ca="1" si="52"/>
        <v>3841.7040000000002</v>
      </c>
      <c r="U93" s="26">
        <f t="shared" ca="1" si="52"/>
        <v>3519.1440000000002</v>
      </c>
      <c r="V93" s="26">
        <f t="shared" ca="1" si="44"/>
        <v>4.8007999999999997</v>
      </c>
      <c r="W93" s="26">
        <f t="shared" ca="1" si="45"/>
        <v>3327.7440000000001</v>
      </c>
      <c r="X93" s="26">
        <f ca="1">VLOOKUP(DATE(YEAR(H93+Electric!AB99),MONTH(H93+Electric!AB99),1),'FAF &amp; DDs'!$A$2:$B$321,2,FALSE)*I93</f>
        <v>341.54400000000004</v>
      </c>
      <c r="Y93" s="26">
        <f t="shared" ca="1" si="46"/>
        <v>107.52000000000001</v>
      </c>
      <c r="Z93" s="26">
        <f t="shared" ca="1" si="47"/>
        <v>3781.6007999999997</v>
      </c>
      <c r="AB93" s="1">
        <v>44</v>
      </c>
      <c r="AC93" s="111">
        <v>7.05</v>
      </c>
      <c r="AD93" s="111">
        <v>7.05</v>
      </c>
      <c r="AE93" s="111">
        <v>7.05</v>
      </c>
      <c r="AF93" s="111">
        <v>7.05</v>
      </c>
      <c r="AG93" s="111">
        <v>7.05</v>
      </c>
      <c r="AH93" s="111">
        <v>7.05</v>
      </c>
      <c r="AI93" s="111">
        <v>7.05</v>
      </c>
      <c r="AJ93" s="111">
        <v>8.3800000000000008</v>
      </c>
      <c r="AK93" s="111">
        <v>9.5500000000000007</v>
      </c>
      <c r="AL93" s="111">
        <v>17.55</v>
      </c>
      <c r="AM93" s="111">
        <v>17.670000000000002</v>
      </c>
      <c r="AN93" s="111">
        <v>17.920000000000002</v>
      </c>
      <c r="AO93" s="111">
        <v>25.32</v>
      </c>
      <c r="AP93" s="204">
        <f t="shared" si="50"/>
        <v>25.7</v>
      </c>
    </row>
    <row r="94" spans="4:43" s="23" customFormat="1" x14ac:dyDescent="0.2">
      <c r="D94" s="30"/>
      <c r="E94" s="38">
        <f t="shared" ca="1" si="48"/>
        <v>0</v>
      </c>
      <c r="F94" s="37">
        <f ca="1">Electric!X100</f>
        <v>31</v>
      </c>
      <c r="H94" s="32">
        <f ca="1">IF(ROW()&gt;(Electric!$Y$6-Electric!$Y$5+6),"",+Electric!V100)</f>
        <v>41312</v>
      </c>
      <c r="I94" s="33">
        <f ca="1">IF($H94="","",+Electric!F100)</f>
        <v>37200</v>
      </c>
      <c r="J94" s="43">
        <f ca="1">IF($H94="","",+Electric!G100)</f>
        <v>110.32</v>
      </c>
      <c r="K94" s="26">
        <f t="shared" ca="1" si="51"/>
        <v>4626.1176000000005</v>
      </c>
      <c r="L94" s="26">
        <f t="shared" ca="1" si="51"/>
        <v>4288.8076000000001</v>
      </c>
      <c r="M94" s="26">
        <f t="shared" ca="1" si="51"/>
        <v>4657.9103999999998</v>
      </c>
      <c r="N94" s="26">
        <f t="shared" ca="1" si="39"/>
        <v>126.6999999999999</v>
      </c>
      <c r="O94" s="26">
        <f t="shared" ca="1" si="36"/>
        <v>3139.6799999999985</v>
      </c>
      <c r="P94" s="73">
        <f t="shared" ca="1" si="40"/>
        <v>1190.3528000000008</v>
      </c>
      <c r="Q94" s="26">
        <f t="shared" ca="1" si="41"/>
        <v>119.04</v>
      </c>
      <c r="R94" s="26">
        <f t="shared" ca="1" si="42"/>
        <v>4657.91</v>
      </c>
      <c r="S94" s="26">
        <f t="shared" ca="1" si="43"/>
        <v>4052.3176000000003</v>
      </c>
      <c r="T94" s="26">
        <f t="shared" ca="1" si="52"/>
        <v>3881.2076000000002</v>
      </c>
      <c r="U94" s="26">
        <f t="shared" ca="1" si="52"/>
        <v>3535.2475999999997</v>
      </c>
      <c r="V94" s="26">
        <f t="shared" ca="1" si="44"/>
        <v>4.669999999999999</v>
      </c>
      <c r="W94" s="26">
        <f t="shared" ca="1" si="45"/>
        <v>3675.3599999999951</v>
      </c>
      <c r="X94" s="26">
        <f ca="1">VLOOKUP(DATE(YEAR(H94+Electric!AB100),MONTH(H94+Electric!AB100),1),'FAF &amp; DDs'!$A$2:$B$321,2,FALSE)*I94</f>
        <v>82.137599999999992</v>
      </c>
      <c r="Y94" s="26">
        <f t="shared" ca="1" si="46"/>
        <v>119.04</v>
      </c>
      <c r="Z94" s="26">
        <f t="shared" ca="1" si="47"/>
        <v>3881.21</v>
      </c>
      <c r="AB94" s="1">
        <v>46</v>
      </c>
      <c r="AC94" s="111">
        <v>120</v>
      </c>
      <c r="AD94" s="111">
        <v>120</v>
      </c>
      <c r="AE94" s="111">
        <v>120</v>
      </c>
      <c r="AF94" s="111">
        <v>120</v>
      </c>
      <c r="AG94" s="111">
        <v>120</v>
      </c>
      <c r="AH94" s="111">
        <v>120</v>
      </c>
      <c r="AI94" s="111">
        <v>120</v>
      </c>
      <c r="AJ94" s="111">
        <v>126.7</v>
      </c>
      <c r="AK94" s="111">
        <v>130.22999999999999</v>
      </c>
      <c r="AL94" s="111">
        <v>230.23</v>
      </c>
      <c r="AM94" s="111">
        <v>231.84</v>
      </c>
      <c r="AN94" s="111">
        <v>235.09</v>
      </c>
      <c r="AO94" s="111">
        <v>254.09</v>
      </c>
      <c r="AP94" s="204">
        <f t="shared" si="50"/>
        <v>257.89999999999998</v>
      </c>
    </row>
    <row r="95" spans="4:43" s="23" customFormat="1" x14ac:dyDescent="0.2">
      <c r="D95" s="30"/>
      <c r="E95" s="38">
        <f t="shared" ca="1" si="48"/>
        <v>0</v>
      </c>
      <c r="F95" s="37">
        <f ca="1">Electric!X101</f>
        <v>34</v>
      </c>
      <c r="H95" s="32">
        <f ca="1">IF(ROW()&gt;(Electric!$Y$6-Electric!$Y$5+6),"",+Electric!V101)</f>
        <v>41281</v>
      </c>
      <c r="I95" s="33">
        <f ca="1">IF($H95="","",+Electric!F101)</f>
        <v>35200</v>
      </c>
      <c r="J95" s="43">
        <f ca="1">IF($H95="","",+Electric!G101)</f>
        <v>115.36</v>
      </c>
      <c r="K95" s="26">
        <f t="shared" ca="1" si="51"/>
        <v>4708.2552000000005</v>
      </c>
      <c r="L95" s="26">
        <f t="shared" ca="1" si="51"/>
        <v>4389.3452000000007</v>
      </c>
      <c r="M95" s="26">
        <f t="shared" ca="1" si="51"/>
        <v>4775.3095999999996</v>
      </c>
      <c r="N95" s="26">
        <f t="shared" ca="1" si="39"/>
        <v>126.70000000000009</v>
      </c>
      <c r="O95" s="26">
        <f t="shared" ca="1" si="36"/>
        <v>2970.8800000000019</v>
      </c>
      <c r="P95" s="73">
        <f t="shared" ca="1" si="40"/>
        <v>1244.7343999999989</v>
      </c>
      <c r="Q95" s="26">
        <f t="shared" ca="1" si="41"/>
        <v>112.64</v>
      </c>
      <c r="R95" s="26">
        <f t="shared" ca="1" si="42"/>
        <v>4775.3100000000004</v>
      </c>
      <c r="S95" s="26">
        <f t="shared" ca="1" si="43"/>
        <v>4077.5352000000003</v>
      </c>
      <c r="T95" s="26">
        <f t="shared" ca="1" si="52"/>
        <v>3915.4251999999997</v>
      </c>
      <c r="U95" s="26">
        <f t="shared" ca="1" si="52"/>
        <v>3588.0652</v>
      </c>
      <c r="V95" s="26">
        <f t="shared" ca="1" si="44"/>
        <v>4.669999999999999</v>
      </c>
      <c r="W95" s="26">
        <f t="shared" ca="1" si="45"/>
        <v>3477.7600000000011</v>
      </c>
      <c r="X95" s="26">
        <f ca="1">VLOOKUP(DATE(YEAR(H95+Electric!AB101),MONTH(H95+Electric!AB101),1),'FAF &amp; DDs'!$A$2:$B$321,2,FALSE)*I95</f>
        <v>320.35519999999997</v>
      </c>
      <c r="Y95" s="26">
        <f t="shared" ca="1" si="46"/>
        <v>112.64</v>
      </c>
      <c r="Z95" s="26">
        <f t="shared" ca="1" si="47"/>
        <v>3915.4300000000003</v>
      </c>
      <c r="AB95" s="1">
        <v>47</v>
      </c>
      <c r="AC95" s="111">
        <v>120.1</v>
      </c>
      <c r="AD95" s="111">
        <v>120.1</v>
      </c>
      <c r="AE95" s="111">
        <v>120.1</v>
      </c>
      <c r="AF95" s="111">
        <v>120.1</v>
      </c>
      <c r="AG95" s="111">
        <v>120.1</v>
      </c>
      <c r="AH95" s="111">
        <v>120.1</v>
      </c>
      <c r="AI95" s="111">
        <v>120.1</v>
      </c>
      <c r="AJ95" s="111">
        <v>126.8</v>
      </c>
      <c r="AK95" s="111">
        <v>130.33000000000001</v>
      </c>
      <c r="AL95" s="111">
        <v>230.33</v>
      </c>
      <c r="AM95" s="111">
        <v>231.94</v>
      </c>
      <c r="AN95" s="111">
        <v>235.19</v>
      </c>
      <c r="AO95" s="111">
        <v>254.19</v>
      </c>
      <c r="AP95" s="204">
        <f t="shared" si="50"/>
        <v>258</v>
      </c>
    </row>
    <row r="96" spans="4:43" s="23" customFormat="1" x14ac:dyDescent="0.2">
      <c r="D96" s="30"/>
      <c r="E96" s="38">
        <f t="shared" ca="1" si="48"/>
        <v>0</v>
      </c>
      <c r="F96" s="37">
        <f ca="1">Electric!X102</f>
        <v>29</v>
      </c>
      <c r="H96" s="32">
        <f ca="1">IF(ROW()&gt;(Electric!$Y$6-Electric!$Y$5+6),"",+Electric!V102)</f>
        <v>41247</v>
      </c>
      <c r="I96" s="33">
        <f ca="1">IF($H96="","",+Electric!F102)</f>
        <v>33200</v>
      </c>
      <c r="J96" s="43">
        <f ca="1">IF($H96="","",+Electric!G102)</f>
        <v>97.26</v>
      </c>
      <c r="K96" s="26">
        <f t="shared" ca="1" si="51"/>
        <v>4217.8791999999994</v>
      </c>
      <c r="L96" s="26">
        <f t="shared" ca="1" si="51"/>
        <v>3917.3692000000001</v>
      </c>
      <c r="M96" s="26">
        <f t="shared" ca="1" si="51"/>
        <v>4255.6345999999994</v>
      </c>
      <c r="N96" s="26">
        <f t="shared" ca="1" si="39"/>
        <v>126.69999999999997</v>
      </c>
      <c r="O96" s="26">
        <f t="shared" ca="1" si="36"/>
        <v>2802.0800000000013</v>
      </c>
      <c r="P96" s="73">
        <f t="shared" ca="1" si="40"/>
        <v>1049.4354000000012</v>
      </c>
      <c r="Q96" s="26">
        <f t="shared" ca="1" si="41"/>
        <v>106.24000000000001</v>
      </c>
      <c r="R96" s="26">
        <f t="shared" ca="1" si="42"/>
        <v>4255.6399999999994</v>
      </c>
      <c r="S96" s="26">
        <f t="shared" ca="1" si="43"/>
        <v>3715.3591999999999</v>
      </c>
      <c r="T96" s="26">
        <f t="shared" ca="1" si="52"/>
        <v>3562.2492000000002</v>
      </c>
      <c r="U96" s="26">
        <f t="shared" ca="1" si="52"/>
        <v>3253.4892</v>
      </c>
      <c r="V96" s="26">
        <f t="shared" ca="1" si="44"/>
        <v>4.6700000000000026</v>
      </c>
      <c r="W96" s="26">
        <f t="shared" ca="1" si="45"/>
        <v>3280.1600000000017</v>
      </c>
      <c r="X96" s="26">
        <f ca="1">VLOOKUP(DATE(YEAR(H96+Electric!AB102),MONTH(H96+Electric!AB102),1),'FAF &amp; DDs'!$A$2:$B$321,2,FALSE)*I96</f>
        <v>171.17920000000001</v>
      </c>
      <c r="Y96" s="26">
        <f t="shared" ca="1" si="46"/>
        <v>106.24000000000001</v>
      </c>
      <c r="Z96" s="26">
        <f t="shared" ca="1" si="47"/>
        <v>3562.2499999999995</v>
      </c>
      <c r="AB96" s="1">
        <v>48</v>
      </c>
      <c r="AC96" s="111">
        <v>550</v>
      </c>
      <c r="AD96" s="111">
        <v>550</v>
      </c>
      <c r="AE96" s="111">
        <v>550</v>
      </c>
      <c r="AF96" s="111">
        <v>550</v>
      </c>
      <c r="AG96" s="111">
        <v>550</v>
      </c>
      <c r="AH96" s="111">
        <v>550</v>
      </c>
      <c r="AI96" s="111">
        <v>550</v>
      </c>
      <c r="AJ96" s="111">
        <v>577.13</v>
      </c>
      <c r="AK96" s="111">
        <v>589.66999999999996</v>
      </c>
      <c r="AL96" s="111">
        <v>789.67</v>
      </c>
      <c r="AM96" s="111">
        <v>795.2</v>
      </c>
      <c r="AN96" s="111">
        <v>806.33</v>
      </c>
      <c r="AO96" s="111">
        <v>844.63</v>
      </c>
      <c r="AP96" s="204">
        <f t="shared" si="50"/>
        <v>857.3</v>
      </c>
    </row>
    <row r="97" spans="4:42" s="23" customFormat="1" x14ac:dyDescent="0.2">
      <c r="D97" s="30"/>
      <c r="E97" s="38">
        <f t="shared" ca="1" si="48"/>
        <v>0</v>
      </c>
      <c r="F97" s="37">
        <f ca="1">Electric!X103</f>
        <v>32</v>
      </c>
      <c r="H97" s="32">
        <f ca="1">IF(ROW()&gt;(Electric!$Y$6-Electric!$Y$5+6),"",+Electric!V103)</f>
        <v>41218</v>
      </c>
      <c r="I97" s="33">
        <f ca="1">IF($H97="","",+Electric!F103)</f>
        <v>37000</v>
      </c>
      <c r="J97" s="43">
        <f ca="1">IF($H97="","",+Electric!G103)</f>
        <v>139.46</v>
      </c>
      <c r="K97" s="26">
        <f t="shared" ca="1" si="51"/>
        <v>4822.1729999999998</v>
      </c>
      <c r="L97" s="26">
        <f t="shared" ca="1" si="51"/>
        <v>4486.7029999999995</v>
      </c>
      <c r="M97" s="26">
        <f t="shared" ca="1" si="51"/>
        <v>4937.3863999999994</v>
      </c>
      <c r="N97" s="26">
        <f t="shared" ca="1" si="39"/>
        <v>126.69999999999993</v>
      </c>
      <c r="O97" s="26">
        <f t="shared" ca="1" si="36"/>
        <v>3122.799999999997</v>
      </c>
      <c r="P97" s="73">
        <f t="shared" ca="1" si="40"/>
        <v>1504.7733999999989</v>
      </c>
      <c r="Q97" s="26">
        <f t="shared" ca="1" si="41"/>
        <v>118.4</v>
      </c>
      <c r="R97" s="26">
        <f t="shared" ca="1" si="42"/>
        <v>4937.38</v>
      </c>
      <c r="S97" s="26">
        <f t="shared" ca="1" si="43"/>
        <v>4013.5930000000003</v>
      </c>
      <c r="T97" s="26">
        <f t="shared" ca="1" si="52"/>
        <v>3843.3830000000003</v>
      </c>
      <c r="U97" s="26">
        <f t="shared" ca="1" si="52"/>
        <v>3499.2830000000004</v>
      </c>
      <c r="V97" s="26">
        <f t="shared" ca="1" si="44"/>
        <v>4.6699999999999982</v>
      </c>
      <c r="W97" s="26">
        <f t="shared" ca="1" si="45"/>
        <v>3655.6</v>
      </c>
      <c r="X97" s="26">
        <f ca="1">VLOOKUP(DATE(YEAR(H97+Electric!AB103),MONTH(H97+Electric!AB103),1),'FAF &amp; DDs'!$A$2:$B$321,2,FALSE)*I97</f>
        <v>64.712999999999994</v>
      </c>
      <c r="Y97" s="26">
        <f t="shared" ca="1" si="46"/>
        <v>118.4</v>
      </c>
      <c r="Z97" s="26">
        <f t="shared" ca="1" si="47"/>
        <v>3843.38</v>
      </c>
      <c r="AB97" s="1">
        <v>49</v>
      </c>
      <c r="AC97" s="111">
        <v>60</v>
      </c>
      <c r="AD97" s="111">
        <v>60</v>
      </c>
      <c r="AE97" s="111">
        <v>60</v>
      </c>
      <c r="AF97" s="111">
        <v>60</v>
      </c>
      <c r="AG97" s="111">
        <v>60</v>
      </c>
      <c r="AH97" s="111">
        <v>60</v>
      </c>
      <c r="AI97" s="111">
        <v>60</v>
      </c>
      <c r="AJ97" s="111">
        <v>60</v>
      </c>
      <c r="AK97" s="111">
        <v>60</v>
      </c>
      <c r="AL97" s="111">
        <v>60</v>
      </c>
      <c r="AM97" s="111">
        <v>60</v>
      </c>
      <c r="AN97" s="111">
        <v>60</v>
      </c>
      <c r="AO97" s="111">
        <v>60</v>
      </c>
      <c r="AP97" s="204">
        <f t="shared" ref="AP97:AP98" si="53">+ROUND(AO97*(1+AP$79),2)</f>
        <v>60.9</v>
      </c>
    </row>
    <row r="98" spans="4:42" s="23" customFormat="1" x14ac:dyDescent="0.2">
      <c r="D98" s="30"/>
      <c r="E98" s="38">
        <f t="shared" ca="1" si="48"/>
        <v>10</v>
      </c>
      <c r="F98" s="37">
        <f ca="1">Electric!X104</f>
        <v>29</v>
      </c>
      <c r="H98" s="32">
        <f ca="1">IF(ROW()&gt;(Electric!$Y$6-Electric!$Y$5+6),"",+Electric!V104)</f>
        <v>41186</v>
      </c>
      <c r="I98" s="33">
        <f ca="1">IF($H98="","",+Electric!F104)</f>
        <v>38800</v>
      </c>
      <c r="J98" s="43">
        <f ca="1">IF($H98="","",+Electric!G104)</f>
        <v>148.19999999999999</v>
      </c>
      <c r="K98" s="26">
        <f t="shared" ca="1" si="51"/>
        <v>4996.853793103448</v>
      </c>
      <c r="L98" s="26">
        <f t="shared" ca="1" si="51"/>
        <v>4662.3766413793091</v>
      </c>
      <c r="M98" s="26">
        <f t="shared" ca="1" si="51"/>
        <v>5127.4718551724145</v>
      </c>
      <c r="N98" s="26">
        <f t="shared" ca="1" si="39"/>
        <v>126.69999999999997</v>
      </c>
      <c r="O98" s="26">
        <f t="shared" ca="1" si="36"/>
        <v>3384.4278000000013</v>
      </c>
      <c r="P98" s="73">
        <f t="shared" ca="1" si="40"/>
        <v>1697.7076551724142</v>
      </c>
      <c r="Q98" s="26">
        <f t="shared" ca="1" si="41"/>
        <v>124.16000000000001</v>
      </c>
      <c r="R98" s="26">
        <f t="shared" ca="1" si="42"/>
        <v>5127.4799999999996</v>
      </c>
      <c r="S98" s="26">
        <f t="shared" ca="1" si="43"/>
        <v>4078.2117000000003</v>
      </c>
      <c r="T98" s="26">
        <f t="shared" ca="1" si="52"/>
        <v>3960.1071999999999</v>
      </c>
      <c r="U98" s="26">
        <f t="shared" ca="1" si="52"/>
        <v>3723.6918999999998</v>
      </c>
      <c r="V98" s="26">
        <f t="shared" ca="1" si="44"/>
        <v>4.6699999999999982</v>
      </c>
      <c r="W98" s="26">
        <f t="shared" ca="1" si="45"/>
        <v>4036.8007999999986</v>
      </c>
      <c r="X98" s="26">
        <f ca="1">VLOOKUP(DATE(YEAR(H98+Electric!AB104),MONTH(H98+Electric!AB104),1),'FAF &amp; DDs'!$A$2:$B$321,2,FALSE)*I98</f>
        <v>-205.52359999999999</v>
      </c>
      <c r="Y98" s="26">
        <f t="shared" ca="1" si="46"/>
        <v>124.16000000000001</v>
      </c>
      <c r="Z98" s="26">
        <f t="shared" ca="1" si="47"/>
        <v>3960.11</v>
      </c>
      <c r="AB98" s="1">
        <v>58</v>
      </c>
      <c r="AC98" s="111">
        <v>550</v>
      </c>
      <c r="AD98" s="111">
        <v>550</v>
      </c>
      <c r="AE98" s="111">
        <v>550</v>
      </c>
      <c r="AF98" s="111">
        <v>550</v>
      </c>
      <c r="AG98" s="111">
        <v>550</v>
      </c>
      <c r="AH98" s="111">
        <v>550</v>
      </c>
      <c r="AI98" s="111">
        <v>550</v>
      </c>
      <c r="AJ98" s="111">
        <v>577.13</v>
      </c>
      <c r="AK98" s="111">
        <v>589.66999999999996</v>
      </c>
      <c r="AL98" s="111">
        <v>789.67</v>
      </c>
      <c r="AM98" s="111">
        <v>795.2</v>
      </c>
      <c r="AN98" s="111">
        <v>806.33</v>
      </c>
      <c r="AO98" s="111">
        <v>844.63</v>
      </c>
      <c r="AP98" s="204">
        <f t="shared" si="53"/>
        <v>857.3</v>
      </c>
    </row>
    <row r="99" spans="4:42" s="23" customFormat="1" x14ac:dyDescent="0.2">
      <c r="D99" s="30"/>
      <c r="E99" s="38">
        <f t="shared" ca="1" si="48"/>
        <v>30</v>
      </c>
      <c r="F99" s="37">
        <f ca="1">Electric!X105</f>
        <v>30</v>
      </c>
      <c r="H99" s="32">
        <f ca="1">IF(ROW()&gt;(Electric!$Y$6-Electric!$Y$5+6),"",+Electric!V105)</f>
        <v>41157</v>
      </c>
      <c r="I99" s="33">
        <f ca="1">IF($H99="","",+Electric!F105)</f>
        <v>45200</v>
      </c>
      <c r="J99" s="43">
        <f ca="1">IF($H99="","",+Electric!G105)</f>
        <v>157.06</v>
      </c>
      <c r="K99" s="26">
        <f t="shared" ca="1" si="51"/>
        <v>6079.6828000000005</v>
      </c>
      <c r="L99" s="26">
        <f t="shared" ca="1" si="51"/>
        <v>5717.0054</v>
      </c>
      <c r="M99" s="26">
        <f t="shared" ca="1" si="51"/>
        <v>6187.3052000000007</v>
      </c>
      <c r="N99" s="26">
        <f t="shared" ca="1" si="39"/>
        <v>126.7</v>
      </c>
      <c r="O99" s="26">
        <f t="shared" ca="1" si="36"/>
        <v>4185.5200000000004</v>
      </c>
      <c r="P99" s="73">
        <f t="shared" ca="1" si="40"/>
        <v>1997.8032000000001</v>
      </c>
      <c r="Q99" s="26">
        <f t="shared" ca="1" si="41"/>
        <v>144.64000000000001</v>
      </c>
      <c r="R99" s="26">
        <f t="shared" ca="1" si="42"/>
        <v>6187.3000000000011</v>
      </c>
      <c r="S99" s="26">
        <f t="shared" ca="1" si="43"/>
        <v>5038.4620000000004</v>
      </c>
      <c r="T99" s="26">
        <f t="shared" ca="1" si="52"/>
        <v>5034.7520000000004</v>
      </c>
      <c r="U99" s="26">
        <f t="shared" ca="1" si="52"/>
        <v>5034.7520000000004</v>
      </c>
      <c r="V99" s="26">
        <f t="shared" ca="1" si="44"/>
        <v>4.6700000000000008</v>
      </c>
      <c r="W99" s="26">
        <f t="shared" ca="1" si="45"/>
        <v>5152.8</v>
      </c>
      <c r="X99" s="26">
        <f ca="1">VLOOKUP(DATE(YEAR(H99+Electric!AB105),MONTH(H99+Electric!AB105),1),'FAF &amp; DDs'!$A$2:$B$321,2,FALSE)*I99</f>
        <v>-267.358</v>
      </c>
      <c r="Y99" s="26">
        <f t="shared" ca="1" si="46"/>
        <v>144.64000000000001</v>
      </c>
      <c r="Z99" s="26">
        <f t="shared" ca="1" si="47"/>
        <v>5034.7500000000009</v>
      </c>
    </row>
    <row r="100" spans="4:42" s="23" customFormat="1" x14ac:dyDescent="0.2">
      <c r="D100" s="30"/>
      <c r="E100" s="38">
        <f t="shared" ca="1" si="48"/>
        <v>32</v>
      </c>
      <c r="F100" s="37">
        <f ca="1">Electric!X106</f>
        <v>32</v>
      </c>
      <c r="H100" s="32">
        <f ca="1">IF(ROW()&gt;(Electric!$Y$6-Electric!$Y$5+6),"",+Electric!V106)</f>
        <v>41127</v>
      </c>
      <c r="I100" s="33">
        <f ca="1">IF($H100="","",+Electric!F106)</f>
        <v>54800</v>
      </c>
      <c r="J100" s="43">
        <f ca="1">IF($H100="","",+Electric!G106)</f>
        <v>177.28</v>
      </c>
      <c r="K100" s="26">
        <f t="shared" ca="1" si="51"/>
        <v>7498.1236000000008</v>
      </c>
      <c r="L100" s="26">
        <f t="shared" ca="1" si="51"/>
        <v>7048.0423999999994</v>
      </c>
      <c r="M100" s="26">
        <f t="shared" ca="1" si="51"/>
        <v>7563.5347999999994</v>
      </c>
      <c r="N100" s="26">
        <f t="shared" ca="1" si="39"/>
        <v>126.70000000000005</v>
      </c>
      <c r="O100" s="26">
        <f t="shared" ca="1" si="36"/>
        <v>5074.4800000000005</v>
      </c>
      <c r="P100" s="73">
        <f t="shared" ca="1" si="40"/>
        <v>2255.0016000000001</v>
      </c>
      <c r="Q100" s="26">
        <f t="shared" ca="1" si="41"/>
        <v>175.36</v>
      </c>
      <c r="R100" s="26">
        <f t="shared" ca="1" si="42"/>
        <v>7563.5299999999988</v>
      </c>
      <c r="S100" s="26">
        <f t="shared" ca="1" si="43"/>
        <v>6362.9331999999995</v>
      </c>
      <c r="T100" s="26">
        <f t="shared" ca="1" si="52"/>
        <v>6359.2231999999995</v>
      </c>
      <c r="U100" s="26">
        <f t="shared" ca="1" si="52"/>
        <v>6359.2231999999995</v>
      </c>
      <c r="V100" s="26">
        <f t="shared" ca="1" si="44"/>
        <v>4.6700000000000017</v>
      </c>
      <c r="W100" s="26">
        <f t="shared" ca="1" si="45"/>
        <v>6247.2</v>
      </c>
      <c r="X100" s="26">
        <f ca="1">VLOOKUP(DATE(YEAR(H100+Electric!AB106),MONTH(H100+Electric!AB106),1),'FAF &amp; DDs'!$A$2:$B$321,2,FALSE)*I100</f>
        <v>-68.006799999999998</v>
      </c>
      <c r="Y100" s="26">
        <f t="shared" ca="1" si="46"/>
        <v>175.36</v>
      </c>
      <c r="Z100" s="26">
        <f t="shared" ca="1" si="47"/>
        <v>6359.2199999999993</v>
      </c>
      <c r="AP100" s="206">
        <v>1.4999999999999999E-2</v>
      </c>
    </row>
    <row r="101" spans="4:42" s="23" customFormat="1" ht="15.75" x14ac:dyDescent="0.25">
      <c r="D101" s="30"/>
      <c r="E101" s="38">
        <f t="shared" ca="1" si="48"/>
        <v>31</v>
      </c>
      <c r="F101" s="37">
        <f ca="1">Electric!X107</f>
        <v>31</v>
      </c>
      <c r="H101" s="32">
        <f ca="1">IF(ROW()&gt;(Electric!$Y$6-Electric!$Y$5+6),"",+Electric!V107)</f>
        <v>41095</v>
      </c>
      <c r="I101" s="33">
        <f ca="1">IF($H101="","",+Electric!F107)</f>
        <v>45600</v>
      </c>
      <c r="J101" s="43">
        <f ca="1">IF($H101="","",+Electric!G107)</f>
        <v>156.96</v>
      </c>
      <c r="K101" s="26">
        <f t="shared" ca="1" si="51"/>
        <v>6591.1768000000002</v>
      </c>
      <c r="L101" s="26">
        <f t="shared" ca="1" si="51"/>
        <v>6224.1884</v>
      </c>
      <c r="M101" s="26">
        <f t="shared" ca="1" si="51"/>
        <v>6694.1752000000006</v>
      </c>
      <c r="N101" s="26">
        <f t="shared" ca="1" si="39"/>
        <v>126.70000000000002</v>
      </c>
      <c r="O101" s="26">
        <f t="shared" ca="1" si="36"/>
        <v>4222.5600000000004</v>
      </c>
      <c r="P101" s="73">
        <f t="shared" ca="1" si="40"/>
        <v>1996.5312000000001</v>
      </c>
      <c r="Q101" s="26">
        <f t="shared" ca="1" si="41"/>
        <v>145.92000000000002</v>
      </c>
      <c r="R101" s="26">
        <f t="shared" ca="1" si="42"/>
        <v>6694.17</v>
      </c>
      <c r="S101" s="26">
        <f t="shared" ca="1" si="43"/>
        <v>5555.1640000000007</v>
      </c>
      <c r="T101" s="26">
        <f t="shared" ca="1" si="52"/>
        <v>5551.4540000000006</v>
      </c>
      <c r="U101" s="26">
        <f t="shared" ca="1" si="52"/>
        <v>5551.4540000000006</v>
      </c>
      <c r="V101" s="26">
        <f t="shared" ca="1" si="44"/>
        <v>4.669999999999999</v>
      </c>
      <c r="W101" s="26">
        <f t="shared" ca="1" si="45"/>
        <v>5198.4000000000005</v>
      </c>
      <c r="X101" s="26">
        <f ca="1">VLOOKUP(DATE(YEAR(H101+Electric!AB107),MONTH(H101+Electric!AB107),1),'FAF &amp; DDs'!$A$2:$B$321,2,FALSE)*I101</f>
        <v>202.46400000000003</v>
      </c>
      <c r="Y101" s="26">
        <f t="shared" ca="1" si="46"/>
        <v>145.92000000000002</v>
      </c>
      <c r="Z101" s="26">
        <f t="shared" ca="1" si="47"/>
        <v>5551.45</v>
      </c>
      <c r="AC101" s="3" t="s">
        <v>218</v>
      </c>
      <c r="AP101" s="84">
        <v>43891</v>
      </c>
    </row>
    <row r="102" spans="4:42" s="23" customFormat="1" x14ac:dyDescent="0.2">
      <c r="D102" s="30"/>
      <c r="E102" s="38">
        <f t="shared" ca="1" si="48"/>
        <v>20</v>
      </c>
      <c r="F102" s="37">
        <f ca="1">Electric!X108</f>
        <v>31</v>
      </c>
      <c r="H102" s="32">
        <f ca="1">IF(ROW()&gt;(Electric!$Y$6-Electric!$Y$5+6),"",+Electric!V108)</f>
        <v>41064</v>
      </c>
      <c r="I102" s="33">
        <f ca="1">IF($H102="","",+Electric!F108)</f>
        <v>40800</v>
      </c>
      <c r="J102" s="43">
        <f ca="1">IF($H102="","",+Electric!G108)</f>
        <v>135</v>
      </c>
      <c r="K102" s="26">
        <f t="shared" ca="1" si="51"/>
        <v>5890.2045806451615</v>
      </c>
      <c r="L102" s="26">
        <f t="shared" ca="1" si="51"/>
        <v>5544.7610903225814</v>
      </c>
      <c r="M102" s="26">
        <f t="shared" ca="1" si="51"/>
        <v>5969.2041741935491</v>
      </c>
      <c r="N102" s="26">
        <f t="shared" ca="1" si="39"/>
        <v>126.69999999999999</v>
      </c>
      <c r="O102" s="26">
        <f t="shared" ca="1" si="36"/>
        <v>3659.3686000000007</v>
      </c>
      <c r="P102" s="73">
        <f t="shared" ca="1" si="40"/>
        <v>1624.7467741935486</v>
      </c>
      <c r="Q102" s="26">
        <f t="shared" ca="1" si="41"/>
        <v>130.56</v>
      </c>
      <c r="R102" s="26">
        <f t="shared" ca="1" si="42"/>
        <v>5969.21</v>
      </c>
      <c r="S102" s="26">
        <f t="shared" ca="1" si="43"/>
        <v>5063.0649000000012</v>
      </c>
      <c r="T102" s="26">
        <f t="shared" ca="1" si="52"/>
        <v>4994.2084000000013</v>
      </c>
      <c r="U102" s="26">
        <f t="shared" ca="1" si="52"/>
        <v>4859.5723000000007</v>
      </c>
      <c r="V102" s="26">
        <f t="shared" ca="1" si="44"/>
        <v>4.669999999999999</v>
      </c>
      <c r="W102" s="26">
        <f t="shared" ca="1" si="45"/>
        <v>4431.1495999999997</v>
      </c>
      <c r="X102" s="26">
        <f ca="1">VLOOKUP(DATE(YEAR(H102+Electric!AB108),MONTH(H102+Electric!AB108),1),'FAF &amp; DDs'!$A$2:$B$321,2,FALSE)*I102</f>
        <v>427.8288</v>
      </c>
      <c r="Y102" s="26">
        <f t="shared" ca="1" si="46"/>
        <v>130.56</v>
      </c>
      <c r="Z102" s="26">
        <f t="shared" ca="1" si="47"/>
        <v>4994.21</v>
      </c>
      <c r="AC102" s="23" t="s">
        <v>219</v>
      </c>
      <c r="AD102" s="23" t="s">
        <v>220</v>
      </c>
      <c r="AP102" s="111">
        <v>12.83</v>
      </c>
    </row>
    <row r="103" spans="4:42" s="23" customFormat="1" x14ac:dyDescent="0.2">
      <c r="D103" s="30"/>
      <c r="E103" s="38">
        <f t="shared" ca="1" si="48"/>
        <v>0</v>
      </c>
      <c r="F103" s="37">
        <f ca="1">Electric!X109</f>
        <v>30</v>
      </c>
      <c r="H103" s="32">
        <f ca="1">IF(ROW()&gt;(Electric!$Y$6-Electric!$Y$5+6),"",+Electric!V109)</f>
        <v>41033</v>
      </c>
      <c r="I103" s="33">
        <f ca="1">IF($H103="","",+Electric!F109)</f>
        <v>36000</v>
      </c>
      <c r="J103" s="43">
        <f ca="1">IF($H103="","",+Electric!G109)</f>
        <v>134.35990000000001</v>
      </c>
      <c r="K103" s="26">
        <f t="shared" ca="1" si="51"/>
        <v>4883.2031999999999</v>
      </c>
      <c r="L103" s="26">
        <f t="shared" ca="1" si="51"/>
        <v>4556.9331999999995</v>
      </c>
      <c r="M103" s="26">
        <f t="shared" ca="1" si="51"/>
        <v>4994.7873209999998</v>
      </c>
      <c r="N103" s="26">
        <f t="shared" ca="1" si="39"/>
        <v>126.7</v>
      </c>
      <c r="O103" s="26">
        <f t="shared" ca="1" si="36"/>
        <v>3038.4</v>
      </c>
      <c r="P103" s="73">
        <f t="shared" ca="1" si="40"/>
        <v>1449.7433209999999</v>
      </c>
      <c r="Q103" s="26">
        <f t="shared" ca="1" si="41"/>
        <v>115.2</v>
      </c>
      <c r="R103" s="26">
        <f t="shared" ca="1" si="42"/>
        <v>4994.78</v>
      </c>
      <c r="S103" s="26">
        <f t="shared" ca="1" si="43"/>
        <v>4107.1240000000007</v>
      </c>
      <c r="T103" s="26">
        <f t="shared" ca="1" si="52"/>
        <v>3941.4140000000002</v>
      </c>
      <c r="U103" s="26">
        <f t="shared" ca="1" si="52"/>
        <v>3606.614</v>
      </c>
      <c r="V103" s="26">
        <f t="shared" ca="1" si="44"/>
        <v>4.67</v>
      </c>
      <c r="W103" s="26">
        <f t="shared" ca="1" si="45"/>
        <v>3556.8</v>
      </c>
      <c r="X103" s="26">
        <f ca="1">VLOOKUP(DATE(YEAR(H103+Electric!AB109),MONTH(H103+Electric!AB109),1),'FAF &amp; DDs'!$A$2:$B$321,2,FALSE)*I103</f>
        <v>264.74400000000003</v>
      </c>
      <c r="Y103" s="26">
        <f t="shared" ca="1" si="46"/>
        <v>115.2</v>
      </c>
      <c r="Z103" s="26">
        <f t="shared" ca="1" si="47"/>
        <v>3941.41</v>
      </c>
      <c r="AC103" s="23">
        <v>1</v>
      </c>
      <c r="AD103" s="23">
        <v>26</v>
      </c>
      <c r="AP103" s="111">
        <v>12.93</v>
      </c>
    </row>
    <row r="104" spans="4:42" s="23" customFormat="1" x14ac:dyDescent="0.2">
      <c r="E104" s="38">
        <f t="shared" ca="1" si="48"/>
        <v>0</v>
      </c>
      <c r="F104" s="37">
        <f ca="1">Electric!X110</f>
        <v>30</v>
      </c>
      <c r="H104" s="32">
        <f ca="1">IF(ROW()&gt;(Electric!$Y$6-Electric!$Y$5+6),"",+Electric!V110)</f>
        <v>41003</v>
      </c>
      <c r="I104" s="33">
        <f ca="1">IF($H104="","",+Electric!F110)</f>
        <v>38600</v>
      </c>
      <c r="J104" s="43">
        <f ca="1">IF($H104="","",+Electric!G110)</f>
        <v>144.18</v>
      </c>
      <c r="K104" s="26">
        <f t="shared" ca="1" si="51"/>
        <v>5261.0627999999997</v>
      </c>
      <c r="L104" s="26">
        <f t="shared" ca="1" si="51"/>
        <v>4910.872800000001</v>
      </c>
      <c r="M104" s="26">
        <f t="shared" ca="1" si="51"/>
        <v>5372.4850000000006</v>
      </c>
      <c r="N104" s="26">
        <f t="shared" ca="1" si="39"/>
        <v>126.7</v>
      </c>
      <c r="O104" s="26">
        <f t="shared" ca="1" si="36"/>
        <v>3257.84</v>
      </c>
      <c r="P104" s="73">
        <f t="shared" ca="1" si="40"/>
        <v>1555.7021999999997</v>
      </c>
      <c r="Q104" s="26">
        <f t="shared" ca="1" si="41"/>
        <v>123.52000000000001</v>
      </c>
      <c r="R104" s="26">
        <f t="shared" ca="1" si="42"/>
        <v>5372.4800000000005</v>
      </c>
      <c r="S104" s="26">
        <f t="shared" ca="1" si="43"/>
        <v>4428.0028000000002</v>
      </c>
      <c r="T104" s="26">
        <f t="shared" ca="1" si="52"/>
        <v>4250.5928000000004</v>
      </c>
      <c r="U104" s="26">
        <f t="shared" ca="1" si="52"/>
        <v>3891.6127999999999</v>
      </c>
      <c r="V104" s="26">
        <f t="shared" ca="1" si="44"/>
        <v>4.67</v>
      </c>
      <c r="W104" s="26">
        <f t="shared" ca="1" si="45"/>
        <v>3813.6800000000003</v>
      </c>
      <c r="X104" s="26">
        <f ca="1">VLOOKUP(DATE(YEAR(H104+Electric!AB110),MONTH(H104+Electric!AB110),1),'FAF &amp; DDs'!$A$2:$B$321,2,FALSE)*I104</f>
        <v>308.72280000000001</v>
      </c>
      <c r="Y104" s="26">
        <f t="shared" ca="1" si="46"/>
        <v>123.52000000000001</v>
      </c>
      <c r="Z104" s="26">
        <f t="shared" ca="1" si="47"/>
        <v>4250.59</v>
      </c>
      <c r="AC104" s="23">
        <v>2</v>
      </c>
      <c r="AD104" s="23">
        <v>27</v>
      </c>
      <c r="AP104" s="111">
        <v>9.5500000000000007</v>
      </c>
    </row>
    <row r="105" spans="4:42" s="23" customFormat="1" x14ac:dyDescent="0.2">
      <c r="E105" s="38">
        <f t="shared" ca="1" si="48"/>
        <v>0</v>
      </c>
      <c r="F105" s="37">
        <f ca="1">Electric!X111</f>
        <v>31</v>
      </c>
      <c r="H105" s="32">
        <f ca="1">IF(ROW()&gt;(Electric!$Y$6-Electric!$Y$5+6),"",+Electric!V111)</f>
        <v>40973</v>
      </c>
      <c r="I105" s="33">
        <f ca="1">IF($H105="","",+Electric!F111)</f>
        <v>36600</v>
      </c>
      <c r="J105" s="43">
        <f ca="1">IF($H105="","",+Electric!G111)</f>
        <v>104.22</v>
      </c>
      <c r="K105" s="26">
        <f t="shared" ca="1" si="51"/>
        <v>4436.26</v>
      </c>
      <c r="L105" s="26">
        <f t="shared" ca="1" si="51"/>
        <v>4104.47</v>
      </c>
      <c r="M105" s="26">
        <f t="shared" ca="1" si="51"/>
        <v>4457.3937999999998</v>
      </c>
      <c r="N105" s="26">
        <f t="shared" ca="1" si="39"/>
        <v>120.86451612903227</v>
      </c>
      <c r="O105" s="26">
        <f t="shared" ca="1" si="36"/>
        <v>2212.4109677419356</v>
      </c>
      <c r="P105" s="73">
        <f t="shared" ca="1" si="40"/>
        <v>1080.055393548387</v>
      </c>
      <c r="Q105" s="26">
        <f t="shared" ca="1" si="41"/>
        <v>117.12</v>
      </c>
      <c r="R105" s="26">
        <f t="shared" ca="1" si="42"/>
        <v>3530.4545161290321</v>
      </c>
      <c r="S105" s="26">
        <f t="shared" ca="1" si="43"/>
        <v>3906.28</v>
      </c>
      <c r="T105" s="26">
        <f t="shared" ca="1" si="52"/>
        <v>3737.87</v>
      </c>
      <c r="U105" s="26">
        <f t="shared" ca="1" si="52"/>
        <v>3397.49</v>
      </c>
      <c r="V105" s="26">
        <f t="shared" ca="1" si="44"/>
        <v>3.6509677419354842</v>
      </c>
      <c r="W105" s="26">
        <f t="shared" ca="1" si="45"/>
        <v>2717.1367741935487</v>
      </c>
      <c r="X105" s="26">
        <f ca="1">VLOOKUP(DATE(YEAR(H105+Electric!AB111),MONTH(H105+Electric!AB111),1),'FAF &amp; DDs'!$A$2:$B$321,2,FALSE)*I105</f>
        <v>0</v>
      </c>
      <c r="Y105" s="26">
        <f t="shared" ca="1" si="46"/>
        <v>117.12</v>
      </c>
      <c r="Z105" s="26">
        <f t="shared" ca="1" si="47"/>
        <v>2837.9109677419351</v>
      </c>
      <c r="AC105" s="23">
        <v>3</v>
      </c>
      <c r="AD105" s="23">
        <v>28</v>
      </c>
      <c r="AP105" s="111">
        <v>9.4499999999999993</v>
      </c>
    </row>
    <row r="106" spans="4:42" s="23" customFormat="1" x14ac:dyDescent="0.2">
      <c r="E106" s="38">
        <f t="shared" ca="1" si="48"/>
        <v>0</v>
      </c>
      <c r="F106" s="37">
        <f ca="1">Electric!X112</f>
        <v>30</v>
      </c>
      <c r="H106" s="32">
        <f ca="1">IF(ROW()&gt;(Electric!$Y$6-Electric!$Y$5+6),"",+Electric!V112)</f>
        <v>40942</v>
      </c>
      <c r="I106" s="33">
        <f ca="1">IF($H106="","",+Electric!F112)</f>
        <v>41800</v>
      </c>
      <c r="J106" s="43">
        <f ca="1">IF($H106="","",+Electric!G112)</f>
        <v>106.76</v>
      </c>
      <c r="K106" s="26">
        <f t="shared" ref="K106:M125" ca="1" si="54">(1-$O$2)*(IF(OR($F106&gt;$F$3,$F106&lt;$F$2),$F106,30)/30*HLOOKUP(($H106+$Q$1),$AC$80:$AQ$98,MATCH(VALUE(RIGHT(TRIM(K$5),2)),$AB$80:$AB$98,0))+"CC"+(ROUND(($E106/$F106)*$I106,0)*HLOOKUP(($H106+$Q$1),$AC$30:$AQ$48,MATCH(VALUE(RIGHT(TRIM(K$5),2)),$AB$30:$AB$48,0))+"Summer kWh"+ROUND((($F106-$E106)/$F106)*$I106,0)*HLOOKUP(($H106+$Q$1),$AC$8:$AQ$26,MATCH(VALUE(RIGHT(TRIM(K$5),2)),$AB$8:$AB$26,0))+"Winter kWh")+(IF(($H106+$Q$1)&gt;DATE(2009,7,1),$I106*0.0209*$O$3,0)+"State Wind Energy kWh Surcharge")+($E106/IF($F106&lt;=$F$3,$F106,30)*$J106*HLOOKUP(($H106+$Q$1),$AC$66:$AQ$76,MATCH(VALUE(RIGHT(TRIM(K$5),2)),$AB$66:$AB$76,0))+"Summer kW"+(($F106-$E106)/IF($F106&lt;=$F$3,$F106,30)*$J106)*HLOOKUP(($H106+$Q$1),$AC$52:$AQ$62,MATCH(VALUE(RIGHT(TRIM(K$5),2)),$AB$52:$AB$62,0))+"Winter kW")+$X106)+$Q106</f>
        <v>4937.0704000000005</v>
      </c>
      <c r="L106" s="26">
        <f t="shared" ca="1" si="54"/>
        <v>4573.9304000000011</v>
      </c>
      <c r="M106" s="26">
        <f t="shared" ca="1" si="54"/>
        <v>4911.8220000000001</v>
      </c>
      <c r="N106" s="26">
        <f t="shared" ca="1" si="39"/>
        <v>120</v>
      </c>
      <c r="O106" s="26">
        <f t="shared" ca="1" si="36"/>
        <v>2378.419999999991</v>
      </c>
      <c r="P106" s="73">
        <f t="shared" ca="1" si="40"/>
        <v>1099.6280000000002</v>
      </c>
      <c r="Q106" s="26">
        <f t="shared" ca="1" si="41"/>
        <v>133.76000000000002</v>
      </c>
      <c r="R106" s="26">
        <f t="shared" ca="1" si="42"/>
        <v>4911.8200000000006</v>
      </c>
      <c r="S106" s="26">
        <f t="shared" ca="1" si="43"/>
        <v>4451.6440000000002</v>
      </c>
      <c r="T106" s="26">
        <f t="shared" ref="T106:U125" ca="1" si="55">IF(OR($F106&gt;$F$3,$F106&lt;$F$2),$F106,30)/30*HLOOKUP(($H106+$Q$1),$AC$80:$AQ$98,MATCH(VALUE(RIGHT(TRIM(T$5),2)),$AB$80:$AB$98,0))+"CC"++(ROUND(($E106/$F106)*$I106,0)*HLOOKUP(($H106),$AC$30:$AQ$48,MATCH(VALUE(RIGHT(TRIM(T$5),2)),$AB$30:$AB$48,0))+"Summer kWh"+ROUND((($F106-$E106)/$F106)*$I106,0)*HLOOKUP(($H106),$AC$8:$AQ$26,MATCH(VALUE(RIGHT(TRIM(T$5),2)),$AB$8:$AB$26,0))+"Winter kWh")+(IF($H106&gt;DATE(2009,7,1),$I106*0.0209*$O$3,0)+"State Wind Energy kWh Surcharge")+$X106+$Q106</f>
        <v>4268.3540000000003</v>
      </c>
      <c r="U106" s="26">
        <f t="shared" ca="1" si="55"/>
        <v>3896.3340000000003</v>
      </c>
      <c r="V106" s="26">
        <f t="shared" ca="1" si="44"/>
        <v>3.5</v>
      </c>
      <c r="W106" s="26">
        <f t="shared" ca="1" si="45"/>
        <v>2951.0800000000127</v>
      </c>
      <c r="X106" s="26">
        <f ca="1">VLOOKUP(DATE(YEAR(H106+Electric!AB112),MONTH(H106+Electric!AB112),1),'FAF &amp; DDs'!$A$2:$B$321,2,FALSE)*I106</f>
        <v>1180.0140000000001</v>
      </c>
      <c r="Y106" s="26">
        <f t="shared" ca="1" si="46"/>
        <v>133.76000000000002</v>
      </c>
      <c r="Z106" s="26">
        <f t="shared" ca="1" si="47"/>
        <v>4268.3500000000004</v>
      </c>
      <c r="AC106" s="23">
        <v>4</v>
      </c>
      <c r="AD106" s="23">
        <v>1</v>
      </c>
      <c r="AP106" s="111">
        <v>12.83</v>
      </c>
    </row>
    <row r="107" spans="4:42" s="23" customFormat="1" x14ac:dyDescent="0.2">
      <c r="E107" s="38">
        <f t="shared" ca="1" si="48"/>
        <v>0</v>
      </c>
      <c r="F107" s="37">
        <f ca="1">Electric!X113</f>
        <v>29</v>
      </c>
      <c r="H107" s="32">
        <f ca="1">IF(ROW()&gt;(Electric!$Y$6-Electric!$Y$5+6),"",+Electric!V113)</f>
        <v>40912</v>
      </c>
      <c r="I107" s="33">
        <f ca="1">IF($H107="","",+Electric!F113)</f>
        <v>37600</v>
      </c>
      <c r="J107" s="43">
        <f ca="1">IF($H107="","",+Electric!G113)</f>
        <v>108.06</v>
      </c>
      <c r="K107" s="26">
        <f t="shared" ca="1" si="54"/>
        <v>4569.5043999999998</v>
      </c>
      <c r="L107" s="26">
        <f t="shared" ca="1" si="54"/>
        <v>4243.3243999999995</v>
      </c>
      <c r="M107" s="26">
        <f t="shared" ca="1" si="54"/>
        <v>4590.134</v>
      </c>
      <c r="N107" s="26">
        <f t="shared" ca="1" si="39"/>
        <v>120</v>
      </c>
      <c r="O107" s="26">
        <f t="shared" ca="1" si="36"/>
        <v>2139.4399999999932</v>
      </c>
      <c r="P107" s="73">
        <f t="shared" ca="1" si="40"/>
        <v>1113.0180000000028</v>
      </c>
      <c r="Q107" s="26">
        <f t="shared" ca="1" si="41"/>
        <v>120.32000000000001</v>
      </c>
      <c r="R107" s="26">
        <f t="shared" ca="1" si="42"/>
        <v>4590.1400000000003</v>
      </c>
      <c r="S107" s="26">
        <f t="shared" ca="1" si="43"/>
        <v>4040.9659999999999</v>
      </c>
      <c r="T107" s="26">
        <f t="shared" ca="1" si="55"/>
        <v>3875.7360000000003</v>
      </c>
      <c r="U107" s="26">
        <f t="shared" ca="1" si="55"/>
        <v>3541.096</v>
      </c>
      <c r="V107" s="26">
        <f t="shared" ca="1" si="44"/>
        <v>3.5</v>
      </c>
      <c r="W107" s="26">
        <f t="shared" ca="1" si="45"/>
        <v>2654.5599999999949</v>
      </c>
      <c r="X107" s="26">
        <f ca="1">VLOOKUP(DATE(YEAR(H107+Electric!AB113),MONTH(H107+Electric!AB113),1),'FAF &amp; DDs'!$A$2:$B$321,2,FALSE)*I107</f>
        <v>1097.356</v>
      </c>
      <c r="Y107" s="26">
        <f t="shared" ca="1" si="46"/>
        <v>120.32000000000001</v>
      </c>
      <c r="Z107" s="26">
        <f t="shared" ca="1" si="47"/>
        <v>3875.7400000000002</v>
      </c>
      <c r="AC107" s="23">
        <v>5</v>
      </c>
      <c r="AD107" s="23">
        <v>2</v>
      </c>
      <c r="AP107" s="111">
        <v>12.93</v>
      </c>
    </row>
    <row r="108" spans="4:42" s="23" customFormat="1" x14ac:dyDescent="0.2">
      <c r="E108" s="38">
        <f t="shared" ca="1" si="48"/>
        <v>0</v>
      </c>
      <c r="F108" s="37">
        <f ca="1">Electric!X114</f>
        <v>33</v>
      </c>
      <c r="H108" s="32">
        <f ca="1">IF(ROW()&gt;(Electric!$Y$6-Electric!$Y$5+6),"",+Electric!V114)</f>
        <v>40883</v>
      </c>
      <c r="I108" s="33">
        <f ca="1">IF($H108="","",+Electric!F114)</f>
        <v>36200</v>
      </c>
      <c r="J108" s="43">
        <f ca="1">IF($H108="","",+Electric!G114)</f>
        <v>122.34</v>
      </c>
      <c r="K108" s="26">
        <f t="shared" ca="1" si="54"/>
        <v>4447.8424000000005</v>
      </c>
      <c r="L108" s="26">
        <f t="shared" ca="1" si="54"/>
        <v>4133.9823999999999</v>
      </c>
      <c r="M108" s="26">
        <f t="shared" ca="1" si="54"/>
        <v>4520.5967999999993</v>
      </c>
      <c r="N108" s="26">
        <f t="shared" ca="1" si="39"/>
        <v>120</v>
      </c>
      <c r="O108" s="26">
        <f t="shared" ca="1" si="36"/>
        <v>2059.7800000000047</v>
      </c>
      <c r="P108" s="73">
        <f t="shared" ca="1" si="40"/>
        <v>1260.1019999999987</v>
      </c>
      <c r="Q108" s="26">
        <f t="shared" ca="1" si="41"/>
        <v>115.84</v>
      </c>
      <c r="R108" s="26">
        <f t="shared" ca="1" si="42"/>
        <v>4520.59</v>
      </c>
      <c r="S108" s="26">
        <f t="shared" ca="1" si="43"/>
        <v>3799.1448</v>
      </c>
      <c r="T108" s="26">
        <f t="shared" ca="1" si="55"/>
        <v>3639.9348</v>
      </c>
      <c r="U108" s="26">
        <f t="shared" ca="1" si="55"/>
        <v>3317.7548000000002</v>
      </c>
      <c r="V108" s="26">
        <f t="shared" ca="1" si="44"/>
        <v>3.5</v>
      </c>
      <c r="W108" s="26">
        <f t="shared" ca="1" si="45"/>
        <v>2555.7200000000066</v>
      </c>
      <c r="X108" s="26">
        <f ca="1">VLOOKUP(DATE(YEAR(H108+Electric!AB114),MONTH(H108+Electric!AB114),1),'FAF &amp; DDs'!$A$2:$B$321,2,FALSE)*I108</f>
        <v>964.87480000000005</v>
      </c>
      <c r="Y108" s="26">
        <f t="shared" ca="1" si="46"/>
        <v>115.84</v>
      </c>
      <c r="Z108" s="26">
        <f t="shared" ca="1" si="47"/>
        <v>3639.93</v>
      </c>
      <c r="AC108" s="23">
        <v>6</v>
      </c>
      <c r="AD108" s="23">
        <v>3</v>
      </c>
      <c r="AP108" s="111">
        <v>9.5500000000000007</v>
      </c>
    </row>
    <row r="109" spans="4:42" s="23" customFormat="1" x14ac:dyDescent="0.2">
      <c r="E109" s="38">
        <f t="shared" ca="1" si="48"/>
        <v>0</v>
      </c>
      <c r="F109" s="37">
        <f ca="1">Electric!X115</f>
        <v>31</v>
      </c>
      <c r="H109" s="32">
        <f ca="1">IF(ROW()&gt;(Electric!$Y$6-Electric!$Y$5+6),"",+Electric!V115)</f>
        <v>40850</v>
      </c>
      <c r="I109" s="33">
        <f ca="1">IF($H109="","",+Electric!F115)</f>
        <v>37400</v>
      </c>
      <c r="J109" s="43">
        <f ca="1">IF($H109="","",+Electric!G115)</f>
        <v>126.9</v>
      </c>
      <c r="K109" s="26">
        <f t="shared" ca="1" si="54"/>
        <v>4347.0166000000008</v>
      </c>
      <c r="L109" s="26">
        <f t="shared" ca="1" si="54"/>
        <v>4022.5966000000003</v>
      </c>
      <c r="M109" s="26">
        <f t="shared" ca="1" si="54"/>
        <v>4419.7806</v>
      </c>
      <c r="N109" s="26">
        <f t="shared" ca="1" si="39"/>
        <v>120</v>
      </c>
      <c r="O109" s="26">
        <f t="shared" ca="1" si="36"/>
        <v>2128.0600000000081</v>
      </c>
      <c r="P109" s="73">
        <f t="shared" ca="1" si="40"/>
        <v>1307.0700000000045</v>
      </c>
      <c r="Q109" s="26">
        <f t="shared" ca="1" si="41"/>
        <v>119.68</v>
      </c>
      <c r="R109" s="26">
        <f t="shared" ca="1" si="42"/>
        <v>4419.78</v>
      </c>
      <c r="S109" s="26">
        <f t="shared" ca="1" si="43"/>
        <v>3672.9605999999999</v>
      </c>
      <c r="T109" s="26">
        <f t="shared" ca="1" si="55"/>
        <v>3508.5906</v>
      </c>
      <c r="U109" s="26">
        <f t="shared" ca="1" si="55"/>
        <v>3175.7305999999999</v>
      </c>
      <c r="V109" s="26">
        <f t="shared" ca="1" si="44"/>
        <v>3.5</v>
      </c>
      <c r="W109" s="26">
        <f t="shared" ca="1" si="45"/>
        <v>2640.4399999999928</v>
      </c>
      <c r="X109" s="26">
        <f ca="1">VLOOKUP(DATE(YEAR(H109+Electric!AB115),MONTH(H109+Electric!AB115),1),'FAF &amp; DDs'!$A$2:$B$321,2,FALSE)*I109</f>
        <v>744.97059999999999</v>
      </c>
      <c r="Y109" s="26">
        <f t="shared" ca="1" si="46"/>
        <v>119.68</v>
      </c>
      <c r="Z109" s="26">
        <f t="shared" ca="1" si="47"/>
        <v>3508.5899999999997</v>
      </c>
      <c r="AC109" s="23">
        <v>7</v>
      </c>
      <c r="AD109" s="23">
        <v>5</v>
      </c>
      <c r="AP109" s="111">
        <v>9.4499999999999993</v>
      </c>
    </row>
    <row r="110" spans="4:42" s="23" customFormat="1" x14ac:dyDescent="0.2">
      <c r="E110" s="38">
        <f t="shared" ca="1" si="48"/>
        <v>9</v>
      </c>
      <c r="F110" s="37">
        <f ca="1">Electric!X116</f>
        <v>27</v>
      </c>
      <c r="H110" s="32">
        <f ca="1">IF(ROW()&gt;(Electric!$Y$6-Electric!$Y$5+6),"",+Electric!V116)</f>
        <v>40819</v>
      </c>
      <c r="I110" s="33">
        <f ca="1">IF($H110="","",+Electric!F116)</f>
        <v>33800</v>
      </c>
      <c r="J110" s="43">
        <f ca="1">IF($H110="","",+Electric!G116)</f>
        <v>146.13999999999999</v>
      </c>
      <c r="K110" s="26">
        <f t="shared" ca="1" si="54"/>
        <v>4301.0537333333332</v>
      </c>
      <c r="L110" s="26">
        <f t="shared" ca="1" si="54"/>
        <v>4026.7916999999998</v>
      </c>
      <c r="M110" s="26">
        <f t="shared" ca="1" si="54"/>
        <v>4470.7939333333334</v>
      </c>
      <c r="N110" s="26">
        <f t="shared" ca="1" si="39"/>
        <v>120</v>
      </c>
      <c r="O110" s="26">
        <f t="shared" ca="1" si="36"/>
        <v>2011.1025999999974</v>
      </c>
      <c r="P110" s="73">
        <f t="shared" ca="1" si="40"/>
        <v>1594.8745333333277</v>
      </c>
      <c r="Q110" s="26">
        <f t="shared" ca="1" si="41"/>
        <v>108.16000000000001</v>
      </c>
      <c r="R110" s="26">
        <f t="shared" ca="1" si="42"/>
        <v>4470.79</v>
      </c>
      <c r="S110" s="26">
        <f t="shared" ca="1" si="43"/>
        <v>3398.4101999999993</v>
      </c>
      <c r="T110" s="26">
        <f t="shared" ca="1" si="55"/>
        <v>3297.9682999999995</v>
      </c>
      <c r="U110" s="26">
        <f t="shared" ca="1" si="55"/>
        <v>3097.4245999999994</v>
      </c>
      <c r="V110" s="26">
        <f t="shared" ca="1" si="44"/>
        <v>3.5</v>
      </c>
      <c r="W110" s="26">
        <f t="shared" ca="1" si="45"/>
        <v>2549.6514999999986</v>
      </c>
      <c r="X110" s="26">
        <f ca="1">VLOOKUP(DATE(YEAR(H110+Electric!AB116),MONTH(H110+Electric!AB116),1),'FAF &amp; DDs'!$A$2:$B$321,2,FALSE)*I110</f>
        <v>636.65679999999998</v>
      </c>
      <c r="Y110" s="26">
        <f t="shared" ca="1" si="46"/>
        <v>108.16000000000001</v>
      </c>
      <c r="Z110" s="26">
        <f t="shared" ca="1" si="47"/>
        <v>3297.97</v>
      </c>
      <c r="AC110" s="23">
        <v>8</v>
      </c>
      <c r="AD110" s="23">
        <v>6</v>
      </c>
      <c r="AP110" s="204">
        <v>25.7</v>
      </c>
    </row>
    <row r="111" spans="4:42" s="23" customFormat="1" x14ac:dyDescent="0.2">
      <c r="E111" s="38">
        <f t="shared" ca="1" si="48"/>
        <v>34</v>
      </c>
      <c r="F111" s="37">
        <f ca="1">Electric!X117</f>
        <v>34</v>
      </c>
      <c r="H111" s="32">
        <f ca="1">IF(ROW()&gt;(Electric!$Y$6-Electric!$Y$5+6),"",+Electric!V117)</f>
        <v>40792</v>
      </c>
      <c r="I111" s="33">
        <f ca="1">IF($H111="","",+Electric!F117)</f>
        <v>49400</v>
      </c>
      <c r="J111" s="43">
        <f ca="1">IF($H111="","",+Electric!G117)</f>
        <v>166</v>
      </c>
      <c r="K111" s="26">
        <f t="shared" ca="1" si="54"/>
        <v>6145.2664000000004</v>
      </c>
      <c r="L111" s="26">
        <f t="shared" ca="1" si="54"/>
        <v>5763.9063999999998</v>
      </c>
      <c r="M111" s="26">
        <f t="shared" ca="1" si="54"/>
        <v>6230.7964000000002</v>
      </c>
      <c r="N111" s="26">
        <f t="shared" ca="1" si="39"/>
        <v>120</v>
      </c>
      <c r="O111" s="26">
        <f t="shared" ca="1" si="36"/>
        <v>3196.18</v>
      </c>
      <c r="P111" s="73">
        <f t="shared" ca="1" si="40"/>
        <v>2015.24</v>
      </c>
      <c r="Q111" s="26">
        <f t="shared" ca="1" si="41"/>
        <v>158.08000000000001</v>
      </c>
      <c r="R111" s="26">
        <f t="shared" ca="1" si="42"/>
        <v>6230.8</v>
      </c>
      <c r="S111" s="26">
        <f t="shared" ca="1" si="43"/>
        <v>5110.3663999999999</v>
      </c>
      <c r="T111" s="26">
        <f t="shared" ca="1" si="55"/>
        <v>5106.8163999999997</v>
      </c>
      <c r="U111" s="26">
        <f t="shared" ca="1" si="55"/>
        <v>5106.8163999999997</v>
      </c>
      <c r="V111" s="26">
        <f t="shared" ca="1" si="44"/>
        <v>3.5</v>
      </c>
      <c r="W111" s="26">
        <f t="shared" ca="1" si="45"/>
        <v>4203.9399999999996</v>
      </c>
      <c r="X111" s="26">
        <f ca="1">VLOOKUP(DATE(YEAR(H111+Electric!AB117),MONTH(H111+Electric!AB117),1),'FAF &amp; DDs'!$A$2:$B$321,2,FALSE)*I111</f>
        <v>741.29640000000006</v>
      </c>
      <c r="Y111" s="26">
        <f t="shared" ca="1" si="46"/>
        <v>158.08000000000001</v>
      </c>
      <c r="Z111" s="26">
        <f t="shared" ca="1" si="47"/>
        <v>5106.82</v>
      </c>
      <c r="AC111" s="23">
        <v>9</v>
      </c>
      <c r="AD111" s="23">
        <v>7</v>
      </c>
      <c r="AP111" s="204">
        <v>25.8</v>
      </c>
    </row>
    <row r="112" spans="4:42" s="23" customFormat="1" x14ac:dyDescent="0.2">
      <c r="E112" s="38">
        <f t="shared" ca="1" si="48"/>
        <v>26</v>
      </c>
      <c r="F112" s="37">
        <f ca="1">Electric!X118</f>
        <v>26</v>
      </c>
      <c r="H112" s="32">
        <f ca="1">IF(ROW()&gt;(Electric!$Y$6-Electric!$Y$5+6),"",+Electric!V118)</f>
        <v>40758</v>
      </c>
      <c r="I112" s="33">
        <f ca="1">IF($H112="","",+Electric!F118)</f>
        <v>40800</v>
      </c>
      <c r="J112" s="43">
        <f ca="1">IF($H112="","",+Electric!G118)</f>
        <v>164</v>
      </c>
      <c r="K112" s="26">
        <f t="shared" ca="1" si="54"/>
        <v>5676.5028000000002</v>
      </c>
      <c r="L112" s="26">
        <f t="shared" ca="1" si="54"/>
        <v>5380.6428000000005</v>
      </c>
      <c r="M112" s="26">
        <f t="shared" ca="1" si="54"/>
        <v>5844.8127999999997</v>
      </c>
      <c r="N112" s="26">
        <f t="shared" ca="1" si="39"/>
        <v>120</v>
      </c>
      <c r="O112" s="26">
        <f t="shared" ca="1" si="36"/>
        <v>2639.7599999999998</v>
      </c>
      <c r="P112" s="73">
        <f t="shared" ca="1" si="40"/>
        <v>1990.96</v>
      </c>
      <c r="Q112" s="26">
        <f t="shared" ca="1" si="41"/>
        <v>130.56</v>
      </c>
      <c r="R112" s="26">
        <f t="shared" ca="1" si="42"/>
        <v>5844.81</v>
      </c>
      <c r="S112" s="26">
        <f t="shared" ca="1" si="43"/>
        <v>4573.2228000000005</v>
      </c>
      <c r="T112" s="26">
        <f t="shared" ca="1" si="55"/>
        <v>4569.6728000000003</v>
      </c>
      <c r="U112" s="26">
        <f t="shared" ca="1" si="55"/>
        <v>4569.6728000000003</v>
      </c>
      <c r="V112" s="26">
        <f t="shared" ca="1" si="44"/>
        <v>3.5</v>
      </c>
      <c r="W112" s="26">
        <f t="shared" ca="1" si="45"/>
        <v>3472.08</v>
      </c>
      <c r="X112" s="26">
        <f ca="1">VLOOKUP(DATE(YEAR(H112+Electric!AB118),MONTH(H112+Electric!AB118),1),'FAF &amp; DDs'!$A$2:$B$321,2,FALSE)*I112</f>
        <v>963.53280000000007</v>
      </c>
      <c r="Y112" s="26">
        <f t="shared" ca="1" si="46"/>
        <v>130.56</v>
      </c>
      <c r="Z112" s="26">
        <f t="shared" ca="1" si="47"/>
        <v>4569.67</v>
      </c>
      <c r="AC112" s="23">
        <v>10</v>
      </c>
      <c r="AD112" s="23">
        <v>8</v>
      </c>
      <c r="AP112" s="204">
        <v>30.99</v>
      </c>
    </row>
    <row r="113" spans="5:42" s="23" customFormat="1" x14ac:dyDescent="0.2">
      <c r="E113" s="38">
        <f t="shared" ca="1" si="48"/>
        <v>23</v>
      </c>
      <c r="F113" s="37">
        <f ca="1">Electric!X119</f>
        <v>23</v>
      </c>
      <c r="H113" s="32">
        <f ca="1">IF(ROW()&gt;(Electric!$Y$6-Electric!$Y$5+6),"",+Electric!V119)</f>
        <v>40732</v>
      </c>
      <c r="I113" s="33">
        <f ca="1">IF($H113="","",+Electric!F119)</f>
        <v>40400</v>
      </c>
      <c r="J113" s="43">
        <f ca="1">IF($H113="","",+Electric!G119)</f>
        <v>166</v>
      </c>
      <c r="K113" s="26">
        <f t="shared" ca="1" si="54"/>
        <v>5744.6716000000006</v>
      </c>
      <c r="L113" s="26">
        <f t="shared" ca="1" si="54"/>
        <v>5454.2115999999996</v>
      </c>
      <c r="M113" s="26">
        <f t="shared" ca="1" si="54"/>
        <v>5922.9016000000001</v>
      </c>
      <c r="N113" s="26">
        <f t="shared" ca="1" si="39"/>
        <v>120</v>
      </c>
      <c r="O113" s="26">
        <f t="shared" ca="1" si="36"/>
        <v>2613.8799999999997</v>
      </c>
      <c r="P113" s="73">
        <f t="shared" ca="1" si="40"/>
        <v>2015.24</v>
      </c>
      <c r="Q113" s="26">
        <f t="shared" ca="1" si="41"/>
        <v>129.28</v>
      </c>
      <c r="R113" s="26">
        <f t="shared" ca="1" si="42"/>
        <v>5922.9</v>
      </c>
      <c r="S113" s="26">
        <f t="shared" ca="1" si="43"/>
        <v>4618.8715999999995</v>
      </c>
      <c r="T113" s="26">
        <f t="shared" ca="1" si="55"/>
        <v>4615.3216000000002</v>
      </c>
      <c r="U113" s="26">
        <f t="shared" ca="1" si="55"/>
        <v>4615.3216000000002</v>
      </c>
      <c r="V113" s="26">
        <f t="shared" ca="1" si="44"/>
        <v>3.5</v>
      </c>
      <c r="W113" s="26">
        <f t="shared" ca="1" si="45"/>
        <v>3438.04</v>
      </c>
      <c r="X113" s="26">
        <f ca="1">VLOOKUP(DATE(YEAR(H113+Electric!AB119),MONTH(H113+Electric!AB119),1),'FAF &amp; DDs'!$A$2:$B$321,2,FALSE)*I113</f>
        <v>1044.5016000000001</v>
      </c>
      <c r="Y113" s="26">
        <f t="shared" ca="1" si="46"/>
        <v>129.28</v>
      </c>
      <c r="Z113" s="26">
        <f t="shared" ca="1" si="47"/>
        <v>4615.32</v>
      </c>
      <c r="AC113" s="23">
        <v>11</v>
      </c>
      <c r="AD113" s="23">
        <v>11</v>
      </c>
      <c r="AP113" s="204">
        <v>25.7</v>
      </c>
    </row>
    <row r="114" spans="5:42" s="23" customFormat="1" x14ac:dyDescent="0.2">
      <c r="E114" s="38">
        <f t="shared" ca="1" si="48"/>
        <v>6</v>
      </c>
      <c r="F114" s="37">
        <f ca="1">Electric!X120</f>
        <v>6</v>
      </c>
      <c r="H114" s="32">
        <f ca="1">IF(ROW()&gt;(Electric!$Y$6-Electric!$Y$5+6),"",+Electric!V120)</f>
        <v>40709</v>
      </c>
      <c r="I114" s="33">
        <f ca="1">IF($H114="","",+Electric!F120)</f>
        <v>8600</v>
      </c>
      <c r="J114" s="43">
        <f ca="1">IF($H114="","",+Electric!G120)</f>
        <v>144</v>
      </c>
      <c r="K114" s="26">
        <f t="shared" ca="1" si="54"/>
        <v>2277.8496</v>
      </c>
      <c r="L114" s="26">
        <f t="shared" ca="1" si="54"/>
        <v>2289.8496</v>
      </c>
      <c r="M114" s="26">
        <f t="shared" ca="1" si="54"/>
        <v>2629.4595999999997</v>
      </c>
      <c r="N114" s="26">
        <f t="shared" ca="1" si="39"/>
        <v>24</v>
      </c>
      <c r="O114" s="26">
        <f t="shared" ref="O114:O177" ca="1" si="56">+(ROUND(($E114/$F114)*$I114,0)*HLOOKUP(($H114+$Q$1),$AC$30:$AQ$48,MATCH($AC$2,$AB$30:$AB$48,0))+"Summer"+ROUND((($F114-$E114)/$F114)*$I114,0)/$F114*(($H114-HLOOKUP($H114,$AC$8:$AQ$8,1))*HLOOKUP($H114,$AC$8:$AQ$26,MATCH($AC$2,$AB$8:$AB$26,0))+(HLOOKUP($H114,$AC$8:$AQ$8,1)-$H114+$F114)*HLOOKUP($H114-$F114,$AC$8:$AQ$26,MATCH($AC$2,$AB$8:$AB$26,0)))+"Winter")+(ROUND($I114*HLOOKUP($H114,$AR$72:$BD$73,2)*$O$3,2)+"State Wind Energy Surcharge")</f>
        <v>556.41999999999996</v>
      </c>
      <c r="P114" s="73">
        <f t="shared" ca="1" si="40"/>
        <v>1748.16</v>
      </c>
      <c r="Q114" s="26">
        <f t="shared" ca="1" si="41"/>
        <v>27.52</v>
      </c>
      <c r="R114" s="26">
        <f t="shared" ca="1" si="42"/>
        <v>2629.46</v>
      </c>
      <c r="S114" s="26">
        <f t="shared" ca="1" si="43"/>
        <v>1034.1496</v>
      </c>
      <c r="T114" s="26">
        <f t="shared" ca="1" si="55"/>
        <v>1033.4396000000002</v>
      </c>
      <c r="U114" s="26">
        <f t="shared" ca="1" si="55"/>
        <v>1033.4396000000002</v>
      </c>
      <c r="V114" s="26">
        <f t="shared" ca="1" si="44"/>
        <v>0.70000000000000007</v>
      </c>
      <c r="W114" s="26">
        <f t="shared" ca="1" si="45"/>
        <v>731.86</v>
      </c>
      <c r="X114" s="26">
        <f ca="1">VLOOKUP(DATE(YEAR(H114+Electric!AB120),MONTH(H114+Electric!AB120),1),'FAF &amp; DDs'!$A$2:$B$321,2,FALSE)*I114</f>
        <v>273.3596</v>
      </c>
      <c r="Y114" s="26">
        <f t="shared" ca="1" si="46"/>
        <v>27.52</v>
      </c>
      <c r="Z114" s="26">
        <f t="shared" ca="1" si="47"/>
        <v>1033.44</v>
      </c>
      <c r="AC114" s="23">
        <v>12</v>
      </c>
      <c r="AD114" s="23">
        <v>12</v>
      </c>
      <c r="AP114" s="204">
        <v>257.89999999999998</v>
      </c>
    </row>
    <row r="115" spans="5:42" s="23" customFormat="1" x14ac:dyDescent="0.2">
      <c r="E115" s="38">
        <f t="shared" ca="1" si="48"/>
        <v>25</v>
      </c>
      <c r="F115" s="37">
        <f ca="1">Electric!X121</f>
        <v>34</v>
      </c>
      <c r="H115" s="32">
        <f ca="1">IF(ROW()&gt;(Electric!$Y$6-Electric!$Y$5+6),"",+Electric!V121)</f>
        <v>40703</v>
      </c>
      <c r="I115" s="33">
        <f ca="1">IF($H115="","",+Electric!F121)</f>
        <v>50000</v>
      </c>
      <c r="J115" s="43">
        <f ca="1">IF($H115="","",+Electric!G121)</f>
        <v>160</v>
      </c>
      <c r="K115" s="26">
        <f t="shared" ca="1" si="54"/>
        <v>6811.1052941176476</v>
      </c>
      <c r="L115" s="26">
        <f t="shared" ca="1" si="54"/>
        <v>6408.0107941176475</v>
      </c>
      <c r="M115" s="26">
        <f t="shared" ca="1" si="54"/>
        <v>6865.5375882352946</v>
      </c>
      <c r="N115" s="26">
        <f t="shared" ca="1" si="39"/>
        <v>120</v>
      </c>
      <c r="O115" s="26">
        <f t="shared" ca="1" si="56"/>
        <v>3131.7670000000012</v>
      </c>
      <c r="P115" s="73">
        <f t="shared" ca="1" si="40"/>
        <v>1864.4705882352953</v>
      </c>
      <c r="Q115" s="26">
        <f t="shared" ca="1" si="41"/>
        <v>160</v>
      </c>
      <c r="R115" s="26">
        <f t="shared" ca="1" si="42"/>
        <v>6865.54</v>
      </c>
      <c r="S115" s="26">
        <f t="shared" ca="1" si="43"/>
        <v>5876.3530000000001</v>
      </c>
      <c r="T115" s="26">
        <f t="shared" ca="1" si="55"/>
        <v>5815.8924999999999</v>
      </c>
      <c r="U115" s="26">
        <f t="shared" ca="1" si="55"/>
        <v>5698.1009999999997</v>
      </c>
      <c r="V115" s="26">
        <f t="shared" ca="1" si="44"/>
        <v>3.5</v>
      </c>
      <c r="W115" s="26">
        <f t="shared" ca="1" si="45"/>
        <v>4063.0925000000016</v>
      </c>
      <c r="X115" s="26">
        <f ca="1">VLOOKUP(DATE(YEAR(H115+Electric!AB121),MONTH(H115+Electric!AB121),1),'FAF &amp; DDs'!$A$2:$B$321,2,FALSE)*I115</f>
        <v>1589.3000000000002</v>
      </c>
      <c r="Y115" s="26">
        <f t="shared" ca="1" si="46"/>
        <v>160</v>
      </c>
      <c r="Z115" s="26">
        <f t="shared" ca="1" si="47"/>
        <v>5815.89</v>
      </c>
      <c r="AC115" s="23">
        <v>13</v>
      </c>
      <c r="AD115" s="23">
        <v>13</v>
      </c>
      <c r="AP115" s="204">
        <v>258</v>
      </c>
    </row>
    <row r="116" spans="5:42" s="23" customFormat="1" x14ac:dyDescent="0.2">
      <c r="E116" s="38">
        <f t="shared" ca="1" si="48"/>
        <v>0</v>
      </c>
      <c r="F116" s="37">
        <f ca="1">Electric!X122</f>
        <v>28</v>
      </c>
      <c r="H116" s="32">
        <f ca="1">IF(ROW()&gt;(Electric!$Y$6-Electric!$Y$5+6),"",+Electric!V122)</f>
        <v>40669</v>
      </c>
      <c r="I116" s="33">
        <f ca="1">IF($H116="","",+Electric!F122)</f>
        <v>34200</v>
      </c>
      <c r="J116" s="43">
        <f ca="1">IF($H116="","",+Electric!G122)</f>
        <v>130</v>
      </c>
      <c r="K116" s="26">
        <f t="shared" ca="1" si="54"/>
        <v>4169.393</v>
      </c>
      <c r="L116" s="26">
        <f t="shared" ca="1" si="54"/>
        <v>3873.1329999999998</v>
      </c>
      <c r="M116" s="26">
        <f t="shared" ca="1" si="54"/>
        <v>4282.723</v>
      </c>
      <c r="N116" s="26">
        <f t="shared" ca="1" si="39"/>
        <v>120</v>
      </c>
      <c r="O116" s="26">
        <f t="shared" ca="1" si="56"/>
        <v>1945.9799999999948</v>
      </c>
      <c r="P116" s="73">
        <f t="shared" ca="1" si="40"/>
        <v>1338.9999999999984</v>
      </c>
      <c r="Q116" s="26">
        <f t="shared" ca="1" si="41"/>
        <v>109.44000000000001</v>
      </c>
      <c r="R116" s="26">
        <f t="shared" ca="1" si="42"/>
        <v>4282.72</v>
      </c>
      <c r="S116" s="26">
        <f t="shared" ca="1" si="43"/>
        <v>3446.373</v>
      </c>
      <c r="T116" s="26">
        <f t="shared" ca="1" si="55"/>
        <v>3295.7629999999999</v>
      </c>
      <c r="U116" s="26">
        <f t="shared" ca="1" si="55"/>
        <v>2991.3829999999998</v>
      </c>
      <c r="V116" s="26">
        <f t="shared" ca="1" si="44"/>
        <v>3.5</v>
      </c>
      <c r="W116" s="26">
        <f t="shared" ca="1" si="45"/>
        <v>2414.5199999999963</v>
      </c>
      <c r="X116" s="26">
        <f ca="1">VLOOKUP(DATE(YEAR(H116+Electric!AB122),MONTH(H116+Electric!AB122),1),'FAF &amp; DDs'!$A$2:$B$321,2,FALSE)*I116</f>
        <v>768.303</v>
      </c>
      <c r="Y116" s="26">
        <f t="shared" ca="1" si="46"/>
        <v>109.44000000000001</v>
      </c>
      <c r="Z116" s="26">
        <f t="shared" ca="1" si="47"/>
        <v>3295.7599999999998</v>
      </c>
      <c r="AC116" s="23">
        <v>14</v>
      </c>
      <c r="AD116" s="23">
        <v>14</v>
      </c>
      <c r="AP116" s="204">
        <v>857.3</v>
      </c>
    </row>
    <row r="117" spans="5:42" s="23" customFormat="1" x14ac:dyDescent="0.2">
      <c r="E117" s="38">
        <f t="shared" ca="1" si="48"/>
        <v>0</v>
      </c>
      <c r="F117" s="37">
        <f ca="1">Electric!X123</f>
        <v>29</v>
      </c>
      <c r="H117" s="32">
        <f ca="1">IF(ROW()&gt;(Electric!$Y$6-Electric!$Y$5+6),"",+Electric!V123)</f>
        <v>40641</v>
      </c>
      <c r="I117" s="33">
        <f ca="1">IF($H117="","",+Electric!F123)</f>
        <v>37400</v>
      </c>
      <c r="J117" s="43">
        <f ca="1">IF($H117="","",+Electric!G123)</f>
        <v>126</v>
      </c>
      <c r="K117" s="26">
        <f t="shared" ca="1" si="54"/>
        <v>4533.124600000001</v>
      </c>
      <c r="L117" s="26">
        <f t="shared" ca="1" si="54"/>
        <v>4208.7046</v>
      </c>
      <c r="M117" s="26">
        <f t="shared" ca="1" si="54"/>
        <v>4603.4946</v>
      </c>
      <c r="N117" s="26">
        <f t="shared" ca="1" si="39"/>
        <v>120</v>
      </c>
      <c r="O117" s="26">
        <f t="shared" ca="1" si="56"/>
        <v>2128.0600000000022</v>
      </c>
      <c r="P117" s="73">
        <f t="shared" ca="1" si="40"/>
        <v>1297.7999999999954</v>
      </c>
      <c r="Q117" s="26">
        <f t="shared" ca="1" si="41"/>
        <v>119.68</v>
      </c>
      <c r="R117" s="26">
        <f t="shared" ca="1" si="42"/>
        <v>4603.49</v>
      </c>
      <c r="S117" s="26">
        <f t="shared" ca="1" si="43"/>
        <v>3865.9445999999998</v>
      </c>
      <c r="T117" s="26">
        <f t="shared" ca="1" si="55"/>
        <v>3701.5745999999999</v>
      </c>
      <c r="U117" s="26">
        <f t="shared" ca="1" si="55"/>
        <v>3368.7145999999998</v>
      </c>
      <c r="V117" s="26">
        <f t="shared" ca="1" si="44"/>
        <v>3.5</v>
      </c>
      <c r="W117" s="26">
        <f t="shared" ca="1" si="45"/>
        <v>2640.4399999999951</v>
      </c>
      <c r="X117" s="26">
        <f ca="1">VLOOKUP(DATE(YEAR(H117+Electric!AB123),MONTH(H117+Electric!AB123),1),'FAF &amp; DDs'!$A$2:$B$321,2,FALSE)*I117</f>
        <v>937.95460000000003</v>
      </c>
      <c r="Y117" s="26">
        <f t="shared" ca="1" si="46"/>
        <v>119.68</v>
      </c>
      <c r="Z117" s="26">
        <f t="shared" ca="1" si="47"/>
        <v>3701.57</v>
      </c>
      <c r="AC117" s="23">
        <v>15</v>
      </c>
      <c r="AD117" s="23">
        <v>15</v>
      </c>
      <c r="AP117" s="204">
        <v>857.3</v>
      </c>
    </row>
    <row r="118" spans="5:42" s="23" customFormat="1" x14ac:dyDescent="0.2">
      <c r="E118" s="38">
        <f t="shared" ca="1" si="48"/>
        <v>0</v>
      </c>
      <c r="F118" s="37">
        <f ca="1">Electric!X124</f>
        <v>30</v>
      </c>
      <c r="H118" s="32">
        <f ca="1">IF(ROW()&gt;(Electric!$Y$6-Electric!$Y$5+6),"",+Electric!V124)</f>
        <v>40612</v>
      </c>
      <c r="I118" s="33">
        <f ca="1">IF($H118="","",+Electric!F124)</f>
        <v>35000</v>
      </c>
      <c r="J118" s="43">
        <f ca="1">IF($H118="","",+Electric!G124)</f>
        <v>136</v>
      </c>
      <c r="K118" s="26">
        <f t="shared" ca="1" si="54"/>
        <v>4283.5200000000004</v>
      </c>
      <c r="L118" s="26">
        <f t="shared" ca="1" si="54"/>
        <v>3980.22</v>
      </c>
      <c r="M118" s="26">
        <f t="shared" ca="1" si="54"/>
        <v>4404.7300000000005</v>
      </c>
      <c r="N118" s="26">
        <f t="shared" ca="1" si="39"/>
        <v>120</v>
      </c>
      <c r="O118" s="26">
        <f t="shared" ca="1" si="56"/>
        <v>1991.5000000000009</v>
      </c>
      <c r="P118" s="73">
        <f t="shared" ca="1" si="40"/>
        <v>1400.8</v>
      </c>
      <c r="Q118" s="26">
        <f t="shared" ca="1" si="41"/>
        <v>112</v>
      </c>
      <c r="R118" s="26">
        <f t="shared" ca="1" si="42"/>
        <v>4404.7300000000005</v>
      </c>
      <c r="S118" s="26">
        <f t="shared" ca="1" si="43"/>
        <v>3520.98</v>
      </c>
      <c r="T118" s="26">
        <f t="shared" ca="1" si="55"/>
        <v>3366.93</v>
      </c>
      <c r="U118" s="26">
        <f t="shared" ca="1" si="55"/>
        <v>3055.43</v>
      </c>
      <c r="V118" s="26">
        <f t="shared" ca="1" si="44"/>
        <v>3.5</v>
      </c>
      <c r="W118" s="26">
        <f t="shared" ca="1" si="45"/>
        <v>2471.0000000000109</v>
      </c>
      <c r="X118" s="26">
        <f ca="1">VLOOKUP(DATE(YEAR(H118+Electric!AB124),MONTH(H118+Electric!AB124),1),'FAF &amp; DDs'!$A$2:$B$321,2,FALSE)*I118</f>
        <v>780.43</v>
      </c>
      <c r="Y118" s="26">
        <f t="shared" ca="1" si="46"/>
        <v>112</v>
      </c>
      <c r="Z118" s="26">
        <f t="shared" ca="1" si="47"/>
        <v>3366.93</v>
      </c>
      <c r="AC118" s="23">
        <v>16</v>
      </c>
      <c r="AD118" s="23">
        <v>18</v>
      </c>
    </row>
    <row r="119" spans="5:42" s="23" customFormat="1" x14ac:dyDescent="0.2">
      <c r="E119" s="38">
        <f t="shared" ca="1" si="48"/>
        <v>0</v>
      </c>
      <c r="F119" s="37">
        <f ca="1">Electric!X125</f>
        <v>29</v>
      </c>
      <c r="H119" s="32">
        <f ca="1">IF(ROW()&gt;(Electric!$Y$6-Electric!$Y$5+6),"",+Electric!V125)</f>
        <v>40582</v>
      </c>
      <c r="I119" s="33">
        <f ca="1">IF($H119="","",+Electric!F125)</f>
        <v>41800</v>
      </c>
      <c r="J119" s="43">
        <f ca="1">IF($H119="","",+Electric!G125)</f>
        <v>140</v>
      </c>
      <c r="K119" s="26">
        <f t="shared" ca="1" si="54"/>
        <v>4896.5848000000005</v>
      </c>
      <c r="L119" s="26">
        <f t="shared" ca="1" si="54"/>
        <v>4533.4448000000002</v>
      </c>
      <c r="M119" s="26">
        <f t="shared" ca="1" si="54"/>
        <v>4959.7548000000006</v>
      </c>
      <c r="N119" s="26">
        <f t="shared" ca="1" si="39"/>
        <v>120</v>
      </c>
      <c r="O119" s="26">
        <f t="shared" ca="1" si="56"/>
        <v>2378.4200000000028</v>
      </c>
      <c r="P119" s="73">
        <f t="shared" ca="1" si="40"/>
        <v>1442.0000000000034</v>
      </c>
      <c r="Q119" s="26">
        <f t="shared" ca="1" si="41"/>
        <v>133.76000000000002</v>
      </c>
      <c r="R119" s="26">
        <f t="shared" ca="1" si="42"/>
        <v>4959.75</v>
      </c>
      <c r="S119" s="26">
        <f t="shared" ca="1" si="43"/>
        <v>4157.2047999999995</v>
      </c>
      <c r="T119" s="26">
        <f t="shared" ca="1" si="55"/>
        <v>3973.9148</v>
      </c>
      <c r="U119" s="26">
        <f t="shared" ca="1" si="55"/>
        <v>3601.8948</v>
      </c>
      <c r="V119" s="26">
        <f t="shared" ca="1" si="44"/>
        <v>3.5</v>
      </c>
      <c r="W119" s="26">
        <f t="shared" ca="1" si="45"/>
        <v>2951.0799999999945</v>
      </c>
      <c r="X119" s="26">
        <f ca="1">VLOOKUP(DATE(YEAR(H119+Electric!AB125),MONTH(H119+Electric!AB125),1),'FAF &amp; DDs'!$A$2:$B$321,2,FALSE)*I119</f>
        <v>885.57479999999998</v>
      </c>
      <c r="Y119" s="26">
        <f t="shared" ca="1" si="46"/>
        <v>133.76000000000002</v>
      </c>
      <c r="Z119" s="26">
        <f t="shared" ca="1" si="47"/>
        <v>3973.91</v>
      </c>
      <c r="AC119" s="23">
        <v>17</v>
      </c>
      <c r="AD119" s="23">
        <v>21</v>
      </c>
    </row>
    <row r="120" spans="5:42" s="23" customFormat="1" x14ac:dyDescent="0.2">
      <c r="E120" s="38">
        <f t="shared" ca="1" si="48"/>
        <v>0</v>
      </c>
      <c r="F120" s="37">
        <f ca="1">Electric!X126</f>
        <v>35</v>
      </c>
      <c r="H120" s="32">
        <f ca="1">IF(ROW()&gt;(Electric!$Y$6-Electric!$Y$5+6),"",+Electric!V126)</f>
        <v>40553</v>
      </c>
      <c r="I120" s="33">
        <f ca="1">IF($H120="","",+Electric!F126)</f>
        <v>44800</v>
      </c>
      <c r="J120" s="43">
        <f ca="1">IF($H120="","",+Electric!G126)</f>
        <v>142</v>
      </c>
      <c r="K120" s="26">
        <f t="shared" ca="1" si="54"/>
        <v>5345.1076000000003</v>
      </c>
      <c r="L120" s="26">
        <f t="shared" ca="1" si="54"/>
        <v>4955.5675999999994</v>
      </c>
      <c r="M120" s="26">
        <f t="shared" ca="1" si="54"/>
        <v>5383.2975999999999</v>
      </c>
      <c r="N120" s="26">
        <f t="shared" ca="1" si="39"/>
        <v>120</v>
      </c>
      <c r="O120" s="26">
        <f t="shared" ca="1" si="56"/>
        <v>2549.1199999999935</v>
      </c>
      <c r="P120" s="73">
        <f t="shared" ca="1" si="40"/>
        <v>1462.6</v>
      </c>
      <c r="Q120" s="26">
        <f t="shared" ca="1" si="41"/>
        <v>143.36000000000001</v>
      </c>
      <c r="R120" s="26">
        <f t="shared" ca="1" si="42"/>
        <v>5383.2999999999993</v>
      </c>
      <c r="S120" s="26">
        <f t="shared" ca="1" si="43"/>
        <v>4614.1475999999993</v>
      </c>
      <c r="T120" s="26">
        <f t="shared" ca="1" si="55"/>
        <v>4417.9575999999988</v>
      </c>
      <c r="U120" s="26">
        <f t="shared" ca="1" si="55"/>
        <v>4019.2375999999999</v>
      </c>
      <c r="V120" s="26">
        <f t="shared" ca="1" si="44"/>
        <v>3.5</v>
      </c>
      <c r="W120" s="26">
        <f t="shared" ca="1" si="45"/>
        <v>3162.8800000000047</v>
      </c>
      <c r="X120" s="26">
        <f ca="1">VLOOKUP(DATE(YEAR(H120+Electric!AB126),MONTH(H120+Electric!AB126),1),'FAF &amp; DDs'!$A$2:$B$321,2,FALSE)*I120</f>
        <v>1108.2175999999999</v>
      </c>
      <c r="Y120" s="26">
        <f t="shared" ca="1" si="46"/>
        <v>143.36000000000001</v>
      </c>
      <c r="Z120" s="26">
        <f t="shared" ca="1" si="47"/>
        <v>4417.96</v>
      </c>
      <c r="AC120" s="23">
        <v>18</v>
      </c>
      <c r="AD120" s="23">
        <v>22</v>
      </c>
    </row>
    <row r="121" spans="5:42" s="23" customFormat="1" x14ac:dyDescent="0.2">
      <c r="E121" s="38">
        <f t="shared" ca="1" si="48"/>
        <v>0</v>
      </c>
      <c r="F121" s="37">
        <f ca="1">Electric!X127</f>
        <v>32</v>
      </c>
      <c r="H121" s="32">
        <f ca="1">IF(ROW()&gt;(Electric!$Y$6-Electric!$Y$5+6),"",+Electric!V127)</f>
        <v>40518</v>
      </c>
      <c r="I121" s="33">
        <f ca="1">IF($H121="","",+Electric!F127)</f>
        <v>42000</v>
      </c>
      <c r="J121" s="43">
        <f ca="1">IF($H121="","",+Electric!G127)</f>
        <v>130</v>
      </c>
      <c r="K121" s="26">
        <f t="shared" ca="1" si="54"/>
        <v>4871.8939999999993</v>
      </c>
      <c r="L121" s="26">
        <f t="shared" ca="1" si="54"/>
        <v>4506.9939999999997</v>
      </c>
      <c r="M121" s="26">
        <f t="shared" ca="1" si="54"/>
        <v>4906.4439999999995</v>
      </c>
      <c r="N121" s="26">
        <f t="shared" ca="1" si="39"/>
        <v>120</v>
      </c>
      <c r="O121" s="26">
        <f t="shared" ca="1" si="56"/>
        <v>2389.8000000000075</v>
      </c>
      <c r="P121" s="73">
        <f t="shared" ca="1" si="40"/>
        <v>1339.0000000000014</v>
      </c>
      <c r="Q121" s="26">
        <f t="shared" ca="1" si="41"/>
        <v>134.4</v>
      </c>
      <c r="R121" s="26">
        <f t="shared" ca="1" si="42"/>
        <v>4906.4400000000005</v>
      </c>
      <c r="S121" s="26">
        <f t="shared" ca="1" si="43"/>
        <v>4210.4939999999997</v>
      </c>
      <c r="T121" s="26">
        <f t="shared" ca="1" si="55"/>
        <v>4026.3440000000001</v>
      </c>
      <c r="U121" s="26">
        <f t="shared" ca="1" si="55"/>
        <v>3652.5440000000003</v>
      </c>
      <c r="V121" s="26">
        <f t="shared" ca="1" si="44"/>
        <v>3.5</v>
      </c>
      <c r="W121" s="26">
        <f t="shared" ca="1" si="45"/>
        <v>2965.1999999999907</v>
      </c>
      <c r="X121" s="26">
        <f ca="1">VLOOKUP(DATE(YEAR(H121+Electric!AB127),MONTH(H121+Electric!AB127),1),'FAF &amp; DDs'!$A$2:$B$321,2,FALSE)*I121</f>
        <v>923.24400000000003</v>
      </c>
      <c r="Y121" s="26">
        <f t="shared" ca="1" si="46"/>
        <v>134.4</v>
      </c>
      <c r="Z121" s="26">
        <f t="shared" ca="1" si="47"/>
        <v>4026.3399999999997</v>
      </c>
      <c r="AC121" s="23">
        <v>19</v>
      </c>
      <c r="AD121" s="23">
        <v>23</v>
      </c>
    </row>
    <row r="122" spans="5:42" s="23" customFormat="1" x14ac:dyDescent="0.2">
      <c r="E122" s="38">
        <f t="shared" ca="1" si="48"/>
        <v>0</v>
      </c>
      <c r="F122" s="37">
        <f ca="1">Electric!X128</f>
        <v>27</v>
      </c>
      <c r="H122" s="32">
        <f ca="1">IF(ROW()&gt;(Electric!$Y$6-Electric!$Y$5+6),"",+Electric!V128)</f>
        <v>40486</v>
      </c>
      <c r="I122" s="33">
        <f ca="1">IF($H122="","",+Electric!F128)</f>
        <v>37400</v>
      </c>
      <c r="J122" s="43">
        <f ca="1">IF($H122="","",+Electric!G128)</f>
        <v>140</v>
      </c>
      <c r="K122" s="26">
        <f t="shared" ca="1" si="54"/>
        <v>4419.4246000000003</v>
      </c>
      <c r="L122" s="26">
        <f t="shared" ca="1" si="54"/>
        <v>4095.0046000000002</v>
      </c>
      <c r="M122" s="26">
        <f t="shared" ca="1" si="54"/>
        <v>4527.0346</v>
      </c>
      <c r="N122" s="26">
        <f t="shared" ca="1" si="39"/>
        <v>120</v>
      </c>
      <c r="O122" s="26">
        <f t="shared" ca="1" si="56"/>
        <v>2128.0599999999959</v>
      </c>
      <c r="P122" s="73">
        <f t="shared" ca="1" si="40"/>
        <v>1442.0000000000018</v>
      </c>
      <c r="Q122" s="26">
        <f t="shared" ca="1" si="41"/>
        <v>119.68</v>
      </c>
      <c r="R122" s="26">
        <f t="shared" ca="1" si="42"/>
        <v>4527.03</v>
      </c>
      <c r="S122" s="26">
        <f t="shared" ca="1" si="43"/>
        <v>3645.2846</v>
      </c>
      <c r="T122" s="26">
        <f t="shared" ca="1" si="55"/>
        <v>3480.9146000000001</v>
      </c>
      <c r="U122" s="26">
        <f t="shared" ca="1" si="55"/>
        <v>3148.0545999999999</v>
      </c>
      <c r="V122" s="26">
        <f t="shared" ca="1" si="44"/>
        <v>3.5</v>
      </c>
      <c r="W122" s="26">
        <f t="shared" ca="1" si="45"/>
        <v>2640.4399999999978</v>
      </c>
      <c r="X122" s="26">
        <f ca="1">VLOOKUP(DATE(YEAR(H122+Electric!AB128),MONTH(H122+Electric!AB128),1),'FAF &amp; DDs'!$A$2:$B$321,2,FALSE)*I122</f>
        <v>717.29460000000006</v>
      </c>
      <c r="Y122" s="26">
        <f t="shared" ca="1" si="46"/>
        <v>119.68</v>
      </c>
      <c r="Z122" s="26">
        <f t="shared" ca="1" si="47"/>
        <v>3480.91</v>
      </c>
      <c r="AC122" s="23">
        <v>20</v>
      </c>
      <c r="AD122" s="23">
        <v>24</v>
      </c>
    </row>
    <row r="123" spans="5:42" s="23" customFormat="1" x14ac:dyDescent="0.2">
      <c r="E123" s="38">
        <f t="shared" ca="1" si="48"/>
        <v>6</v>
      </c>
      <c r="F123" s="37">
        <f ca="1">Electric!X129</f>
        <v>29</v>
      </c>
      <c r="H123" s="32">
        <f ca="1">IF(ROW()&gt;(Electric!$Y$6-Electric!$Y$5+6),"",+Electric!V129)</f>
        <v>40459</v>
      </c>
      <c r="I123" s="33">
        <f ca="1">IF($H123="","",+Electric!F129)</f>
        <v>48200</v>
      </c>
      <c r="J123" s="43">
        <f ca="1">IF($H123="","",+Electric!G129)</f>
        <v>150</v>
      </c>
      <c r="K123" s="26">
        <f t="shared" ca="1" si="54"/>
        <v>5448.5999724137937</v>
      </c>
      <c r="L123" s="26">
        <f t="shared" ca="1" si="54"/>
        <v>5037.279820689655</v>
      </c>
      <c r="M123" s="26">
        <f t="shared" ca="1" si="54"/>
        <v>5479.1838482758621</v>
      </c>
      <c r="N123" s="26">
        <f t="shared" ca="1" si="39"/>
        <v>120</v>
      </c>
      <c r="O123" s="26">
        <f t="shared" ca="1" si="56"/>
        <v>2820.3616000000025</v>
      </c>
      <c r="P123" s="73">
        <f t="shared" ca="1" si="40"/>
        <v>1602.1034482758575</v>
      </c>
      <c r="Q123" s="26">
        <f t="shared" ca="1" si="41"/>
        <v>154.24</v>
      </c>
      <c r="R123" s="26">
        <f t="shared" ca="1" si="42"/>
        <v>5479.18</v>
      </c>
      <c r="S123" s="26">
        <f t="shared" ca="1" si="43"/>
        <v>4655.6632</v>
      </c>
      <c r="T123" s="26">
        <f t="shared" ca="1" si="55"/>
        <v>4487.7327999999998</v>
      </c>
      <c r="U123" s="26">
        <f t="shared" ca="1" si="55"/>
        <v>4147.5035999999991</v>
      </c>
      <c r="V123" s="26">
        <f t="shared" ca="1" si="44"/>
        <v>3.5</v>
      </c>
      <c r="W123" s="26">
        <f t="shared" ca="1" si="45"/>
        <v>3547.5140000000047</v>
      </c>
      <c r="X123" s="26">
        <f ca="1">VLOOKUP(DATE(YEAR(H123+Electric!AB129),MONTH(H123+Electric!AB129),1),'FAF &amp; DDs'!$A$2:$B$321,2,FALSE)*I123</f>
        <v>782.47879999999998</v>
      </c>
      <c r="Y123" s="26">
        <f t="shared" ca="1" si="46"/>
        <v>154.24</v>
      </c>
      <c r="Z123" s="26">
        <f t="shared" ca="1" si="47"/>
        <v>4487.7299999999996</v>
      </c>
    </row>
    <row r="124" spans="5:42" s="23" customFormat="1" x14ac:dyDescent="0.2">
      <c r="E124" s="38">
        <f t="shared" ca="1" si="48"/>
        <v>31</v>
      </c>
      <c r="F124" s="37">
        <f ca="1">Electric!X130</f>
        <v>31</v>
      </c>
      <c r="H124" s="32">
        <f ca="1">IF(ROW()&gt;(Electric!$Y$6-Electric!$Y$5+6),"",+Electric!V130)</f>
        <v>40430</v>
      </c>
      <c r="I124" s="33">
        <f ca="1">IF($H124="","",+Electric!F130)</f>
        <v>55000</v>
      </c>
      <c r="J124" s="43">
        <f ca="1">IF($H124="","",+Electric!G130)</f>
        <v>170</v>
      </c>
      <c r="K124" s="26">
        <f t="shared" ca="1" si="54"/>
        <v>6984.9549999999999</v>
      </c>
      <c r="L124" s="26">
        <f t="shared" ca="1" si="54"/>
        <v>6549.7549999999992</v>
      </c>
      <c r="M124" s="26">
        <f t="shared" ca="1" si="54"/>
        <v>7024.4049999999988</v>
      </c>
      <c r="N124" s="26">
        <f t="shared" ca="1" si="39"/>
        <v>120</v>
      </c>
      <c r="O124" s="26">
        <f t="shared" ca="1" si="56"/>
        <v>3558.4999999999995</v>
      </c>
      <c r="P124" s="73">
        <f t="shared" ca="1" si="40"/>
        <v>2063.8000000000002</v>
      </c>
      <c r="Q124" s="26">
        <f t="shared" ca="1" si="41"/>
        <v>176</v>
      </c>
      <c r="R124" s="26">
        <f t="shared" ca="1" si="42"/>
        <v>7024.41</v>
      </c>
      <c r="S124" s="26">
        <f t="shared" ca="1" si="43"/>
        <v>5969.6550000000007</v>
      </c>
      <c r="T124" s="26">
        <f t="shared" ca="1" si="55"/>
        <v>5966.1049999999996</v>
      </c>
      <c r="U124" s="26">
        <f t="shared" ca="1" si="55"/>
        <v>5966.1049999999996</v>
      </c>
      <c r="V124" s="26">
        <f t="shared" ca="1" si="44"/>
        <v>3.5</v>
      </c>
      <c r="W124" s="26">
        <f t="shared" ca="1" si="45"/>
        <v>4680.5</v>
      </c>
      <c r="X124" s="26">
        <f ca="1">VLOOKUP(DATE(YEAR(H124+Electric!AB130),MONTH(H124+Electric!AB130),1),'FAF &amp; DDs'!$A$2:$B$321,2,FALSE)*I124</f>
        <v>1106.105</v>
      </c>
      <c r="Y124" s="26">
        <f t="shared" ca="1" si="46"/>
        <v>176</v>
      </c>
      <c r="Z124" s="26">
        <f t="shared" ca="1" si="47"/>
        <v>5966.11</v>
      </c>
    </row>
    <row r="125" spans="5:42" s="23" customFormat="1" x14ac:dyDescent="0.2">
      <c r="E125" s="38">
        <f t="shared" ca="1" si="48"/>
        <v>32</v>
      </c>
      <c r="F125" s="37">
        <f ca="1">Electric!X131</f>
        <v>32</v>
      </c>
      <c r="H125" s="32">
        <f ca="1">IF(ROW()&gt;(Electric!$Y$6-Electric!$Y$5+6),"",+Electric!V131)</f>
        <v>40399</v>
      </c>
      <c r="I125" s="33">
        <f ca="1">IF($H125="","",+Electric!F131)</f>
        <v>67400</v>
      </c>
      <c r="J125" s="43">
        <f ca="1">IF($H125="","",+Electric!G131)</f>
        <v>172</v>
      </c>
      <c r="K125" s="26">
        <f t="shared" ca="1" si="54"/>
        <v>8284.4320000000007</v>
      </c>
      <c r="L125" s="26">
        <f t="shared" ca="1" si="54"/>
        <v>7725.3520000000008</v>
      </c>
      <c r="M125" s="26">
        <f t="shared" ca="1" si="54"/>
        <v>8201.9619999999995</v>
      </c>
      <c r="N125" s="26">
        <f t="shared" ca="1" si="39"/>
        <v>120</v>
      </c>
      <c r="O125" s="26">
        <f t="shared" ca="1" si="56"/>
        <v>4360.78</v>
      </c>
      <c r="P125" s="73">
        <f t="shared" ca="1" si="40"/>
        <v>2088.08</v>
      </c>
      <c r="Q125" s="26">
        <f t="shared" ca="1" si="41"/>
        <v>215.68</v>
      </c>
      <c r="R125" s="26">
        <f t="shared" ca="1" si="42"/>
        <v>8201.9599999999991</v>
      </c>
      <c r="S125" s="26">
        <f t="shared" ca="1" si="43"/>
        <v>7375.8919999999998</v>
      </c>
      <c r="T125" s="26">
        <f t="shared" ca="1" si="55"/>
        <v>7372.3420000000006</v>
      </c>
      <c r="U125" s="26">
        <f t="shared" ca="1" si="55"/>
        <v>7372.3420000000006</v>
      </c>
      <c r="V125" s="26">
        <f t="shared" ca="1" si="44"/>
        <v>3.5</v>
      </c>
      <c r="W125" s="26">
        <f t="shared" ca="1" si="45"/>
        <v>5735.74</v>
      </c>
      <c r="X125" s="26">
        <f ca="1">VLOOKUP(DATE(YEAR(H125+Electric!AB131),MONTH(H125+Electric!AB131),1),'FAF &amp; DDs'!$A$2:$B$321,2,FALSE)*I125</f>
        <v>1417.422</v>
      </c>
      <c r="Y125" s="26">
        <f t="shared" ca="1" si="46"/>
        <v>215.68</v>
      </c>
      <c r="Z125" s="26">
        <f t="shared" ca="1" si="47"/>
        <v>7372.34</v>
      </c>
    </row>
    <row r="126" spans="5:42" s="23" customFormat="1" x14ac:dyDescent="0.2">
      <c r="E126" s="38">
        <f t="shared" ca="1" si="48"/>
        <v>30</v>
      </c>
      <c r="F126" s="37">
        <f ca="1">Electric!X132</f>
        <v>30</v>
      </c>
      <c r="H126" s="32">
        <f ca="1">IF(ROW()&gt;(Electric!$Y$6-Electric!$Y$5+6),"",+Electric!V132)</f>
        <v>40367</v>
      </c>
      <c r="I126" s="33">
        <f ca="1">IF($H126="","",+Electric!F132)</f>
        <v>52600</v>
      </c>
      <c r="J126" s="43">
        <f ca="1">IF($H126="","",+Electric!G132)</f>
        <v>166</v>
      </c>
      <c r="K126" s="26">
        <f t="shared" ref="K126:M145" ca="1" si="57">(1-$O$2)*(IF(OR($F126&gt;$F$3,$F126&lt;$F$2),$F126,30)/30*HLOOKUP(($H126+$Q$1),$AC$80:$AQ$98,MATCH(VALUE(RIGHT(TRIM(K$5),2)),$AB$80:$AB$98,0))+"CC"+(ROUND(($E126/$F126)*$I126,0)*HLOOKUP(($H126+$Q$1),$AC$30:$AQ$48,MATCH(VALUE(RIGHT(TRIM(K$5),2)),$AB$30:$AB$48,0))+"Summer kWh"+ROUND((($F126-$E126)/$F126)*$I126,0)*HLOOKUP(($H126+$Q$1),$AC$8:$AQ$26,MATCH(VALUE(RIGHT(TRIM(K$5),2)),$AB$8:$AB$26,0))+"Winter kWh")+(IF(($H126+$Q$1)&gt;DATE(2009,7,1),$I126*0.0209*$O$3,0)+"State Wind Energy kWh Surcharge")+($E126/IF($F126&lt;=$F$3,$F126,30)*$J126*HLOOKUP(($H126+$Q$1),$AC$66:$AQ$76,MATCH(VALUE(RIGHT(TRIM(K$5),2)),$AB$66:$AB$76,0))+"Summer kW"+(($F126-$E126)/IF($F126&lt;=$F$3,$F126,30)*$J126)*HLOOKUP(($H126+$Q$1),$AC$52:$AQ$62,MATCH(VALUE(RIGHT(TRIM(K$5),2)),$AB$52:$AB$62,0))+"Winter kW")+$X126)+$Q126</f>
        <v>6850.0183999999999</v>
      </c>
      <c r="L126" s="26">
        <f t="shared" ca="1" si="57"/>
        <v>6436.3383999999996</v>
      </c>
      <c r="M126" s="26">
        <f t="shared" ca="1" si="57"/>
        <v>6902.5883999999996</v>
      </c>
      <c r="N126" s="26">
        <f t="shared" ca="1" si="39"/>
        <v>120</v>
      </c>
      <c r="O126" s="26">
        <f t="shared" ca="1" si="56"/>
        <v>3403.22</v>
      </c>
      <c r="P126" s="73">
        <f t="shared" ca="1" si="40"/>
        <v>2015.24</v>
      </c>
      <c r="Q126" s="26">
        <f t="shared" ca="1" si="41"/>
        <v>168.32000000000002</v>
      </c>
      <c r="R126" s="26">
        <f t="shared" ca="1" si="42"/>
        <v>6902.59</v>
      </c>
      <c r="S126" s="26">
        <f t="shared" ca="1" si="43"/>
        <v>5847.4383999999991</v>
      </c>
      <c r="T126" s="26">
        <f t="shared" ref="T126:U145" ca="1" si="58">IF(OR($F126&gt;$F$3,$F126&lt;$F$2),$F126,30)/30*HLOOKUP(($H126+$Q$1),$AC$80:$AQ$98,MATCH(VALUE(RIGHT(TRIM(T$5),2)),$AB$80:$AB$98,0))+"CC"++(ROUND(($E126/$F126)*$I126,0)*HLOOKUP(($H126),$AC$30:$AQ$48,MATCH(VALUE(RIGHT(TRIM(T$5),2)),$AB$30:$AB$48,0))+"Summer kWh"+ROUND((($F126-$E126)/$F126)*$I126,0)*HLOOKUP(($H126),$AC$8:$AQ$26,MATCH(VALUE(RIGHT(TRIM(T$5),2)),$AB$8:$AB$26,0))+"Winter kWh")+(IF($H126&gt;DATE(2009,7,1),$I126*0.0209*$O$3,0)+"State Wind Energy kWh Surcharge")+$X126+$Q126</f>
        <v>5843.8883999999989</v>
      </c>
      <c r="U126" s="26">
        <f t="shared" ca="1" si="58"/>
        <v>5843.8883999999989</v>
      </c>
      <c r="V126" s="26">
        <f t="shared" ca="1" si="44"/>
        <v>3.5</v>
      </c>
      <c r="W126" s="26">
        <f t="shared" ca="1" si="45"/>
        <v>4476.2599999999993</v>
      </c>
      <c r="X126" s="26">
        <f ca="1">VLOOKUP(DATE(YEAR(H126+Electric!AB132),MONTH(H126+Electric!AB132),1),'FAF &amp; DDs'!$A$2:$B$321,2,FALSE)*I126</f>
        <v>1195.8084000000001</v>
      </c>
      <c r="Y126" s="26">
        <f t="shared" ca="1" si="46"/>
        <v>168.32000000000002</v>
      </c>
      <c r="Z126" s="26">
        <f t="shared" ca="1" si="47"/>
        <v>5843.8899999999994</v>
      </c>
    </row>
    <row r="127" spans="5:42" s="23" customFormat="1" x14ac:dyDescent="0.2">
      <c r="E127" s="38">
        <f t="shared" ca="1" si="48"/>
        <v>24</v>
      </c>
      <c r="F127" s="37">
        <f ca="1">Electric!X133</f>
        <v>32</v>
      </c>
      <c r="H127" s="32">
        <f ca="1">IF(ROW()&gt;(Electric!$Y$6-Electric!$Y$5+6),"",+Electric!V133)</f>
        <v>40337</v>
      </c>
      <c r="I127" s="33">
        <f ca="1">IF($H127="","",+Electric!F133)</f>
        <v>54600</v>
      </c>
      <c r="J127" s="43">
        <f ca="1">IF($H127="","",+Electric!G133)</f>
        <v>180</v>
      </c>
      <c r="K127" s="26">
        <f t="shared" ca="1" si="57"/>
        <v>6632.5338000000002</v>
      </c>
      <c r="L127" s="26">
        <f t="shared" ca="1" si="57"/>
        <v>6195.3188</v>
      </c>
      <c r="M127" s="26">
        <f t="shared" ca="1" si="57"/>
        <v>6697.0337999999992</v>
      </c>
      <c r="N127" s="26">
        <f t="shared" ca="1" si="39"/>
        <v>120</v>
      </c>
      <c r="O127" s="26">
        <f t="shared" ca="1" si="56"/>
        <v>3426.1499999999992</v>
      </c>
      <c r="P127" s="73">
        <f t="shared" ca="1" si="40"/>
        <v>2102.4000000000019</v>
      </c>
      <c r="Q127" s="26">
        <f t="shared" ca="1" si="41"/>
        <v>174.72</v>
      </c>
      <c r="R127" s="26">
        <f t="shared" ca="1" si="42"/>
        <v>6697.0300000000007</v>
      </c>
      <c r="S127" s="26">
        <f t="shared" ca="1" si="43"/>
        <v>5562.7637999999997</v>
      </c>
      <c r="T127" s="26">
        <f t="shared" ca="1" si="58"/>
        <v>5500.5187999999998</v>
      </c>
      <c r="U127" s="26">
        <f t="shared" ca="1" si="58"/>
        <v>5379.0337999999992</v>
      </c>
      <c r="V127" s="26">
        <f t="shared" ca="1" si="44"/>
        <v>3.5</v>
      </c>
      <c r="W127" s="26">
        <f t="shared" ca="1" si="45"/>
        <v>4448.5349999999999</v>
      </c>
      <c r="X127" s="26">
        <f ca="1">VLOOKUP(DATE(YEAR(H127+Electric!AB133),MONTH(H127+Electric!AB133),1),'FAF &amp; DDs'!$A$2:$B$321,2,FALSE)*I127</f>
        <v>873.76379999999995</v>
      </c>
      <c r="Y127" s="26">
        <f t="shared" ca="1" si="46"/>
        <v>174.72</v>
      </c>
      <c r="Z127" s="26">
        <f t="shared" ca="1" si="47"/>
        <v>5500.52</v>
      </c>
    </row>
    <row r="128" spans="5:42" s="23" customFormat="1" x14ac:dyDescent="0.2">
      <c r="E128" s="38">
        <f t="shared" ca="1" si="48"/>
        <v>0</v>
      </c>
      <c r="F128" s="37">
        <f ca="1">Electric!X134</f>
        <v>29</v>
      </c>
      <c r="H128" s="32">
        <f ca="1">IF(ROW()&gt;(Electric!$Y$6-Electric!$Y$5+6),"",+Electric!V134)</f>
        <v>40305</v>
      </c>
      <c r="I128" s="33">
        <f ca="1">IF($H128="","",+Electric!F134)</f>
        <v>42200</v>
      </c>
      <c r="J128" s="43">
        <f ca="1">IF($H128="","",+Electric!G134)</f>
        <v>140</v>
      </c>
      <c r="K128" s="26">
        <f t="shared" ca="1" si="57"/>
        <v>4646.3901999999998</v>
      </c>
      <c r="L128" s="26">
        <f t="shared" ca="1" si="57"/>
        <v>4279.7302</v>
      </c>
      <c r="M128" s="26">
        <f t="shared" ca="1" si="57"/>
        <v>4705.5201999999999</v>
      </c>
      <c r="N128" s="26">
        <f t="shared" ca="1" si="39"/>
        <v>120</v>
      </c>
      <c r="O128" s="26">
        <f t="shared" ca="1" si="56"/>
        <v>2401.180000000003</v>
      </c>
      <c r="P128" s="73">
        <f t="shared" ca="1" si="40"/>
        <v>1441.9999999999991</v>
      </c>
      <c r="Q128" s="26">
        <f t="shared" ca="1" si="41"/>
        <v>135.04000000000002</v>
      </c>
      <c r="R128" s="26">
        <f t="shared" ca="1" si="42"/>
        <v>4705.5200000000004</v>
      </c>
      <c r="S128" s="26">
        <f t="shared" ca="1" si="43"/>
        <v>3910.1702</v>
      </c>
      <c r="T128" s="26">
        <f t="shared" ca="1" si="58"/>
        <v>3725.1601999999998</v>
      </c>
      <c r="U128" s="26">
        <f t="shared" ca="1" si="58"/>
        <v>3349.5801999999999</v>
      </c>
      <c r="V128" s="26">
        <f t="shared" ca="1" si="44"/>
        <v>3.5</v>
      </c>
      <c r="W128" s="26">
        <f t="shared" ca="1" si="45"/>
        <v>2979.3200000000047</v>
      </c>
      <c r="X128" s="26">
        <f ca="1">VLOOKUP(DATE(YEAR(H128+Electric!AB134),MONTH(H128+Electric!AB134),1),'FAF &amp; DDs'!$A$2:$B$321,2,FALSE)*I128</f>
        <v>607.30020000000002</v>
      </c>
      <c r="Y128" s="26">
        <f t="shared" ca="1" si="46"/>
        <v>135.04000000000002</v>
      </c>
      <c r="Z128" s="26">
        <f t="shared" ca="1" si="47"/>
        <v>3725.16</v>
      </c>
    </row>
    <row r="129" spans="5:26" s="23" customFormat="1" x14ac:dyDescent="0.2">
      <c r="E129" s="38">
        <f t="shared" ca="1" si="48"/>
        <v>0</v>
      </c>
      <c r="F129" s="37">
        <f ca="1">Electric!X135</f>
        <v>31</v>
      </c>
      <c r="H129" s="32">
        <f ca="1">IF(ROW()&gt;(Electric!$Y$6-Electric!$Y$5+6),"",+Electric!V135)</f>
        <v>40276</v>
      </c>
      <c r="I129" s="33">
        <f ca="1">IF($H129="","",+Electric!F135)</f>
        <v>46200</v>
      </c>
      <c r="J129" s="43">
        <f ca="1">IF($H129="","",+Electric!G135)</f>
        <v>140</v>
      </c>
      <c r="K129" s="26">
        <f t="shared" ca="1" si="57"/>
        <v>5128.6210000000001</v>
      </c>
      <c r="L129" s="26">
        <f t="shared" ca="1" si="57"/>
        <v>4726.7610000000004</v>
      </c>
      <c r="M129" s="26">
        <f t="shared" ca="1" si="57"/>
        <v>5147.3509999999997</v>
      </c>
      <c r="N129" s="26">
        <f t="shared" ca="1" si="39"/>
        <v>120</v>
      </c>
      <c r="O129" s="26">
        <f t="shared" ca="1" si="56"/>
        <v>2628.7799999999993</v>
      </c>
      <c r="P129" s="73">
        <f t="shared" ca="1" si="40"/>
        <v>1442.0000000000009</v>
      </c>
      <c r="Q129" s="26">
        <f t="shared" ca="1" si="41"/>
        <v>147.84</v>
      </c>
      <c r="R129" s="26">
        <f t="shared" ca="1" si="42"/>
        <v>5147.3500000000004</v>
      </c>
      <c r="S129" s="26">
        <f t="shared" ca="1" si="43"/>
        <v>4424.0010000000002</v>
      </c>
      <c r="T129" s="26">
        <f t="shared" ca="1" si="58"/>
        <v>4221.7910000000002</v>
      </c>
      <c r="U129" s="26">
        <f t="shared" ca="1" si="58"/>
        <v>3810.6109999999999</v>
      </c>
      <c r="V129" s="26">
        <f t="shared" ca="1" si="44"/>
        <v>3.5</v>
      </c>
      <c r="W129" s="26">
        <f t="shared" ca="1" si="45"/>
        <v>3261.7200000000012</v>
      </c>
      <c r="X129" s="26">
        <f ca="1">VLOOKUP(DATE(YEAR(H129+Electric!AB135),MONTH(H129+Electric!AB135),1),'FAF &amp; DDs'!$A$2:$B$321,2,FALSE)*I129</f>
        <v>808.73099999999999</v>
      </c>
      <c r="Y129" s="26">
        <f t="shared" ca="1" si="46"/>
        <v>147.84</v>
      </c>
      <c r="Z129" s="26">
        <f t="shared" ca="1" si="47"/>
        <v>4221.79</v>
      </c>
    </row>
    <row r="130" spans="5:26" s="23" customFormat="1" x14ac:dyDescent="0.2">
      <c r="E130" s="38">
        <f t="shared" ca="1" si="48"/>
        <v>0</v>
      </c>
      <c r="F130" s="37">
        <f ca="1">Electric!X136</f>
        <v>28</v>
      </c>
      <c r="H130" s="32">
        <f ca="1">IF(ROW()&gt;(Electric!$Y$6-Electric!$Y$5+6),"",+Electric!V136)</f>
        <v>40245</v>
      </c>
      <c r="I130" s="33">
        <f ca="1">IF($H130="","",+Electric!F136)</f>
        <v>38400</v>
      </c>
      <c r="J130" s="43">
        <f ca="1">IF($H130="","",+Electric!G136)</f>
        <v>134</v>
      </c>
      <c r="K130" s="26">
        <f t="shared" ca="1" si="57"/>
        <v>4163.4436000000005</v>
      </c>
      <c r="L130" s="26">
        <f t="shared" ca="1" si="57"/>
        <v>3830.2236000000003</v>
      </c>
      <c r="M130" s="26">
        <f t="shared" ca="1" si="57"/>
        <v>4244.9935999999998</v>
      </c>
      <c r="N130" s="26">
        <f t="shared" ca="1" si="39"/>
        <v>120</v>
      </c>
      <c r="O130" s="26">
        <f t="shared" ca="1" si="56"/>
        <v>2184.9599999999941</v>
      </c>
      <c r="P130" s="73">
        <f t="shared" ca="1" si="40"/>
        <v>1380.1999999999982</v>
      </c>
      <c r="Q130" s="26">
        <f t="shared" ca="1" si="41"/>
        <v>122.88000000000001</v>
      </c>
      <c r="R130" s="26">
        <f t="shared" ca="1" si="42"/>
        <v>4244.99</v>
      </c>
      <c r="S130" s="26">
        <f t="shared" ca="1" si="43"/>
        <v>3443.0436</v>
      </c>
      <c r="T130" s="26">
        <f t="shared" ca="1" si="58"/>
        <v>3274.3735999999999</v>
      </c>
      <c r="U130" s="26">
        <f t="shared" ca="1" si="58"/>
        <v>2932.6135999999997</v>
      </c>
      <c r="V130" s="26">
        <f t="shared" ca="1" si="44"/>
        <v>3.5</v>
      </c>
      <c r="W130" s="26">
        <f t="shared" ca="1" si="45"/>
        <v>2711.0399999999959</v>
      </c>
      <c r="X130" s="26">
        <f ca="1">VLOOKUP(DATE(YEAR(H130+Electric!AB136),MONTH(H130+Electric!AB136),1),'FAF &amp; DDs'!$A$2:$B$321,2,FALSE)*I130</f>
        <v>436.95359999999999</v>
      </c>
      <c r="Y130" s="26">
        <f t="shared" ca="1" si="46"/>
        <v>122.88000000000001</v>
      </c>
      <c r="Z130" s="26">
        <f t="shared" ca="1" si="47"/>
        <v>3274.37</v>
      </c>
    </row>
    <row r="131" spans="5:26" s="23" customFormat="1" x14ac:dyDescent="0.2">
      <c r="E131" s="38">
        <f t="shared" ca="1" si="48"/>
        <v>0</v>
      </c>
      <c r="F131" s="37">
        <f ca="1">Electric!X137</f>
        <v>28</v>
      </c>
      <c r="H131" s="32">
        <f ca="1">IF(ROW()&gt;(Electric!$Y$6-Electric!$Y$5+6),"",+Electric!V137)</f>
        <v>40217</v>
      </c>
      <c r="I131" s="33">
        <f ca="1">IF($H131="","",+Electric!F137)</f>
        <v>40400</v>
      </c>
      <c r="J131" s="43">
        <f ca="1">IF($H131="","",+Electric!G137)</f>
        <v>140</v>
      </c>
      <c r="K131" s="26">
        <f t="shared" ca="1" si="57"/>
        <v>4608.7007999999996</v>
      </c>
      <c r="L131" s="26">
        <f t="shared" ca="1" si="57"/>
        <v>4257.8807999999999</v>
      </c>
      <c r="M131" s="26">
        <f t="shared" ca="1" si="57"/>
        <v>4686.0107999999991</v>
      </c>
      <c r="N131" s="26">
        <f t="shared" ca="1" si="39"/>
        <v>120</v>
      </c>
      <c r="O131" s="26">
        <f t="shared" ca="1" si="56"/>
        <v>2298.7600000000043</v>
      </c>
      <c r="P131" s="73">
        <f t="shared" ca="1" si="40"/>
        <v>1441.9999999999982</v>
      </c>
      <c r="Q131" s="26">
        <f t="shared" ca="1" si="41"/>
        <v>129.28</v>
      </c>
      <c r="R131" s="26">
        <f t="shared" ca="1" si="42"/>
        <v>4686.01</v>
      </c>
      <c r="S131" s="26">
        <f t="shared" ca="1" si="43"/>
        <v>3858.2608</v>
      </c>
      <c r="T131" s="26">
        <f t="shared" ca="1" si="58"/>
        <v>3680.9908</v>
      </c>
      <c r="U131" s="26">
        <f t="shared" ca="1" si="58"/>
        <v>3321.4308000000001</v>
      </c>
      <c r="V131" s="26">
        <f t="shared" ca="1" si="44"/>
        <v>3.5</v>
      </c>
      <c r="W131" s="26">
        <f t="shared" ca="1" si="45"/>
        <v>2852.2399999999961</v>
      </c>
      <c r="X131" s="26">
        <f ca="1">VLOOKUP(DATE(YEAR(H131+Electric!AB137),MONTH(H131+Electric!AB137),1),'FAF &amp; DDs'!$A$2:$B$321,2,FALSE)*I131</f>
        <v>695.97079999999994</v>
      </c>
      <c r="Y131" s="26">
        <f t="shared" ca="1" si="46"/>
        <v>129.28</v>
      </c>
      <c r="Z131" s="26">
        <f t="shared" ca="1" si="47"/>
        <v>3680.9900000000002</v>
      </c>
    </row>
    <row r="132" spans="5:26" s="23" customFormat="1" x14ac:dyDescent="0.2">
      <c r="E132" s="38">
        <f t="shared" ca="1" si="48"/>
        <v>0</v>
      </c>
      <c r="F132" s="37">
        <f ca="1">Electric!X138</f>
        <v>34</v>
      </c>
      <c r="H132" s="32">
        <f ca="1">IF(ROW()&gt;(Electric!$Y$6-Electric!$Y$5+6),"",+Electric!V138)</f>
        <v>40189</v>
      </c>
      <c r="I132" s="33">
        <f ca="1">IF($H132="","",+Electric!F138)</f>
        <v>44000</v>
      </c>
      <c r="J132" s="43">
        <f ca="1">IF($H132="","",+Electric!G138)</f>
        <v>128</v>
      </c>
      <c r="K132" s="26">
        <f t="shared" ca="1" si="57"/>
        <v>4804.8740000000007</v>
      </c>
      <c r="L132" s="26">
        <f t="shared" ca="1" si="57"/>
        <v>4422.3740000000007</v>
      </c>
      <c r="M132" s="26">
        <f t="shared" ca="1" si="57"/>
        <v>4813.9040000000005</v>
      </c>
      <c r="N132" s="26">
        <f t="shared" ca="1" si="39"/>
        <v>120</v>
      </c>
      <c r="O132" s="26">
        <f t="shared" ca="1" si="56"/>
        <v>2503.600000000004</v>
      </c>
      <c r="P132" s="73">
        <f t="shared" ca="1" si="40"/>
        <v>1318.4000000000028</v>
      </c>
      <c r="Q132" s="26">
        <f t="shared" ca="1" si="41"/>
        <v>140.80000000000001</v>
      </c>
      <c r="R132" s="26">
        <f t="shared" ca="1" si="42"/>
        <v>4813.9000000000005</v>
      </c>
      <c r="S132" s="26">
        <f t="shared" ca="1" si="43"/>
        <v>4174.5540000000001</v>
      </c>
      <c r="T132" s="26">
        <f t="shared" ca="1" si="58"/>
        <v>3981.8039999999996</v>
      </c>
      <c r="U132" s="26">
        <f t="shared" ca="1" si="58"/>
        <v>3590.2039999999997</v>
      </c>
      <c r="V132" s="26">
        <f t="shared" ca="1" si="44"/>
        <v>3.5</v>
      </c>
      <c r="W132" s="26">
        <f t="shared" ca="1" si="45"/>
        <v>3106.400000000006</v>
      </c>
      <c r="X132" s="26">
        <f ca="1">VLOOKUP(DATE(YEAR(H132+Electric!AB138),MONTH(H132+Electric!AB138),1),'FAF &amp; DDs'!$A$2:$B$321,2,FALSE)*I132</f>
        <v>731.10399999999993</v>
      </c>
      <c r="Y132" s="26">
        <f t="shared" ca="1" si="46"/>
        <v>140.80000000000001</v>
      </c>
      <c r="Z132" s="26">
        <f t="shared" ca="1" si="47"/>
        <v>3981.8</v>
      </c>
    </row>
    <row r="133" spans="5:26" s="23" customFormat="1" x14ac:dyDescent="0.2">
      <c r="E133" s="38">
        <f t="shared" ca="1" si="48"/>
        <v>0</v>
      </c>
      <c r="F133" s="37">
        <f ca="1">Electric!X139</f>
        <v>29</v>
      </c>
      <c r="H133" s="32">
        <f ca="1">IF(ROW()&gt;(Electric!$Y$6-Electric!$Y$5+6),"",+Electric!V139)</f>
        <v>40155</v>
      </c>
      <c r="I133" s="33">
        <f ca="1">IF($H133="","",+Electric!F139)</f>
        <v>37600</v>
      </c>
      <c r="J133" s="43">
        <f ca="1">IF($H133="","",+Electric!G139)</f>
        <v>114</v>
      </c>
      <c r="K133" s="26">
        <f t="shared" ca="1" si="57"/>
        <v>4308.1451999999999</v>
      </c>
      <c r="L133" s="26">
        <f t="shared" ca="1" si="57"/>
        <v>3981.9652000000006</v>
      </c>
      <c r="M133" s="26">
        <f t="shared" ca="1" si="57"/>
        <v>4344.5752000000002</v>
      </c>
      <c r="N133" s="26">
        <f t="shared" ca="1" si="39"/>
        <v>120</v>
      </c>
      <c r="O133" s="26">
        <f t="shared" ca="1" si="56"/>
        <v>2139.4399999999932</v>
      </c>
      <c r="P133" s="73">
        <f t="shared" ca="1" si="40"/>
        <v>1174.1999999999991</v>
      </c>
      <c r="Q133" s="26">
        <f t="shared" ca="1" si="41"/>
        <v>120.32000000000001</v>
      </c>
      <c r="R133" s="26">
        <f t="shared" ca="1" si="42"/>
        <v>4344.5800000000008</v>
      </c>
      <c r="S133" s="26">
        <f t="shared" ca="1" si="43"/>
        <v>3734.2252000000003</v>
      </c>
      <c r="T133" s="26">
        <f t="shared" ca="1" si="58"/>
        <v>3568.9952000000003</v>
      </c>
      <c r="U133" s="26">
        <f t="shared" ca="1" si="58"/>
        <v>3234.3552000000004</v>
      </c>
      <c r="V133" s="26">
        <f t="shared" ca="1" si="44"/>
        <v>3.5</v>
      </c>
      <c r="W133" s="26">
        <f t="shared" ca="1" si="45"/>
        <v>2654.5599999999949</v>
      </c>
      <c r="X133" s="26">
        <f ca="1">VLOOKUP(DATE(YEAR(H133+Electric!AB139),MONTH(H133+Electric!AB139),1),'FAF &amp; DDs'!$A$2:$B$321,2,FALSE)*I133</f>
        <v>790.61520000000007</v>
      </c>
      <c r="Y133" s="26">
        <f t="shared" ca="1" si="46"/>
        <v>120.32000000000001</v>
      </c>
      <c r="Z133" s="26">
        <f t="shared" ca="1" si="47"/>
        <v>3569</v>
      </c>
    </row>
    <row r="134" spans="5:26" s="23" customFormat="1" x14ac:dyDescent="0.2">
      <c r="E134" s="38">
        <f t="shared" ca="1" si="48"/>
        <v>0</v>
      </c>
      <c r="F134" s="37">
        <f ca="1">Electric!X140</f>
        <v>33</v>
      </c>
      <c r="H134" s="32">
        <f ca="1">IF(ROW()&gt;(Electric!$Y$6-Electric!$Y$5+6),"",+Electric!V140)</f>
        <v>40126</v>
      </c>
      <c r="I134" s="33">
        <f ca="1">IF($H134="","",+Electric!F140)</f>
        <v>41200</v>
      </c>
      <c r="J134" s="43">
        <f ca="1">IF($H134="","",+Electric!G140)</f>
        <v>128</v>
      </c>
      <c r="K134" s="26">
        <f t="shared" ca="1" si="57"/>
        <v>4600.4348000000009</v>
      </c>
      <c r="L134" s="26">
        <f t="shared" ca="1" si="57"/>
        <v>4242.5748000000003</v>
      </c>
      <c r="M134" s="26">
        <f t="shared" ca="1" si="57"/>
        <v>4637.7448000000004</v>
      </c>
      <c r="N134" s="26">
        <f t="shared" ca="1" si="39"/>
        <v>120</v>
      </c>
      <c r="O134" s="26">
        <f t="shared" ca="1" si="56"/>
        <v>2344.2800000000011</v>
      </c>
      <c r="P134" s="73">
        <f t="shared" ca="1" si="40"/>
        <v>1318.3999999999987</v>
      </c>
      <c r="Q134" s="26">
        <f t="shared" ca="1" si="41"/>
        <v>131.84</v>
      </c>
      <c r="R134" s="26">
        <f t="shared" ca="1" si="42"/>
        <v>4637.7400000000007</v>
      </c>
      <c r="S134" s="26">
        <f t="shared" ca="1" si="43"/>
        <v>3947.9947999999999</v>
      </c>
      <c r="T134" s="26">
        <f t="shared" ca="1" si="58"/>
        <v>3767.2847999999999</v>
      </c>
      <c r="U134" s="26">
        <f t="shared" ca="1" si="58"/>
        <v>3400.6048000000001</v>
      </c>
      <c r="V134" s="26">
        <f t="shared" ca="1" si="44"/>
        <v>3.5</v>
      </c>
      <c r="W134" s="26">
        <f t="shared" ca="1" si="45"/>
        <v>2908.7199999999984</v>
      </c>
      <c r="X134" s="26">
        <f ca="1">VLOOKUP(DATE(YEAR(H134+Electric!AB140),MONTH(H134+Electric!AB140),1),'FAF &amp; DDs'!$A$2:$B$321,2,FALSE)*I134</f>
        <v>723.22479999999996</v>
      </c>
      <c r="Y134" s="26">
        <f t="shared" ca="1" si="46"/>
        <v>131.84</v>
      </c>
      <c r="Z134" s="26">
        <f t="shared" ca="1" si="47"/>
        <v>3767.2799999999997</v>
      </c>
    </row>
    <row r="135" spans="5:26" s="23" customFormat="1" x14ac:dyDescent="0.2">
      <c r="E135" s="38">
        <f t="shared" ca="1" si="48"/>
        <v>7</v>
      </c>
      <c r="F135" s="37">
        <f ca="1">Electric!X141</f>
        <v>29</v>
      </c>
      <c r="H135" s="32">
        <f ca="1">IF(ROW()&gt;(Electric!$Y$6-Electric!$Y$5+6),"",+Electric!V141)</f>
        <v>40093</v>
      </c>
      <c r="I135" s="33">
        <f ca="1">IF($H135="","",+Electric!F141)</f>
        <v>41600</v>
      </c>
      <c r="J135" s="43">
        <f ca="1">IF($H135="","",+Electric!G141)</f>
        <v>148</v>
      </c>
      <c r="K135" s="26">
        <f t="shared" ca="1" si="57"/>
        <v>5121.6758206896548</v>
      </c>
      <c r="L135" s="26">
        <f t="shared" ca="1" si="57"/>
        <v>4771.5349344827582</v>
      </c>
      <c r="M135" s="26">
        <f t="shared" ca="1" si="57"/>
        <v>5214.711413793103</v>
      </c>
      <c r="N135" s="26">
        <f t="shared" ref="N135:N198" ca="1" si="59">IFERROR(IF(OR($F135&gt;$F$3,$F135&lt;$F$2),$F135,30)/30*(($H135-HLOOKUP($H135,$AC$80:$AQ$80,1))*HLOOKUP($H135,$AC$80:$AQ$98,MATCH($AC$2,$AB$80:$AB$98,0))+(HLOOKUP($H135,$AC$80:$AQ$80,1)-$H135+$F135)*HLOOKUP($H135-$F135,$AC$80:$AQ$98,MATCH($AC$2,$AB$80:$AB$98,0)))/$F135,0)</f>
        <v>120</v>
      </c>
      <c r="O135" s="26">
        <f t="shared" ca="1" si="56"/>
        <v>2445.359800000002</v>
      </c>
      <c r="P135" s="73">
        <f t="shared" ref="P135:P198" ca="1" si="60">IF(I135=0,0,+$E135/IF($F135&lt;=$F$3,$F135,30)*$J135*HLOOKUP(($H135+$Q$1),$AC$66:$AQ$76,MATCH($AC$2,$AB$66:$AB$76,0))+"Summer"+(($F135-$E135)/IF($F135&lt;=$F$3,$F135,30)*$J135)/$F135*(($H135-HLOOKUP($H135,$AC$52:$AQ$52,1))*HLOOKUP($H135,$AC$52:$AQ$62,MATCH($AC$2,$AB$52:$AB$62,0))+(HLOOKUP($H135,$AC$52:$AQ$52,1)-$H135+$F135)*HLOOKUP($H135-$F135,$AC$52:$AQ$62,MATCH($AC$2,$AB$52:$AB$62,0)))+"Winter")</f>
        <v>1590.132413793106</v>
      </c>
      <c r="Q135" s="26">
        <f t="shared" ref="Q135:Q198" ca="1" si="61">MIN(0.0032*$I135,0.05*(O135+P135+$X135))</f>
        <v>133.12</v>
      </c>
      <c r="R135" s="26">
        <f t="shared" ref="R135:R198" ca="1" si="62">N135+ROUND(O135,2)+ROUND(P135,2)+ROUND(Q135,2)+ROUND(X135,2)-ROUND($O$2*(N135+O135+P135+X135),2)</f>
        <v>5214.71</v>
      </c>
      <c r="S135" s="26">
        <f t="shared" ref="S135:S198" ca="1" si="63">(1-$O$2)*(IF(OR($F135&gt;$F$3,$F135&lt;$F$2),$F135,30)/30*HLOOKUP(($H135+$Q$1),$AC$80:$AQ$98,MATCH(VALUE(RIGHT(TRIM(S$5),2)),$AB$80:$AB$98,0))+"CC"++(ROUND(($E135/$F135)*$I135,0)*HLOOKUP(($H135+$Q$1),$AC$30:$AQ$48,MATCH(VALUE(RIGHT(TRIM(S$5),2)),$AB$30:$AB$48,0))+"Summer kWh"+ROUND((($F135-$E135)/$F135)*$I135,0)*HLOOKUP(($H135+$Q$1),$AC$8:$AQ$26,MATCH(VALUE(RIGHT(TRIM(S$5),2)),$AB$8:$AB$26,0))+"Winter kWh")+(IF($H135&gt;DATE(2009,7,1),$I135*0.0209*$O$3,0)+"State Wind Energy kWh Surcharge")+($E135/IF($F135&lt;=$F$3,$F135,30)*$J135*HLOOKUP(($H135+$Q$1),$AC$66:$AQ$76,MATCH(VALUE(RIGHT(TRIM(S$5),2)),$AB$66:$AB$76,0))+"Summer kW"+(($F135-$E135)/IF($F135&lt;=$F$3,$F135,30)*$J135)*HLOOKUP(($H135+$Q$1),$AC$52:$AQ$62,MATCH(VALUE(RIGHT(TRIM(S$5),2)),$AB$52:$AB$62,0))+"Winter kW")+$X135)+$Q135</f>
        <v>4284.5273999999999</v>
      </c>
      <c r="T135" s="26">
        <f t="shared" ca="1" si="58"/>
        <v>4145.2736999999997</v>
      </c>
      <c r="U135" s="26">
        <f t="shared" ca="1" si="58"/>
        <v>3864.3986</v>
      </c>
      <c r="V135" s="26">
        <f t="shared" ref="V135:V198" ca="1" si="64">IFERROR(IF(OR($F135&gt;$F$3,$F135&lt;$F$2),$F135,30)/30*(($H135-HLOOKUP($H135,$AC$80:$AQ$80,1))*HLOOKUP($H135,$AC$80:$AQ$98,MATCH($AC$1,$AB$80:$AB$98,0))+(HLOOKUP($H135,$AC$80:$AQ$80,1)-$H135+$F135)*HLOOKUP($H135-$F135,$AC$80:$AQ$98,MATCH($AC$1,$AB$80:$AB$98,0)))/$F135,0)</f>
        <v>3.5</v>
      </c>
      <c r="W135" s="26">
        <f t="shared" ref="W135:W198" ca="1" si="65">+IFERROR(ROUND(($E135/$F135)*$I135,0)*HLOOKUP(($H135),$AC$30:$AQ$48,MATCH($AC$1,$AB$30:$AB$48,0))+"Summer"+ROUND((($F135-$E135)/$F135)*$I135,0)/$F135*(($H135-HLOOKUP($H135,$AC$8:$AQ$8,1))*HLOOKUP($H135,$AC$8:$AQ$26,MATCH($AC$1,$AB$8:$AB$26,0))+(HLOOKUP($H135,$AC$8:$AQ$8,1)-$H135+$F135)*HLOOKUP($H135-$F135,$AC$8:$AQ$26,MATCH($AC$1,$AB$8:$AB$26,0)))+"Winter",0)</f>
        <v>3082.5545000000034</v>
      </c>
      <c r="X135" s="26">
        <f ca="1">VLOOKUP(DATE(YEAR(H135+Electric!AB141),MONTH(H135+Electric!AB141),1),'FAF &amp; DDs'!$A$2:$B$321,2,FALSE)*I135</f>
        <v>926.0992</v>
      </c>
      <c r="Y135" s="26">
        <f t="shared" ref="Y135:Y198" ca="1" si="66">IFERROR(MIN(0.0032*I135,0.05*(W135+X135)),0)</f>
        <v>133.12</v>
      </c>
      <c r="Z135" s="26">
        <f t="shared" ref="Z135:Z198" ca="1" si="67">V135+ROUND(W135,2)+ROUND(X135,2)+ROUND(Y135,2)</f>
        <v>4145.2700000000004</v>
      </c>
    </row>
    <row r="136" spans="5:26" s="23" customFormat="1" x14ac:dyDescent="0.2">
      <c r="E136" s="38">
        <f t="shared" ref="E136:E199" ca="1" si="68">MIN(F136,MAX((H136-DATE(YEAR(H136),5,15)),0),MAX(0,(DATE(YEAR(H136),9,15)-(H136-F136))))</f>
        <v>33</v>
      </c>
      <c r="F136" s="37">
        <f ca="1">Electric!X142</f>
        <v>33</v>
      </c>
      <c r="H136" s="32">
        <f ca="1">IF(ROW()&gt;(Electric!$Y$6-Electric!$Y$5+6),"",+Electric!V142)</f>
        <v>40064</v>
      </c>
      <c r="I136" s="33">
        <f ca="1">IF($H136="","",+Electric!F142)</f>
        <v>53200</v>
      </c>
      <c r="J136" s="43">
        <f ca="1">IF($H136="","",+Electric!G142)</f>
        <v>148</v>
      </c>
      <c r="K136" s="26">
        <f t="shared" ca="1" si="57"/>
        <v>6836.8799999999992</v>
      </c>
      <c r="L136" s="26">
        <f t="shared" ca="1" si="57"/>
        <v>6404.9</v>
      </c>
      <c r="M136" s="26">
        <f t="shared" ca="1" si="57"/>
        <v>6831.0699999999988</v>
      </c>
      <c r="N136" s="26">
        <f t="shared" ca="1" si="59"/>
        <v>120</v>
      </c>
      <c r="O136" s="26">
        <f t="shared" ca="1" si="56"/>
        <v>3442.0399999999995</v>
      </c>
      <c r="P136" s="73">
        <f t="shared" ca="1" si="60"/>
        <v>1796.72</v>
      </c>
      <c r="Q136" s="26">
        <f t="shared" ca="1" si="61"/>
        <v>170.24</v>
      </c>
      <c r="R136" s="26">
        <f t="shared" ca="1" si="62"/>
        <v>6831.07</v>
      </c>
      <c r="S136" s="26">
        <f t="shared" ca="1" si="63"/>
        <v>6006.6799999999994</v>
      </c>
      <c r="T136" s="26">
        <f t="shared" ca="1" si="58"/>
        <v>6003.1299999999992</v>
      </c>
      <c r="U136" s="26">
        <f t="shared" ca="1" si="58"/>
        <v>6003.1299999999992</v>
      </c>
      <c r="V136" s="26">
        <f t="shared" ca="1" si="64"/>
        <v>3.5</v>
      </c>
      <c r="W136" s="26">
        <f t="shared" ca="1" si="65"/>
        <v>4527.32</v>
      </c>
      <c r="X136" s="26">
        <f ca="1">VLOOKUP(DATE(YEAR(H136+Electric!AB142),MONTH(H136+Electric!AB142),1),'FAF &amp; DDs'!$A$2:$B$321,2,FALSE)*I136</f>
        <v>1302.07</v>
      </c>
      <c r="Y136" s="26">
        <f t="shared" ca="1" si="66"/>
        <v>170.24</v>
      </c>
      <c r="Z136" s="26">
        <f t="shared" ca="1" si="67"/>
        <v>6003.1299999999992</v>
      </c>
    </row>
    <row r="137" spans="5:26" s="23" customFormat="1" x14ac:dyDescent="0.2">
      <c r="E137" s="38">
        <f t="shared" ca="1" si="68"/>
        <v>29</v>
      </c>
      <c r="F137" s="37">
        <f ca="1">Electric!X143</f>
        <v>29</v>
      </c>
      <c r="H137" s="32">
        <f ca="1">IF(ROW()&gt;(Electric!$Y$6-Electric!$Y$5+6),"",+Electric!V143)</f>
        <v>40031</v>
      </c>
      <c r="I137" s="33">
        <f ca="1">IF($H137="","",+Electric!F143)</f>
        <v>49600</v>
      </c>
      <c r="J137" s="43">
        <f ca="1">IF($H137="","",+Electric!G143)</f>
        <v>152</v>
      </c>
      <c r="K137" s="26">
        <f t="shared" ca="1" si="57"/>
        <v>6220.0516000000007</v>
      </c>
      <c r="L137" s="26">
        <f t="shared" ca="1" si="57"/>
        <v>5827.1516000000001</v>
      </c>
      <c r="M137" s="26">
        <f t="shared" ca="1" si="57"/>
        <v>6262.9215999999997</v>
      </c>
      <c r="N137" s="26">
        <f t="shared" ca="1" si="59"/>
        <v>120</v>
      </c>
      <c r="O137" s="26">
        <f t="shared" ca="1" si="56"/>
        <v>3209.12</v>
      </c>
      <c r="P137" s="73">
        <f t="shared" ca="1" si="60"/>
        <v>1845.2800000000002</v>
      </c>
      <c r="Q137" s="26">
        <f t="shared" ca="1" si="61"/>
        <v>158.72</v>
      </c>
      <c r="R137" s="26">
        <f t="shared" ca="1" si="62"/>
        <v>6262.92</v>
      </c>
      <c r="S137" s="26">
        <f t="shared" ca="1" si="63"/>
        <v>5316.5316000000003</v>
      </c>
      <c r="T137" s="26">
        <f t="shared" ca="1" si="58"/>
        <v>5312.9816000000001</v>
      </c>
      <c r="U137" s="26">
        <f t="shared" ca="1" si="58"/>
        <v>5312.9816000000001</v>
      </c>
      <c r="V137" s="26">
        <f t="shared" ca="1" si="64"/>
        <v>3.5</v>
      </c>
      <c r="W137" s="26">
        <f t="shared" ca="1" si="65"/>
        <v>4220.96</v>
      </c>
      <c r="X137" s="26">
        <f ca="1">VLOOKUP(DATE(YEAR(H137+Electric!AB143),MONTH(H137+Electric!AB143),1),'FAF &amp; DDs'!$A$2:$B$321,2,FALSE)*I137</f>
        <v>929.80159999999989</v>
      </c>
      <c r="Y137" s="26">
        <f t="shared" ca="1" si="66"/>
        <v>158.72</v>
      </c>
      <c r="Z137" s="26">
        <f t="shared" ca="1" si="67"/>
        <v>5312.9800000000005</v>
      </c>
    </row>
    <row r="138" spans="5:26" s="23" customFormat="1" x14ac:dyDescent="0.2">
      <c r="E138" s="38">
        <f t="shared" ca="1" si="68"/>
        <v>30</v>
      </c>
      <c r="F138" s="37">
        <f ca="1">Electric!X144</f>
        <v>30</v>
      </c>
      <c r="H138" s="32">
        <f ca="1">IF(ROW()&gt;(Electric!$Y$6-Electric!$Y$5+6),"",+Electric!V144)</f>
        <v>40002</v>
      </c>
      <c r="I138" s="33">
        <f ca="1">IF($H138="","",+Electric!F144)</f>
        <v>53200</v>
      </c>
      <c r="J138" s="43">
        <f ca="1">IF($H138="","",+Electric!G144)</f>
        <v>162</v>
      </c>
      <c r="K138" s="26">
        <f t="shared" ca="1" si="57"/>
        <v>6929.7448000000004</v>
      </c>
      <c r="L138" s="26">
        <f t="shared" ca="1" si="57"/>
        <v>6507.2847999999994</v>
      </c>
      <c r="M138" s="26">
        <f t="shared" ca="1" si="57"/>
        <v>6964.5347999999994</v>
      </c>
      <c r="N138" s="26">
        <f t="shared" ca="1" si="59"/>
        <v>120</v>
      </c>
      <c r="O138" s="26">
        <f t="shared" ca="1" si="56"/>
        <v>3442.0399999999995</v>
      </c>
      <c r="P138" s="73">
        <f t="shared" ca="1" si="60"/>
        <v>1966.68</v>
      </c>
      <c r="Q138" s="26">
        <f t="shared" ca="1" si="61"/>
        <v>170.24</v>
      </c>
      <c r="R138" s="26">
        <f t="shared" ca="1" si="62"/>
        <v>6964.53</v>
      </c>
      <c r="S138" s="26">
        <f t="shared" ca="1" si="63"/>
        <v>5970.1848</v>
      </c>
      <c r="T138" s="26">
        <f t="shared" ca="1" si="58"/>
        <v>5966.6347999999998</v>
      </c>
      <c r="U138" s="26">
        <f t="shared" ca="1" si="58"/>
        <v>5966.6347999999998</v>
      </c>
      <c r="V138" s="26">
        <f t="shared" ca="1" si="64"/>
        <v>3.5</v>
      </c>
      <c r="W138" s="26">
        <f t="shared" ca="1" si="65"/>
        <v>4527.32</v>
      </c>
      <c r="X138" s="26">
        <f ca="1">VLOOKUP(DATE(YEAR(H138+Electric!AB144),MONTH(H138+Electric!AB144),1),'FAF &amp; DDs'!$A$2:$B$321,2,FALSE)*I138</f>
        <v>1265.5748000000001</v>
      </c>
      <c r="Y138" s="26">
        <f t="shared" ca="1" si="66"/>
        <v>170.24</v>
      </c>
      <c r="Z138" s="26">
        <f t="shared" ca="1" si="67"/>
        <v>5966.6299999999992</v>
      </c>
    </row>
    <row r="139" spans="5:26" s="23" customFormat="1" x14ac:dyDescent="0.2">
      <c r="E139" s="38">
        <f t="shared" ca="1" si="68"/>
        <v>24</v>
      </c>
      <c r="F139" s="37">
        <f ca="1">Electric!X145</f>
        <v>31</v>
      </c>
      <c r="H139" s="32">
        <f ca="1">IF(ROW()&gt;(Electric!$Y$6-Electric!$Y$5+6),"",+Electric!V145)</f>
        <v>39972</v>
      </c>
      <c r="I139" s="33">
        <f ca="1">IF($H139="","",+Electric!F145)</f>
        <v>44000</v>
      </c>
      <c r="J139" s="43">
        <f ca="1">IF($H139="","",+Electric!G145)</f>
        <v>148</v>
      </c>
      <c r="K139" s="26">
        <f t="shared" ca="1" si="57"/>
        <v>5937.2990322580645</v>
      </c>
      <c r="L139" s="26">
        <f t="shared" ca="1" si="57"/>
        <v>5588.4293709677422</v>
      </c>
      <c r="M139" s="26">
        <f t="shared" ca="1" si="57"/>
        <v>6020.2153870967741</v>
      </c>
      <c r="N139" s="26">
        <f t="shared" ca="1" si="59"/>
        <v>120</v>
      </c>
      <c r="O139" s="26">
        <f t="shared" ca="1" si="56"/>
        <v>2769.3069999999998</v>
      </c>
      <c r="P139" s="73">
        <f t="shared" ca="1" si="60"/>
        <v>1735.2283870967744</v>
      </c>
      <c r="Q139" s="26">
        <f t="shared" ca="1" si="61"/>
        <v>140.80000000000001</v>
      </c>
      <c r="R139" s="26">
        <f t="shared" ca="1" si="62"/>
        <v>6020.22</v>
      </c>
      <c r="S139" s="26">
        <f t="shared" ca="1" si="63"/>
        <v>5045.7930000000006</v>
      </c>
      <c r="T139" s="26">
        <f t="shared" ca="1" si="58"/>
        <v>4999.5225</v>
      </c>
      <c r="U139" s="26">
        <f t="shared" ca="1" si="58"/>
        <v>4911.1009999999997</v>
      </c>
      <c r="V139" s="26">
        <f t="shared" ca="1" si="64"/>
        <v>3.5</v>
      </c>
      <c r="W139" s="26">
        <f t="shared" ca="1" si="65"/>
        <v>3600.3424999999988</v>
      </c>
      <c r="X139" s="26">
        <f ca="1">VLOOKUP(DATE(YEAR(H139+Electric!AB145),MONTH(H139+Electric!AB145),1),'FAF &amp; DDs'!$A$2:$B$321,2,FALSE)*I139</f>
        <v>1254.8800000000001</v>
      </c>
      <c r="Y139" s="26">
        <f t="shared" ca="1" si="66"/>
        <v>140.80000000000001</v>
      </c>
      <c r="Z139" s="26">
        <f t="shared" ca="1" si="67"/>
        <v>4999.5200000000004</v>
      </c>
    </row>
    <row r="140" spans="5:26" s="23" customFormat="1" x14ac:dyDescent="0.2">
      <c r="E140" s="38">
        <f t="shared" ca="1" si="68"/>
        <v>0</v>
      </c>
      <c r="F140" s="37">
        <f ca="1">Electric!X146</f>
        <v>29</v>
      </c>
      <c r="H140" s="32">
        <f ca="1">IF(ROW()&gt;(Electric!$Y$6-Electric!$Y$5+6),"",+Electric!V146)</f>
        <v>39941</v>
      </c>
      <c r="I140" s="33">
        <f ca="1">IF($H140="","",+Electric!F146)</f>
        <v>40600</v>
      </c>
      <c r="J140" s="43">
        <f ca="1">IF($H140="","",+Electric!G146)</f>
        <v>134</v>
      </c>
      <c r="K140" s="26">
        <f t="shared" ca="1" si="57"/>
        <v>4652.2082</v>
      </c>
      <c r="L140" s="26">
        <f t="shared" ca="1" si="57"/>
        <v>4299.6282000000001</v>
      </c>
      <c r="M140" s="26">
        <f t="shared" ca="1" si="57"/>
        <v>4711.5382</v>
      </c>
      <c r="N140" s="26">
        <f t="shared" ca="1" si="59"/>
        <v>120</v>
      </c>
      <c r="O140" s="26">
        <f t="shared" ca="1" si="56"/>
        <v>2310.1399999999976</v>
      </c>
      <c r="P140" s="73">
        <f t="shared" ca="1" si="60"/>
        <v>1380.2000000000012</v>
      </c>
      <c r="Q140" s="26">
        <f t="shared" ca="1" si="61"/>
        <v>129.92000000000002</v>
      </c>
      <c r="R140" s="26">
        <f t="shared" ca="1" si="62"/>
        <v>4711.54</v>
      </c>
      <c r="S140" s="26">
        <f t="shared" ca="1" si="63"/>
        <v>3949.1881999999996</v>
      </c>
      <c r="T140" s="26">
        <f t="shared" ca="1" si="58"/>
        <v>3771.0581999999995</v>
      </c>
      <c r="U140" s="26">
        <f t="shared" ca="1" si="58"/>
        <v>3409.7182000000003</v>
      </c>
      <c r="V140" s="26">
        <f t="shared" ca="1" si="64"/>
        <v>3.5</v>
      </c>
      <c r="W140" s="26">
        <f t="shared" ca="1" si="65"/>
        <v>2866.3599999999997</v>
      </c>
      <c r="X140" s="26">
        <f ca="1">VLOOKUP(DATE(YEAR(H140+Electric!AB146),MONTH(H140+Electric!AB146),1),'FAF &amp; DDs'!$A$2:$B$321,2,FALSE)*I140</f>
        <v>771.27819999999997</v>
      </c>
      <c r="Y140" s="26">
        <f t="shared" ca="1" si="66"/>
        <v>129.92000000000002</v>
      </c>
      <c r="Z140" s="26">
        <f t="shared" ca="1" si="67"/>
        <v>3771.0600000000004</v>
      </c>
    </row>
    <row r="141" spans="5:26" s="23" customFormat="1" x14ac:dyDescent="0.2">
      <c r="E141" s="38">
        <f t="shared" ca="1" si="68"/>
        <v>0</v>
      </c>
      <c r="F141" s="37">
        <f ca="1">Electric!X147</f>
        <v>30</v>
      </c>
      <c r="H141" s="32">
        <f ca="1">IF(ROW()&gt;(Electric!$Y$6-Electric!$Y$5+6),"",+Electric!V147)</f>
        <v>39912</v>
      </c>
      <c r="I141" s="33">
        <f ca="1">IF($H141="","",+Electric!F147)</f>
        <v>41800</v>
      </c>
      <c r="J141" s="43">
        <f ca="1">IF($H141="","",+Electric!G147)</f>
        <v>134</v>
      </c>
      <c r="K141" s="26">
        <f t="shared" ca="1" si="57"/>
        <v>4793.2698000000009</v>
      </c>
      <c r="L141" s="26">
        <f t="shared" ca="1" si="57"/>
        <v>4430.1298000000006</v>
      </c>
      <c r="M141" s="26">
        <f t="shared" ca="1" si="57"/>
        <v>4840.4798000000001</v>
      </c>
      <c r="N141" s="26">
        <f t="shared" ca="1" si="59"/>
        <v>120</v>
      </c>
      <c r="O141" s="26">
        <f t="shared" ca="1" si="56"/>
        <v>2378.420000000001</v>
      </c>
      <c r="P141" s="73">
        <f t="shared" ca="1" si="60"/>
        <v>1380.2</v>
      </c>
      <c r="Q141" s="26">
        <f t="shared" ca="1" si="61"/>
        <v>133.76000000000002</v>
      </c>
      <c r="R141" s="26">
        <f t="shared" ca="1" si="62"/>
        <v>4840.4800000000005</v>
      </c>
      <c r="S141" s="26">
        <f t="shared" ca="1" si="63"/>
        <v>4099.7298000000001</v>
      </c>
      <c r="T141" s="26">
        <f t="shared" ca="1" si="58"/>
        <v>3916.4398000000001</v>
      </c>
      <c r="U141" s="26">
        <f t="shared" ca="1" si="58"/>
        <v>3544.4198000000001</v>
      </c>
      <c r="V141" s="26">
        <f t="shared" ca="1" si="64"/>
        <v>3.5</v>
      </c>
      <c r="W141" s="26">
        <f t="shared" ca="1" si="65"/>
        <v>2951.0800000000027</v>
      </c>
      <c r="X141" s="26">
        <f ca="1">VLOOKUP(DATE(YEAR(H141+Electric!AB147),MONTH(H141+Electric!AB147),1),'FAF &amp; DDs'!$A$2:$B$321,2,FALSE)*I141</f>
        <v>828.09979999999996</v>
      </c>
      <c r="Y141" s="26">
        <f t="shared" ca="1" si="66"/>
        <v>133.76000000000002</v>
      </c>
      <c r="Z141" s="26">
        <f t="shared" ca="1" si="67"/>
        <v>3916.4399999999996</v>
      </c>
    </row>
    <row r="142" spans="5:26" s="23" customFormat="1" x14ac:dyDescent="0.2">
      <c r="E142" s="38">
        <f t="shared" ca="1" si="68"/>
        <v>0</v>
      </c>
      <c r="F142" s="37">
        <f ca="1">Electric!X148</f>
        <v>35</v>
      </c>
      <c r="H142" s="32">
        <f ca="1">IF(ROW()&gt;(Electric!$Y$6-Electric!$Y$5+6),"",+Electric!V148)</f>
        <v>39882</v>
      </c>
      <c r="I142" s="33">
        <f ca="1">IF($H142="","",+Electric!F148)</f>
        <v>48000</v>
      </c>
      <c r="J142" s="43">
        <f ca="1">IF($H142="","",+Electric!G148)</f>
        <v>134</v>
      </c>
      <c r="K142" s="26">
        <f t="shared" ca="1" si="57"/>
        <v>5269.594000000001</v>
      </c>
      <c r="L142" s="26">
        <f t="shared" ca="1" si="57"/>
        <v>4851.8940000000002</v>
      </c>
      <c r="M142" s="26">
        <f t="shared" ca="1" si="57"/>
        <v>5254.1840000000002</v>
      </c>
      <c r="N142" s="26">
        <f t="shared" ca="1" si="59"/>
        <v>120</v>
      </c>
      <c r="O142" s="26">
        <f t="shared" ca="1" si="56"/>
        <v>2731.2000000000025</v>
      </c>
      <c r="P142" s="73">
        <f t="shared" ca="1" si="60"/>
        <v>1380.2</v>
      </c>
      <c r="Q142" s="26">
        <f t="shared" ca="1" si="61"/>
        <v>153.6</v>
      </c>
      <c r="R142" s="26">
        <f t="shared" ca="1" si="62"/>
        <v>5254.18</v>
      </c>
      <c r="S142" s="26">
        <f t="shared" ca="1" si="63"/>
        <v>4625.0340000000006</v>
      </c>
      <c r="T142" s="26">
        <f t="shared" ca="1" si="58"/>
        <v>4415.0839999999998</v>
      </c>
      <c r="U142" s="26">
        <f t="shared" ca="1" si="58"/>
        <v>3987.8839999999996</v>
      </c>
      <c r="V142" s="26">
        <f t="shared" ca="1" si="64"/>
        <v>3.5</v>
      </c>
      <c r="W142" s="26">
        <f t="shared" ca="1" si="65"/>
        <v>3388.7999999999997</v>
      </c>
      <c r="X142" s="26">
        <f ca="1">VLOOKUP(DATE(YEAR(H142+Electric!AB148),MONTH(H142+Electric!AB148),1),'FAF &amp; DDs'!$A$2:$B$321,2,FALSE)*I142</f>
        <v>869.18399999999997</v>
      </c>
      <c r="Y142" s="26">
        <f t="shared" ca="1" si="66"/>
        <v>153.6</v>
      </c>
      <c r="Z142" s="26">
        <f t="shared" ca="1" si="67"/>
        <v>4415.0800000000008</v>
      </c>
    </row>
    <row r="143" spans="5:26" s="23" customFormat="1" x14ac:dyDescent="0.2">
      <c r="E143" s="38">
        <f t="shared" ca="1" si="68"/>
        <v>0</v>
      </c>
      <c r="F143" s="37">
        <f ca="1">Electric!X149</f>
        <v>26</v>
      </c>
      <c r="H143" s="32">
        <f ca="1">IF(ROW()&gt;(Electric!$Y$6-Electric!$Y$5+6),"",+Electric!V149)</f>
        <v>39847</v>
      </c>
      <c r="I143" s="33">
        <f ca="1">IF($H143="","",+Electric!F149)</f>
        <v>37200</v>
      </c>
      <c r="J143" s="43">
        <f ca="1">IF($H143="","",+Electric!G149)</f>
        <v>132</v>
      </c>
      <c r="K143" s="26">
        <f t="shared" ca="1" si="57"/>
        <v>4176.7860000000001</v>
      </c>
      <c r="L143" s="26">
        <f t="shared" ca="1" si="57"/>
        <v>3854.1260000000002</v>
      </c>
      <c r="M143" s="26">
        <f t="shared" ca="1" si="57"/>
        <v>4265.1359999999995</v>
      </c>
      <c r="N143" s="26">
        <f t="shared" ca="1" si="59"/>
        <v>120</v>
      </c>
      <c r="O143" s="26">
        <f t="shared" ca="1" si="56"/>
        <v>2116.6799999999976</v>
      </c>
      <c r="P143" s="73">
        <f t="shared" ca="1" si="60"/>
        <v>1359.5999999999985</v>
      </c>
      <c r="Q143" s="26">
        <f t="shared" ca="1" si="61"/>
        <v>119.04</v>
      </c>
      <c r="R143" s="26">
        <f t="shared" ca="1" si="62"/>
        <v>4265.1399999999994</v>
      </c>
      <c r="S143" s="26">
        <f t="shared" ca="1" si="63"/>
        <v>3462.1859999999997</v>
      </c>
      <c r="T143" s="26">
        <f t="shared" ca="1" si="58"/>
        <v>3298.6759999999995</v>
      </c>
      <c r="U143" s="26">
        <f t="shared" ca="1" si="58"/>
        <v>2967.5959999999995</v>
      </c>
      <c r="V143" s="26">
        <f t="shared" ca="1" si="64"/>
        <v>3.5</v>
      </c>
      <c r="W143" s="26">
        <f t="shared" ca="1" si="65"/>
        <v>2626.3199999999993</v>
      </c>
      <c r="X143" s="26">
        <f ca="1">VLOOKUP(DATE(YEAR(H143+Electric!AB149),MONTH(H143+Electric!AB149),1),'FAF &amp; DDs'!$A$2:$B$321,2,FALSE)*I143</f>
        <v>549.81600000000003</v>
      </c>
      <c r="Y143" s="26">
        <f t="shared" ca="1" si="66"/>
        <v>119.04</v>
      </c>
      <c r="Z143" s="26">
        <f t="shared" ca="1" si="67"/>
        <v>3298.6800000000003</v>
      </c>
    </row>
    <row r="144" spans="5:26" s="23" customFormat="1" x14ac:dyDescent="0.2">
      <c r="E144" s="38">
        <f t="shared" ca="1" si="68"/>
        <v>0</v>
      </c>
      <c r="F144" s="37">
        <f ca="1">Electric!X150</f>
        <v>31</v>
      </c>
      <c r="H144" s="32">
        <f ca="1">IF(ROW()&gt;(Electric!$Y$6-Electric!$Y$5+6),"",+Electric!V150)</f>
        <v>39821</v>
      </c>
      <c r="I144" s="33">
        <f ca="1">IF($H144="","",+Electric!F150)</f>
        <v>39000</v>
      </c>
      <c r="J144" s="43">
        <f ca="1">IF($H144="","",+Electric!G150)</f>
        <v>134</v>
      </c>
      <c r="K144" s="26">
        <f t="shared" ca="1" si="57"/>
        <v>4094.1040000000007</v>
      </c>
      <c r="L144" s="26">
        <f t="shared" ca="1" si="57"/>
        <v>3755.6040000000007</v>
      </c>
      <c r="M144" s="26">
        <f t="shared" ca="1" si="57"/>
        <v>4169.5940000000001</v>
      </c>
      <c r="N144" s="26">
        <f t="shared" ca="1" si="59"/>
        <v>120</v>
      </c>
      <c r="O144" s="26">
        <f t="shared" ca="1" si="56"/>
        <v>2219.0999999999995</v>
      </c>
      <c r="P144" s="73">
        <f t="shared" ca="1" si="60"/>
        <v>1380.2000000000007</v>
      </c>
      <c r="Q144" s="26">
        <f t="shared" ca="1" si="61"/>
        <v>124.80000000000001</v>
      </c>
      <c r="R144" s="26">
        <f t="shared" ca="1" si="62"/>
        <v>4169.59</v>
      </c>
      <c r="S144" s="26">
        <f t="shared" ca="1" si="63"/>
        <v>3378.4440000000004</v>
      </c>
      <c r="T144" s="26">
        <f t="shared" ca="1" si="58"/>
        <v>3207.194</v>
      </c>
      <c r="U144" s="26">
        <f t="shared" ca="1" si="58"/>
        <v>2860.0940000000001</v>
      </c>
      <c r="V144" s="26">
        <f t="shared" ca="1" si="64"/>
        <v>3.5</v>
      </c>
      <c r="W144" s="26">
        <f t="shared" ca="1" si="65"/>
        <v>2753.400000000001</v>
      </c>
      <c r="X144" s="26">
        <f ca="1">VLOOKUP(DATE(YEAR(H144+Electric!AB150),MONTH(H144+Electric!AB150),1),'FAF &amp; DDs'!$A$2:$B$321,2,FALSE)*I144</f>
        <v>325.49399999999997</v>
      </c>
      <c r="Y144" s="26">
        <f t="shared" ca="1" si="66"/>
        <v>124.80000000000001</v>
      </c>
      <c r="Z144" s="26">
        <f t="shared" ca="1" si="67"/>
        <v>3207.1900000000005</v>
      </c>
    </row>
    <row r="145" spans="5:26" s="23" customFormat="1" x14ac:dyDescent="0.2">
      <c r="E145" s="38">
        <f t="shared" ca="1" si="68"/>
        <v>0</v>
      </c>
      <c r="F145" s="37">
        <f ca="1">Electric!X151</f>
        <v>31</v>
      </c>
      <c r="H145" s="32">
        <f ca="1">IF(ROW()&gt;(Electric!$Y$6-Electric!$Y$5+6),"",+Electric!V151)</f>
        <v>39790</v>
      </c>
      <c r="I145" s="33">
        <f ca="1">IF($H145="","",+Electric!F151)</f>
        <v>38400</v>
      </c>
      <c r="J145" s="43">
        <f ca="1">IF($H145="","",+Electric!G151)</f>
        <v>118</v>
      </c>
      <c r="K145" s="26">
        <f t="shared" ca="1" si="57"/>
        <v>4030.6820000000007</v>
      </c>
      <c r="L145" s="26">
        <f t="shared" ca="1" si="57"/>
        <v>3697.4620000000004</v>
      </c>
      <c r="M145" s="26">
        <f t="shared" ca="1" si="57"/>
        <v>4069.6720000000005</v>
      </c>
      <c r="N145" s="26">
        <f t="shared" ca="1" si="59"/>
        <v>120</v>
      </c>
      <c r="O145" s="26">
        <f t="shared" ca="1" si="56"/>
        <v>2184.9599999999996</v>
      </c>
      <c r="P145" s="73">
        <f t="shared" ca="1" si="60"/>
        <v>1215.4000000000008</v>
      </c>
      <c r="Q145" s="26">
        <f t="shared" ca="1" si="61"/>
        <v>122.88000000000001</v>
      </c>
      <c r="R145" s="26">
        <f t="shared" ca="1" si="62"/>
        <v>4069.67</v>
      </c>
      <c r="S145" s="26">
        <f t="shared" ca="1" si="63"/>
        <v>3432.5219999999999</v>
      </c>
      <c r="T145" s="26">
        <f t="shared" ca="1" si="58"/>
        <v>3263.8519999999999</v>
      </c>
      <c r="U145" s="26">
        <f t="shared" ca="1" si="58"/>
        <v>2922.0919999999996</v>
      </c>
      <c r="V145" s="26">
        <f t="shared" ca="1" si="64"/>
        <v>3.5</v>
      </c>
      <c r="W145" s="26">
        <f t="shared" ca="1" si="65"/>
        <v>2711.0399999999968</v>
      </c>
      <c r="X145" s="26">
        <f ca="1">VLOOKUP(DATE(YEAR(H145+Electric!AB151),MONTH(H145+Electric!AB151),1),'FAF &amp; DDs'!$A$2:$B$321,2,FALSE)*I145</f>
        <v>426.43200000000002</v>
      </c>
      <c r="Y145" s="26">
        <f t="shared" ca="1" si="66"/>
        <v>122.88000000000001</v>
      </c>
      <c r="Z145" s="26">
        <f t="shared" ca="1" si="67"/>
        <v>3263.85</v>
      </c>
    </row>
    <row r="146" spans="5:26" s="23" customFormat="1" x14ac:dyDescent="0.2">
      <c r="E146" s="38">
        <f t="shared" ca="1" si="68"/>
        <v>0</v>
      </c>
      <c r="F146" s="37">
        <f ca="1">Electric!X152</f>
        <v>28</v>
      </c>
      <c r="H146" s="32">
        <f ca="1">IF(ROW()&gt;(Electric!$Y$6-Electric!$Y$5+6),"",+Electric!V152)</f>
        <v>39759</v>
      </c>
      <c r="I146" s="33">
        <f ca="1">IF($H146="","",+Electric!F152)</f>
        <v>36400</v>
      </c>
      <c r="J146" s="43">
        <f ca="1">IF($H146="","",+Electric!G152)</f>
        <v>150</v>
      </c>
      <c r="K146" s="26">
        <f t="shared" ref="K146:M165" ca="1" si="69">(1-$O$2)*(IF(OR($F146&gt;$F$3,$F146&lt;$F$2),$F146,30)/30*HLOOKUP(($H146+$Q$1),$AC$80:$AQ$98,MATCH(VALUE(RIGHT(TRIM(K$5),2)),$AB$80:$AB$98,0))+"CC"+(ROUND(($E146/$F146)*$I146,0)*HLOOKUP(($H146+$Q$1),$AC$30:$AQ$48,MATCH(VALUE(RIGHT(TRIM(K$5),2)),$AB$30:$AB$48,0))+"Summer kWh"+ROUND((($F146-$E146)/$F146)*$I146,0)*HLOOKUP(($H146+$Q$1),$AC$8:$AQ$26,MATCH(VALUE(RIGHT(TRIM(K$5),2)),$AB$8:$AB$26,0))+"Winter kWh")+(IF(($H146+$Q$1)&gt;DATE(2009,7,1),$I146*0.0209*$O$3,0)+"State Wind Energy kWh Surcharge")+($E146/IF($F146&lt;=$F$3,$F146,30)*$J146*HLOOKUP(($H146+$Q$1),$AC$66:$AQ$76,MATCH(VALUE(RIGHT(TRIM(K$5),2)),$AB$66:$AB$76,0))+"Summer kW"+(($F146-$E146)/IF($F146&lt;=$F$3,$F146,30)*$J146)*HLOOKUP(($H146+$Q$1),$AC$52:$AQ$62,MATCH(VALUE(RIGHT(TRIM(K$5),2)),$AB$52:$AB$62,0))+"Winter kW")+$X146)+$Q146</f>
        <v>4246.7223999999997</v>
      </c>
      <c r="L146" s="26">
        <f t="shared" ca="1" si="69"/>
        <v>3931.1024000000002</v>
      </c>
      <c r="M146" s="26">
        <f t="shared" ca="1" si="69"/>
        <v>4391.0323999999991</v>
      </c>
      <c r="N146" s="26">
        <f t="shared" ca="1" si="59"/>
        <v>120</v>
      </c>
      <c r="O146" s="26">
        <f t="shared" ca="1" si="56"/>
        <v>2071.1600000000017</v>
      </c>
      <c r="P146" s="73">
        <f t="shared" ca="1" si="60"/>
        <v>1544.9999999999991</v>
      </c>
      <c r="Q146" s="26">
        <f t="shared" ca="1" si="61"/>
        <v>116.48</v>
      </c>
      <c r="R146" s="26">
        <f t="shared" ca="1" si="62"/>
        <v>4391.03</v>
      </c>
      <c r="S146" s="26">
        <f t="shared" ca="1" si="63"/>
        <v>3388.2824000000001</v>
      </c>
      <c r="T146" s="26">
        <f t="shared" ref="T146:U165" ca="1" si="70">IF(OR($F146&gt;$F$3,$F146&lt;$F$2),$F146,30)/30*HLOOKUP(($H146+$Q$1),$AC$80:$AQ$98,MATCH(VALUE(RIGHT(TRIM(T$5),2)),$AB$80:$AB$98,0))+"CC"++(ROUND(($E146/$F146)*$I146,0)*HLOOKUP(($H146),$AC$30:$AQ$48,MATCH(VALUE(RIGHT(TRIM(T$5),2)),$AB$30:$AB$48,0))+"Summer kWh"+ROUND((($F146-$E146)/$F146)*$I146,0)*HLOOKUP(($H146),$AC$8:$AQ$26,MATCH(VALUE(RIGHT(TRIM(T$5),2)),$AB$8:$AB$26,0))+"Winter kWh")+(IF($H146&gt;DATE(2009,7,1),$I146*0.0209*$O$3,0)+"State Wind Energy kWh Surcharge")+$X146+$Q146</f>
        <v>3228.2123999999999</v>
      </c>
      <c r="U146" s="26">
        <f t="shared" ca="1" si="70"/>
        <v>2904.2524000000003</v>
      </c>
      <c r="V146" s="26">
        <f t="shared" ca="1" si="64"/>
        <v>3.5</v>
      </c>
      <c r="W146" s="26">
        <f t="shared" ca="1" si="65"/>
        <v>2569.8400000000011</v>
      </c>
      <c r="X146" s="26">
        <f ca="1">VLOOKUP(DATE(YEAR(H146+Electric!AB152),MONTH(H146+Electric!AB152),1),'FAF &amp; DDs'!$A$2:$B$321,2,FALSE)*I146</f>
        <v>538.39240000000007</v>
      </c>
      <c r="Y146" s="26">
        <f t="shared" ca="1" si="66"/>
        <v>116.48</v>
      </c>
      <c r="Z146" s="26">
        <f t="shared" ca="1" si="67"/>
        <v>3228.21</v>
      </c>
    </row>
    <row r="147" spans="5:26" s="23" customFormat="1" x14ac:dyDescent="0.2">
      <c r="E147" s="38">
        <f t="shared" ca="1" si="68"/>
        <v>6</v>
      </c>
      <c r="F147" s="37">
        <f ca="1">Electric!X153</f>
        <v>31</v>
      </c>
      <c r="H147" s="32">
        <f ca="1">IF(ROW()&gt;(Electric!$Y$6-Electric!$Y$5+6),"",+Electric!V153)</f>
        <v>39731</v>
      </c>
      <c r="I147" s="33">
        <f ca="1">IF($H147="","",+Electric!F153)</f>
        <v>44000</v>
      </c>
      <c r="J147" s="43">
        <f ca="1">IF($H147="","",+Electric!G153)</f>
        <v>156</v>
      </c>
      <c r="K147" s="26">
        <f t="shared" ca="1" si="69"/>
        <v>4959.8036774193542</v>
      </c>
      <c r="L147" s="26">
        <f t="shared" ca="1" si="69"/>
        <v>4586.7644903225801</v>
      </c>
      <c r="M147" s="26">
        <f t="shared" ca="1" si="69"/>
        <v>5048.8569290322584</v>
      </c>
      <c r="N147" s="26">
        <f t="shared" ca="1" si="59"/>
        <v>120</v>
      </c>
      <c r="O147" s="26">
        <f t="shared" ca="1" si="56"/>
        <v>2570.0247999999997</v>
      </c>
      <c r="P147" s="73">
        <f t="shared" ca="1" si="60"/>
        <v>1662.3561290322577</v>
      </c>
      <c r="Q147" s="26">
        <f t="shared" ca="1" si="61"/>
        <v>140.80000000000001</v>
      </c>
      <c r="R147" s="26">
        <f t="shared" ca="1" si="62"/>
        <v>5048.8600000000006</v>
      </c>
      <c r="S147" s="26">
        <f t="shared" ca="1" si="63"/>
        <v>4085.9892</v>
      </c>
      <c r="T147" s="26">
        <f t="shared" ca="1" si="70"/>
        <v>3929.8580000000002</v>
      </c>
      <c r="U147" s="26">
        <f t="shared" ca="1" si="70"/>
        <v>3614.0504000000001</v>
      </c>
      <c r="V147" s="26">
        <f t="shared" ca="1" si="64"/>
        <v>3.5</v>
      </c>
      <c r="W147" s="26">
        <f t="shared" ca="1" si="65"/>
        <v>3229.8819999999996</v>
      </c>
      <c r="X147" s="26">
        <f ca="1">VLOOKUP(DATE(YEAR(H147+Electric!AB153),MONTH(H147+Electric!AB153),1),'FAF &amp; DDs'!$A$2:$B$321,2,FALSE)*I147</f>
        <v>555.67599999999993</v>
      </c>
      <c r="Y147" s="26">
        <f t="shared" ca="1" si="66"/>
        <v>140.80000000000001</v>
      </c>
      <c r="Z147" s="26">
        <f t="shared" ca="1" si="67"/>
        <v>3929.86</v>
      </c>
    </row>
    <row r="148" spans="5:26" s="23" customFormat="1" x14ac:dyDescent="0.2">
      <c r="E148" s="38">
        <f t="shared" ca="1" si="68"/>
        <v>35</v>
      </c>
      <c r="F148" s="37">
        <f ca="1">Electric!X154</f>
        <v>35</v>
      </c>
      <c r="H148" s="32">
        <f ca="1">IF(ROW()&gt;(Electric!$Y$6-Electric!$Y$5+6),"",+Electric!V154)</f>
        <v>39700</v>
      </c>
      <c r="I148" s="33">
        <f ca="1">IF($H148="","",+Electric!F154)</f>
        <v>54400</v>
      </c>
      <c r="J148" s="43">
        <f ca="1">IF($H148="","",+Electric!G154)</f>
        <v>164</v>
      </c>
      <c r="K148" s="26">
        <f t="shared" ca="1" si="69"/>
        <v>6693.3476000000001</v>
      </c>
      <c r="L148" s="26">
        <f t="shared" ca="1" si="69"/>
        <v>6260.1275999999998</v>
      </c>
      <c r="M148" s="26">
        <f t="shared" ca="1" si="69"/>
        <v>6721.5775999999996</v>
      </c>
      <c r="N148" s="26">
        <f t="shared" ca="1" si="59"/>
        <v>120</v>
      </c>
      <c r="O148" s="26">
        <f t="shared" ca="1" si="56"/>
        <v>3519.68</v>
      </c>
      <c r="P148" s="73">
        <f t="shared" ca="1" si="60"/>
        <v>1990.96</v>
      </c>
      <c r="Q148" s="26">
        <f t="shared" ca="1" si="61"/>
        <v>174.08</v>
      </c>
      <c r="R148" s="26">
        <f t="shared" ca="1" si="62"/>
        <v>6721.579999999999</v>
      </c>
      <c r="S148" s="26">
        <f t="shared" ca="1" si="63"/>
        <v>5727.4276</v>
      </c>
      <c r="T148" s="26">
        <f t="shared" ca="1" si="70"/>
        <v>5723.8775999999998</v>
      </c>
      <c r="U148" s="26">
        <f t="shared" ca="1" si="70"/>
        <v>5723.8775999999998</v>
      </c>
      <c r="V148" s="26">
        <f t="shared" ca="1" si="64"/>
        <v>3.5</v>
      </c>
      <c r="W148" s="26">
        <f t="shared" ca="1" si="65"/>
        <v>4629.4399999999996</v>
      </c>
      <c r="X148" s="26">
        <f ca="1">VLOOKUP(DATE(YEAR(H148+Electric!AB154),MONTH(H148+Electric!AB154),1),'FAF &amp; DDs'!$A$2:$B$321,2,FALSE)*I148</f>
        <v>916.85760000000005</v>
      </c>
      <c r="Y148" s="26">
        <f t="shared" ca="1" si="66"/>
        <v>174.08</v>
      </c>
      <c r="Z148" s="26">
        <f t="shared" ca="1" si="67"/>
        <v>5723.8799999999992</v>
      </c>
    </row>
    <row r="149" spans="5:26" s="23" customFormat="1" x14ac:dyDescent="0.2">
      <c r="E149" s="38">
        <f t="shared" ca="1" si="68"/>
        <v>33</v>
      </c>
      <c r="F149" s="37">
        <f ca="1">Electric!X155</f>
        <v>33</v>
      </c>
      <c r="H149" s="32">
        <f ca="1">IF(ROW()&gt;(Electric!$Y$6-Electric!$Y$5+6),"",+Electric!V155)</f>
        <v>39665</v>
      </c>
      <c r="I149" s="33">
        <f ca="1">IF($H149="","",+Electric!F155)</f>
        <v>54200</v>
      </c>
      <c r="J149" s="43">
        <f ca="1">IF($H149="","",+Electric!G155)</f>
        <v>184</v>
      </c>
      <c r="K149" s="26">
        <f t="shared" ca="1" si="69"/>
        <v>7144.4997999999996</v>
      </c>
      <c r="L149" s="26">
        <f t="shared" ca="1" si="69"/>
        <v>6726.8997999999992</v>
      </c>
      <c r="M149" s="26">
        <f t="shared" ca="1" si="69"/>
        <v>7232.7897999999996</v>
      </c>
      <c r="N149" s="26">
        <f t="shared" ca="1" si="59"/>
        <v>120</v>
      </c>
      <c r="O149" s="26">
        <f t="shared" ca="1" si="56"/>
        <v>3506.74</v>
      </c>
      <c r="P149" s="73">
        <f t="shared" ca="1" si="60"/>
        <v>2233.7600000000002</v>
      </c>
      <c r="Q149" s="26">
        <f t="shared" ca="1" si="61"/>
        <v>173.44</v>
      </c>
      <c r="R149" s="26">
        <f t="shared" ca="1" si="62"/>
        <v>7232.7899999999991</v>
      </c>
      <c r="S149" s="26">
        <f t="shared" ca="1" si="63"/>
        <v>5991.7597999999998</v>
      </c>
      <c r="T149" s="26">
        <f t="shared" ca="1" si="70"/>
        <v>5988.2097999999996</v>
      </c>
      <c r="U149" s="26">
        <f t="shared" ca="1" si="70"/>
        <v>5988.2097999999996</v>
      </c>
      <c r="V149" s="26">
        <f t="shared" ca="1" si="64"/>
        <v>3.5</v>
      </c>
      <c r="W149" s="26">
        <f t="shared" ca="1" si="65"/>
        <v>4612.42</v>
      </c>
      <c r="X149" s="26">
        <f ca="1">VLOOKUP(DATE(YEAR(H149+Electric!AB155),MONTH(H149+Electric!AB155),1),'FAF &amp; DDs'!$A$2:$B$321,2,FALSE)*I149</f>
        <v>1198.8498</v>
      </c>
      <c r="Y149" s="26">
        <f t="shared" ca="1" si="66"/>
        <v>173.44</v>
      </c>
      <c r="Z149" s="26">
        <f t="shared" ca="1" si="67"/>
        <v>5988.21</v>
      </c>
    </row>
    <row r="150" spans="5:26" s="23" customFormat="1" x14ac:dyDescent="0.2">
      <c r="E150" s="38">
        <f t="shared" ca="1" si="68"/>
        <v>30</v>
      </c>
      <c r="F150" s="37">
        <f ca="1">Electric!X156</f>
        <v>30</v>
      </c>
      <c r="H150" s="32">
        <f ca="1">IF(ROW()&gt;(Electric!$Y$6-Electric!$Y$5+6),"",+Electric!V156)</f>
        <v>39632</v>
      </c>
      <c r="I150" s="33">
        <f ca="1">IF($H150="","",+Electric!F156)</f>
        <v>49400</v>
      </c>
      <c r="J150" s="43">
        <f ca="1">IF($H150="","",+Electric!G156)</f>
        <v>164</v>
      </c>
      <c r="K150" s="26">
        <f t="shared" ca="1" si="69"/>
        <v>6455.9385999999995</v>
      </c>
      <c r="L150" s="26">
        <f t="shared" ca="1" si="69"/>
        <v>6073.2185999999992</v>
      </c>
      <c r="M150" s="26">
        <f t="shared" ca="1" si="69"/>
        <v>6535.6685999999991</v>
      </c>
      <c r="N150" s="26">
        <f t="shared" ca="1" si="59"/>
        <v>120</v>
      </c>
      <c r="O150" s="26">
        <f t="shared" ca="1" si="56"/>
        <v>3196.18</v>
      </c>
      <c r="P150" s="73">
        <f t="shared" ca="1" si="60"/>
        <v>1990.96</v>
      </c>
      <c r="Q150" s="26">
        <f t="shared" ca="1" si="61"/>
        <v>158.08000000000001</v>
      </c>
      <c r="R150" s="26">
        <f t="shared" ca="1" si="62"/>
        <v>6535.6699999999992</v>
      </c>
      <c r="S150" s="26">
        <f t="shared" ca="1" si="63"/>
        <v>5439.5185999999994</v>
      </c>
      <c r="T150" s="26">
        <f t="shared" ca="1" si="70"/>
        <v>5435.9685999999992</v>
      </c>
      <c r="U150" s="26">
        <f t="shared" ca="1" si="70"/>
        <v>5435.9685999999992</v>
      </c>
      <c r="V150" s="26">
        <f t="shared" ca="1" si="64"/>
        <v>3.5</v>
      </c>
      <c r="W150" s="26">
        <f t="shared" ca="1" si="65"/>
        <v>4203.9399999999996</v>
      </c>
      <c r="X150" s="26">
        <f ca="1">VLOOKUP(DATE(YEAR(H150+Electric!AB156),MONTH(H150+Electric!AB156),1),'FAF &amp; DDs'!$A$2:$B$321,2,FALSE)*I150</f>
        <v>1070.4485999999999</v>
      </c>
      <c r="Y150" s="26">
        <f t="shared" ca="1" si="66"/>
        <v>158.08000000000001</v>
      </c>
      <c r="Z150" s="26">
        <f t="shared" ca="1" si="67"/>
        <v>5435.9699999999993</v>
      </c>
    </row>
    <row r="151" spans="5:26" s="23" customFormat="1" x14ac:dyDescent="0.2">
      <c r="E151" s="38">
        <f t="shared" ca="1" si="68"/>
        <v>19</v>
      </c>
      <c r="F151" s="37">
        <f ca="1">Electric!X157</f>
        <v>29</v>
      </c>
      <c r="H151" s="32">
        <f ca="1">IF(ROW()&gt;(Electric!$Y$6-Electric!$Y$5+6),"",+Electric!V157)</f>
        <v>39602</v>
      </c>
      <c r="I151" s="33">
        <f ca="1">IF($H151="","",+Electric!F157)</f>
        <v>37400</v>
      </c>
      <c r="J151" s="43">
        <f ca="1">IF($H151="","",+Electric!G157)</f>
        <v>156</v>
      </c>
      <c r="K151" s="26">
        <f t="shared" ca="1" si="69"/>
        <v>5439.1438344827593</v>
      </c>
      <c r="L151" s="26">
        <f t="shared" ca="1" si="69"/>
        <v>5152.3706241379314</v>
      </c>
      <c r="M151" s="26">
        <f t="shared" ca="1" si="69"/>
        <v>5608.9428896551726</v>
      </c>
      <c r="N151" s="26">
        <f t="shared" ca="1" si="59"/>
        <v>120</v>
      </c>
      <c r="O151" s="26">
        <f t="shared" ca="1" si="56"/>
        <v>2319.1833999999999</v>
      </c>
      <c r="P151" s="73">
        <f t="shared" ca="1" si="60"/>
        <v>1794.8606896551723</v>
      </c>
      <c r="Q151" s="26">
        <f t="shared" ca="1" si="61"/>
        <v>119.68</v>
      </c>
      <c r="R151" s="26">
        <f t="shared" ca="1" si="62"/>
        <v>5608.9400000000005</v>
      </c>
      <c r="S151" s="26">
        <f t="shared" ca="1" si="63"/>
        <v>4433.1394</v>
      </c>
      <c r="T151" s="26">
        <f t="shared" ca="1" si="70"/>
        <v>4374.1323000000011</v>
      </c>
      <c r="U151" s="26">
        <f t="shared" ca="1" si="70"/>
        <v>4259.3490000000002</v>
      </c>
      <c r="V151" s="26">
        <f t="shared" ca="1" si="64"/>
        <v>3.5</v>
      </c>
      <c r="W151" s="26">
        <f t="shared" ca="1" si="65"/>
        <v>2995.7335000000003</v>
      </c>
      <c r="X151" s="26">
        <f ca="1">VLOOKUP(DATE(YEAR(H151+Electric!AB157),MONTH(H151+Electric!AB157),1),'FAF &amp; DDs'!$A$2:$B$321,2,FALSE)*I151</f>
        <v>1255.2188000000001</v>
      </c>
      <c r="Y151" s="26">
        <f t="shared" ca="1" si="66"/>
        <v>119.68</v>
      </c>
      <c r="Z151" s="26">
        <f t="shared" ca="1" si="67"/>
        <v>4374.13</v>
      </c>
    </row>
    <row r="152" spans="5:26" s="23" customFormat="1" x14ac:dyDescent="0.2">
      <c r="E152" s="38">
        <f t="shared" ca="1" si="68"/>
        <v>0</v>
      </c>
      <c r="F152" s="37">
        <f ca="1">Electric!X158</f>
        <v>27</v>
      </c>
      <c r="H152" s="32">
        <f ca="1">IF(ROW()&gt;(Electric!$Y$6-Electric!$Y$5+6),"",+Electric!V158)</f>
        <v>39573</v>
      </c>
      <c r="I152" s="33">
        <f ca="1">IF($H152="","",+Electric!F158)</f>
        <v>35000</v>
      </c>
      <c r="J152" s="43">
        <f ca="1">IF($H152="","",+Electric!G158)</f>
        <v>136</v>
      </c>
      <c r="K152" s="26">
        <f t="shared" ca="1" si="69"/>
        <v>3705.04</v>
      </c>
      <c r="L152" s="26">
        <f t="shared" ca="1" si="69"/>
        <v>3401.74</v>
      </c>
      <c r="M152" s="26">
        <f t="shared" ca="1" si="69"/>
        <v>3826.25</v>
      </c>
      <c r="N152" s="26">
        <f t="shared" ca="1" si="59"/>
        <v>120</v>
      </c>
      <c r="O152" s="26">
        <f t="shared" ca="1" si="56"/>
        <v>1991.4999999999998</v>
      </c>
      <c r="P152" s="73">
        <f t="shared" ca="1" si="60"/>
        <v>1400.8000000000002</v>
      </c>
      <c r="Q152" s="26">
        <f t="shared" ca="1" si="61"/>
        <v>112</v>
      </c>
      <c r="R152" s="26">
        <f t="shared" ca="1" si="62"/>
        <v>3826.25</v>
      </c>
      <c r="S152" s="26">
        <f t="shared" ca="1" si="63"/>
        <v>2942.5</v>
      </c>
      <c r="T152" s="26">
        <f t="shared" ca="1" si="70"/>
        <v>2788.45</v>
      </c>
      <c r="U152" s="26">
        <f t="shared" ca="1" si="70"/>
        <v>2476.9499999999998</v>
      </c>
      <c r="V152" s="26">
        <f t="shared" ca="1" si="64"/>
        <v>3.5</v>
      </c>
      <c r="W152" s="26">
        <f t="shared" ca="1" si="65"/>
        <v>2471</v>
      </c>
      <c r="X152" s="26">
        <f ca="1">VLOOKUP(DATE(YEAR(H152+Electric!AB158),MONTH(H152+Electric!AB158),1),'FAF &amp; DDs'!$A$2:$B$321,2,FALSE)*I152</f>
        <v>201.95</v>
      </c>
      <c r="Y152" s="26">
        <f t="shared" ca="1" si="66"/>
        <v>112</v>
      </c>
      <c r="Z152" s="26">
        <f t="shared" ca="1" si="67"/>
        <v>2788.45</v>
      </c>
    </row>
    <row r="153" spans="5:26" s="23" customFormat="1" x14ac:dyDescent="0.2">
      <c r="E153" s="38">
        <f t="shared" ca="1" si="68"/>
        <v>0</v>
      </c>
      <c r="F153" s="37">
        <f ca="1">Electric!X159</f>
        <v>32</v>
      </c>
      <c r="H153" s="32">
        <f ca="1">IF(ROW()&gt;(Electric!$Y$6-Electric!$Y$5+6),"",+Electric!V159)</f>
        <v>39546</v>
      </c>
      <c r="I153" s="33">
        <f ca="1">IF($H153="","",+Electric!F159)</f>
        <v>40600</v>
      </c>
      <c r="J153" s="43">
        <f ca="1">IF($H153="","",+Electric!G159)</f>
        <v>112</v>
      </c>
      <c r="K153" s="26">
        <f t="shared" ca="1" si="69"/>
        <v>4111.6638000000003</v>
      </c>
      <c r="L153" s="26">
        <f t="shared" ca="1" si="69"/>
        <v>3759.0837999999999</v>
      </c>
      <c r="M153" s="26">
        <f t="shared" ca="1" si="69"/>
        <v>4112.4737999999998</v>
      </c>
      <c r="N153" s="26">
        <f t="shared" ca="1" si="59"/>
        <v>120</v>
      </c>
      <c r="O153" s="26">
        <f t="shared" ca="1" si="56"/>
        <v>2268.9056249999999</v>
      </c>
      <c r="P153" s="73">
        <f t="shared" ca="1" si="60"/>
        <v>1132.6000000000001</v>
      </c>
      <c r="Q153" s="26">
        <f t="shared" ca="1" si="61"/>
        <v>129.92000000000002</v>
      </c>
      <c r="R153" s="26">
        <f t="shared" ca="1" si="62"/>
        <v>4050.24</v>
      </c>
      <c r="S153" s="26">
        <f t="shared" ca="1" si="63"/>
        <v>3576.7237999999998</v>
      </c>
      <c r="T153" s="26">
        <f t="shared" ca="1" si="70"/>
        <v>3398.5937999999996</v>
      </c>
      <c r="U153" s="26">
        <f t="shared" ca="1" si="70"/>
        <v>3037.2538</v>
      </c>
      <c r="V153" s="26">
        <f t="shared" ca="1" si="64"/>
        <v>3.5</v>
      </c>
      <c r="W153" s="26">
        <f t="shared" ca="1" si="65"/>
        <v>2812.4381250000006</v>
      </c>
      <c r="X153" s="26">
        <f ca="1">VLOOKUP(DATE(YEAR(H153+Electric!AB159),MONTH(H153+Electric!AB159),1),'FAF &amp; DDs'!$A$2:$B$321,2,FALSE)*I153</f>
        <v>398.81380000000001</v>
      </c>
      <c r="Y153" s="26">
        <f t="shared" ca="1" si="66"/>
        <v>129.92000000000002</v>
      </c>
      <c r="Z153" s="26">
        <f t="shared" ca="1" si="67"/>
        <v>3344.67</v>
      </c>
    </row>
    <row r="154" spans="5:26" s="23" customFormat="1" x14ac:dyDescent="0.2">
      <c r="E154" s="38">
        <f t="shared" ca="1" si="68"/>
        <v>0</v>
      </c>
      <c r="F154" s="37">
        <f ca="1">Electric!X160</f>
        <v>28</v>
      </c>
      <c r="H154" s="32">
        <f ca="1">IF(ROW()&gt;(Electric!$Y$6-Electric!$Y$5+6),"",+Electric!V160)</f>
        <v>39514</v>
      </c>
      <c r="I154" s="33">
        <f ca="1">IF($H154="","",+Electric!F160)</f>
        <v>38200</v>
      </c>
      <c r="J154" s="43">
        <f ca="1">IF($H154="","",+Electric!G160)</f>
        <v>146</v>
      </c>
      <c r="K154" s="26">
        <f t="shared" ca="1" si="69"/>
        <v>4043.1490000000003</v>
      </c>
      <c r="L154" s="26">
        <f t="shared" ca="1" si="69"/>
        <v>3723.1489999999994</v>
      </c>
      <c r="M154" s="26">
        <f t="shared" ca="1" si="69"/>
        <v>4161.3389999999999</v>
      </c>
      <c r="N154" s="26">
        <f t="shared" ca="1" si="59"/>
        <v>120</v>
      </c>
      <c r="O154" s="26">
        <f t="shared" ca="1" si="56"/>
        <v>2123.9199999999987</v>
      </c>
      <c r="P154" s="73">
        <f t="shared" ca="1" si="60"/>
        <v>1468.7600000000004</v>
      </c>
      <c r="Q154" s="26">
        <f t="shared" ca="1" si="61"/>
        <v>122.24000000000001</v>
      </c>
      <c r="R154" s="26">
        <f t="shared" ca="1" si="62"/>
        <v>4161.34</v>
      </c>
      <c r="S154" s="26">
        <f t="shared" ca="1" si="63"/>
        <v>3248.1289999999999</v>
      </c>
      <c r="T154" s="26">
        <f t="shared" ca="1" si="70"/>
        <v>3084.1390000000001</v>
      </c>
      <c r="U154" s="26">
        <f t="shared" ca="1" si="70"/>
        <v>2755.6189999999997</v>
      </c>
      <c r="V154" s="26">
        <f t="shared" ca="1" si="64"/>
        <v>3.5</v>
      </c>
      <c r="W154" s="26">
        <f t="shared" ca="1" si="65"/>
        <v>2631.9799999999996</v>
      </c>
      <c r="X154" s="26">
        <f ca="1">VLOOKUP(DATE(YEAR(H154+Electric!AB160),MONTH(H154+Electric!AB160),1),'FAF &amp; DDs'!$A$2:$B$321,2,FALSE)*I154</f>
        <v>326.41900000000004</v>
      </c>
      <c r="Y154" s="26">
        <f t="shared" ca="1" si="66"/>
        <v>122.24000000000001</v>
      </c>
      <c r="Z154" s="26">
        <f t="shared" ca="1" si="67"/>
        <v>3084.14</v>
      </c>
    </row>
    <row r="155" spans="5:26" s="23" customFormat="1" x14ac:dyDescent="0.2">
      <c r="E155" s="38">
        <f t="shared" ca="1" si="68"/>
        <v>0</v>
      </c>
      <c r="F155" s="37">
        <f ca="1">Electric!X161</f>
        <v>31</v>
      </c>
      <c r="H155" s="32">
        <f ca="1">IF(ROW()&gt;(Electric!$Y$6-Electric!$Y$5+6),"",+Electric!V161)</f>
        <v>39486</v>
      </c>
      <c r="I155" s="33">
        <f ca="1">IF($H155="","",+Electric!F161)</f>
        <v>44400</v>
      </c>
      <c r="J155" s="43">
        <f ca="1">IF($H155="","",+Electric!G161)</f>
        <v>132</v>
      </c>
      <c r="K155" s="26">
        <f t="shared" ca="1" si="69"/>
        <v>4481.4324000000006</v>
      </c>
      <c r="L155" s="26">
        <f t="shared" ca="1" si="69"/>
        <v>4108.7323999999999</v>
      </c>
      <c r="M155" s="26">
        <f t="shared" ca="1" si="69"/>
        <v>4502.4623999999994</v>
      </c>
      <c r="N155" s="26">
        <f t="shared" ca="1" si="59"/>
        <v>120</v>
      </c>
      <c r="O155" s="26">
        <f t="shared" ca="1" si="56"/>
        <v>2468.6400000000003</v>
      </c>
      <c r="P155" s="73">
        <f t="shared" ca="1" si="60"/>
        <v>1327.9199999999994</v>
      </c>
      <c r="Q155" s="26">
        <f t="shared" ca="1" si="61"/>
        <v>142.08000000000001</v>
      </c>
      <c r="R155" s="26">
        <f t="shared" ca="1" si="62"/>
        <v>4502.46</v>
      </c>
      <c r="S155" s="26">
        <f t="shared" ca="1" si="63"/>
        <v>3838.5924</v>
      </c>
      <c r="T155" s="26">
        <f t="shared" ca="1" si="70"/>
        <v>3648.5624000000003</v>
      </c>
      <c r="U155" s="26">
        <f t="shared" ca="1" si="70"/>
        <v>3266.7224000000001</v>
      </c>
      <c r="V155" s="26">
        <f t="shared" ca="1" si="64"/>
        <v>3.5</v>
      </c>
      <c r="W155" s="26">
        <f t="shared" ca="1" si="65"/>
        <v>3059.1600000000003</v>
      </c>
      <c r="X155" s="26">
        <f ca="1">VLOOKUP(DATE(YEAR(H155+Electric!AB161),MONTH(H155+Electric!AB161),1),'FAF &amp; DDs'!$A$2:$B$321,2,FALSE)*I155</f>
        <v>443.82239999999996</v>
      </c>
      <c r="Y155" s="26">
        <f t="shared" ca="1" si="66"/>
        <v>142.08000000000001</v>
      </c>
      <c r="Z155" s="26">
        <f t="shared" ca="1" si="67"/>
        <v>3648.56</v>
      </c>
    </row>
    <row r="156" spans="5:26" s="23" customFormat="1" x14ac:dyDescent="0.2">
      <c r="E156" s="38">
        <f t="shared" ca="1" si="68"/>
        <v>0</v>
      </c>
      <c r="F156" s="37">
        <f ca="1">Electric!X162</f>
        <v>34</v>
      </c>
      <c r="H156" s="32">
        <f ca="1">IF(ROW()&gt;(Electric!$Y$6-Electric!$Y$5+6),"",+Electric!V162)</f>
        <v>39455</v>
      </c>
      <c r="I156" s="33">
        <f ca="1">IF($H156="","",+Electric!F162)</f>
        <v>41000</v>
      </c>
      <c r="J156" s="43">
        <f ca="1">IF($H156="","",+Electric!G162)</f>
        <v>132</v>
      </c>
      <c r="K156" s="26">
        <f t="shared" ca="1" si="69"/>
        <v>4629.5360000000001</v>
      </c>
      <c r="L156" s="26">
        <f t="shared" ca="1" si="69"/>
        <v>4285.7359999999999</v>
      </c>
      <c r="M156" s="26">
        <f t="shared" ca="1" si="69"/>
        <v>4683.8859999999995</v>
      </c>
      <c r="N156" s="26">
        <f t="shared" ca="1" si="59"/>
        <v>120</v>
      </c>
      <c r="O156" s="26">
        <f t="shared" ca="1" si="56"/>
        <v>2279.6</v>
      </c>
      <c r="P156" s="73">
        <f t="shared" ca="1" si="60"/>
        <v>1327.9200000000003</v>
      </c>
      <c r="Q156" s="26">
        <f t="shared" ca="1" si="61"/>
        <v>131.20000000000002</v>
      </c>
      <c r="R156" s="26">
        <f t="shared" ca="1" si="62"/>
        <v>4683.8899999999994</v>
      </c>
      <c r="S156" s="26">
        <f t="shared" ca="1" si="63"/>
        <v>3960.5160000000001</v>
      </c>
      <c r="T156" s="26">
        <f t="shared" ca="1" si="70"/>
        <v>3784.7660000000001</v>
      </c>
      <c r="U156" s="26">
        <f t="shared" ca="1" si="70"/>
        <v>3432.1660000000002</v>
      </c>
      <c r="V156" s="26">
        <f t="shared" ca="1" si="64"/>
        <v>3.5</v>
      </c>
      <c r="W156" s="26">
        <f t="shared" ca="1" si="65"/>
        <v>2824.9</v>
      </c>
      <c r="X156" s="26">
        <f ca="1">VLOOKUP(DATE(YEAR(H156+Electric!AB162),MONTH(H156+Electric!AB162),1),'FAF &amp; DDs'!$A$2:$B$321,2,FALSE)*I156</f>
        <v>825.16600000000005</v>
      </c>
      <c r="Y156" s="26">
        <f t="shared" ca="1" si="66"/>
        <v>131.20000000000002</v>
      </c>
      <c r="Z156" s="26">
        <f t="shared" ca="1" si="67"/>
        <v>3784.77</v>
      </c>
    </row>
    <row r="157" spans="5:26" s="23" customFormat="1" x14ac:dyDescent="0.2">
      <c r="E157" s="38">
        <f t="shared" ca="1" si="68"/>
        <v>0</v>
      </c>
      <c r="F157" s="37">
        <f ca="1">Electric!X163</f>
        <v>33</v>
      </c>
      <c r="H157" s="32">
        <f ca="1">IF(ROW()&gt;(Electric!$Y$6-Electric!$Y$5+6),"",+Electric!V163)</f>
        <v>39421</v>
      </c>
      <c r="I157" s="33">
        <f ca="1">IF($H157="","",+Electric!F163)</f>
        <v>40000</v>
      </c>
      <c r="J157" s="43">
        <f ca="1">IF($H157="","",+Electric!G163)</f>
        <v>152</v>
      </c>
      <c r="K157" s="26">
        <f t="shared" ca="1" si="69"/>
        <v>4491.17</v>
      </c>
      <c r="L157" s="26">
        <f t="shared" ca="1" si="69"/>
        <v>4155.87</v>
      </c>
      <c r="M157" s="26">
        <f t="shared" ca="1" si="69"/>
        <v>4607.32</v>
      </c>
      <c r="N157" s="26">
        <f t="shared" ca="1" si="59"/>
        <v>120</v>
      </c>
      <c r="O157" s="26">
        <f t="shared" ca="1" si="56"/>
        <v>2224</v>
      </c>
      <c r="P157" s="73">
        <f t="shared" ca="1" si="60"/>
        <v>1529.12</v>
      </c>
      <c r="Q157" s="26">
        <f t="shared" ca="1" si="61"/>
        <v>128</v>
      </c>
      <c r="R157" s="26">
        <f t="shared" ca="1" si="62"/>
        <v>4607.32</v>
      </c>
      <c r="S157" s="26">
        <f t="shared" ca="1" si="63"/>
        <v>3665.25</v>
      </c>
      <c r="T157" s="26">
        <f t="shared" ca="1" si="70"/>
        <v>3493.7</v>
      </c>
      <c r="U157" s="26">
        <f t="shared" ca="1" si="70"/>
        <v>3149.7</v>
      </c>
      <c r="V157" s="26">
        <f t="shared" ca="1" si="64"/>
        <v>3.5</v>
      </c>
      <c r="W157" s="26">
        <f t="shared" ca="1" si="65"/>
        <v>2756</v>
      </c>
      <c r="X157" s="26">
        <f ca="1">VLOOKUP(DATE(YEAR(H157+Electric!AB163),MONTH(H157+Electric!AB163),1),'FAF &amp; DDs'!$A$2:$B$321,2,FALSE)*I157</f>
        <v>606.20000000000005</v>
      </c>
      <c r="Y157" s="26">
        <f t="shared" ca="1" si="66"/>
        <v>128</v>
      </c>
      <c r="Z157" s="26">
        <f t="shared" ca="1" si="67"/>
        <v>3493.7</v>
      </c>
    </row>
    <row r="158" spans="5:26" s="23" customFormat="1" x14ac:dyDescent="0.2">
      <c r="E158" s="38">
        <f t="shared" ca="1" si="68"/>
        <v>0</v>
      </c>
      <c r="F158" s="37">
        <f ca="1">Electric!X164</f>
        <v>30</v>
      </c>
      <c r="H158" s="32">
        <f ca="1">IF(ROW()&gt;(Electric!$Y$6-Electric!$Y$5+6),"",+Electric!V164)</f>
        <v>39388</v>
      </c>
      <c r="I158" s="33">
        <f ca="1">IF($H158="","",+Electric!F164)</f>
        <v>44800</v>
      </c>
      <c r="J158" s="43">
        <f ca="1">IF($H158="","",+Electric!G164)</f>
        <v>132</v>
      </c>
      <c r="K158" s="26">
        <f t="shared" ca="1" si="69"/>
        <v>4779.4755999999998</v>
      </c>
      <c r="L158" s="26">
        <f t="shared" ca="1" si="69"/>
        <v>4403.3755999999994</v>
      </c>
      <c r="M158" s="26">
        <f t="shared" ca="1" si="69"/>
        <v>4796.5855999999994</v>
      </c>
      <c r="N158" s="26">
        <f t="shared" ca="1" si="59"/>
        <v>120</v>
      </c>
      <c r="O158" s="26">
        <f t="shared" ca="1" si="56"/>
        <v>2490.8799999999997</v>
      </c>
      <c r="P158" s="73">
        <f t="shared" ca="1" si="60"/>
        <v>1327.92</v>
      </c>
      <c r="Q158" s="26">
        <f t="shared" ca="1" si="61"/>
        <v>143.36000000000001</v>
      </c>
      <c r="R158" s="26">
        <f t="shared" ca="1" si="62"/>
        <v>4796.59</v>
      </c>
      <c r="S158" s="26">
        <f t="shared" ca="1" si="63"/>
        <v>4139.7156000000004</v>
      </c>
      <c r="T158" s="26">
        <f t="shared" ca="1" si="70"/>
        <v>3948.0056000000004</v>
      </c>
      <c r="U158" s="26">
        <f t="shared" ca="1" si="70"/>
        <v>3562.7256000000002</v>
      </c>
      <c r="V158" s="26">
        <f t="shared" ca="1" si="64"/>
        <v>3.5</v>
      </c>
      <c r="W158" s="26">
        <f t="shared" ca="1" si="65"/>
        <v>3086.7200000000003</v>
      </c>
      <c r="X158" s="26">
        <f ca="1">VLOOKUP(DATE(YEAR(H158+Electric!AB164),MONTH(H158+Electric!AB164),1),'FAF &amp; DDs'!$A$2:$B$321,2,FALSE)*I158</f>
        <v>714.42559999999992</v>
      </c>
      <c r="Y158" s="26">
        <f t="shared" ca="1" si="66"/>
        <v>143.36000000000001</v>
      </c>
      <c r="Z158" s="26">
        <f t="shared" ca="1" si="67"/>
        <v>3948.0099999999998</v>
      </c>
    </row>
    <row r="159" spans="5:26" s="23" customFormat="1" x14ac:dyDescent="0.2">
      <c r="E159" s="38">
        <f t="shared" ca="1" si="68"/>
        <v>10</v>
      </c>
      <c r="F159" s="37">
        <f ca="1">Electric!X165</f>
        <v>28</v>
      </c>
      <c r="H159" s="32">
        <f ca="1">IF(ROW()&gt;(Electric!$Y$6-Electric!$Y$5+6),"",+Electric!V165)</f>
        <v>39358</v>
      </c>
      <c r="I159" s="33">
        <f ca="1">IF($H159="","",+Electric!F165)</f>
        <v>51000</v>
      </c>
      <c r="J159" s="43">
        <f ca="1">IF($H159="","",+Electric!G165)</f>
        <v>158</v>
      </c>
      <c r="K159" s="26">
        <f t="shared" ca="1" si="69"/>
        <v>5839.8737714285717</v>
      </c>
      <c r="L159" s="26">
        <f t="shared" ca="1" si="69"/>
        <v>5425.2027142857141</v>
      </c>
      <c r="M159" s="26">
        <f t="shared" ca="1" si="69"/>
        <v>5873.7238285714284</v>
      </c>
      <c r="N159" s="26">
        <f t="shared" ca="1" si="59"/>
        <v>120</v>
      </c>
      <c r="O159" s="26">
        <f t="shared" ca="1" si="56"/>
        <v>2922.2713571428571</v>
      </c>
      <c r="P159" s="73">
        <f t="shared" ca="1" si="60"/>
        <v>1663.699693877551</v>
      </c>
      <c r="Q159" s="26">
        <f t="shared" ca="1" si="61"/>
        <v>163.20000000000002</v>
      </c>
      <c r="R159" s="26">
        <f t="shared" ca="1" si="62"/>
        <v>5794.62</v>
      </c>
      <c r="S159" s="26">
        <f t="shared" ca="1" si="63"/>
        <v>5005.9359999999997</v>
      </c>
      <c r="T159" s="26">
        <f t="shared" ca="1" si="70"/>
        <v>4864.6848</v>
      </c>
      <c r="U159" s="26">
        <f t="shared" ca="1" si="70"/>
        <v>4582.7251999999999</v>
      </c>
      <c r="V159" s="26">
        <f t="shared" ca="1" si="64"/>
        <v>3.5</v>
      </c>
      <c r="W159" s="26">
        <f t="shared" ca="1" si="65"/>
        <v>3711.6505142857141</v>
      </c>
      <c r="X159" s="26">
        <f ca="1">VLOOKUP(DATE(YEAR(H159+Electric!AB165),MONTH(H159+Electric!AB165),1),'FAF &amp; DDs'!$A$2:$B$321,2,FALSE)*I159</f>
        <v>925.44599999999991</v>
      </c>
      <c r="Y159" s="26">
        <f t="shared" ca="1" si="66"/>
        <v>163.20000000000002</v>
      </c>
      <c r="Z159" s="26">
        <f t="shared" ca="1" si="67"/>
        <v>4803.8</v>
      </c>
    </row>
    <row r="160" spans="5:26" s="23" customFormat="1" x14ac:dyDescent="0.2">
      <c r="E160" s="38">
        <f t="shared" ca="1" si="68"/>
        <v>33</v>
      </c>
      <c r="F160" s="37">
        <f ca="1">Electric!X166</f>
        <v>33</v>
      </c>
      <c r="H160" s="32">
        <f ca="1">IF(ROW()&gt;(Electric!$Y$6-Electric!$Y$5+6),"",+Electric!V166)</f>
        <v>39330</v>
      </c>
      <c r="I160" s="33">
        <f ca="1">IF($H160="","",+Electric!F166)</f>
        <v>72800</v>
      </c>
      <c r="J160" s="43">
        <f ca="1">IF($H160="","",+Electric!G166)</f>
        <v>182</v>
      </c>
      <c r="K160" s="26">
        <f t="shared" ca="1" si="69"/>
        <v>7946.1812</v>
      </c>
      <c r="L160" s="26">
        <f t="shared" ca="1" si="69"/>
        <v>7377.5812000000005</v>
      </c>
      <c r="M160" s="26">
        <f t="shared" ca="1" si="69"/>
        <v>7846.1912000000011</v>
      </c>
      <c r="N160" s="26">
        <f t="shared" ca="1" si="59"/>
        <v>120</v>
      </c>
      <c r="O160" s="26">
        <f t="shared" ca="1" si="56"/>
        <v>4462.6400000000003</v>
      </c>
      <c r="P160" s="73">
        <f t="shared" ca="1" si="60"/>
        <v>2094.8200000000002</v>
      </c>
      <c r="Q160" s="26">
        <f t="shared" ca="1" si="61"/>
        <v>232.96</v>
      </c>
      <c r="R160" s="26">
        <f t="shared" ca="1" si="62"/>
        <v>7846.1900000000005</v>
      </c>
      <c r="S160" s="26">
        <f t="shared" ca="1" si="63"/>
        <v>7050.7411999999995</v>
      </c>
      <c r="T160" s="26">
        <f t="shared" ca="1" si="70"/>
        <v>7047.1911999999993</v>
      </c>
      <c r="U160" s="26">
        <f t="shared" ca="1" si="70"/>
        <v>7047.1911999999993</v>
      </c>
      <c r="V160" s="26">
        <f t="shared" ca="1" si="64"/>
        <v>3.5</v>
      </c>
      <c r="W160" s="26">
        <f t="shared" ca="1" si="65"/>
        <v>5874.9599999999991</v>
      </c>
      <c r="X160" s="26">
        <f ca="1">VLOOKUP(DATE(YEAR(H160+Electric!AB166),MONTH(H160+Electric!AB166),1),'FAF &amp; DDs'!$A$2:$B$321,2,FALSE)*I160</f>
        <v>935.77120000000002</v>
      </c>
      <c r="Y160" s="26">
        <f t="shared" ca="1" si="66"/>
        <v>232.96</v>
      </c>
      <c r="Z160" s="26">
        <f t="shared" ca="1" si="67"/>
        <v>7047.19</v>
      </c>
    </row>
    <row r="161" spans="5:26" s="23" customFormat="1" x14ac:dyDescent="0.2">
      <c r="E161" s="38">
        <f t="shared" ca="1" si="68"/>
        <v>31</v>
      </c>
      <c r="F161" s="37">
        <f ca="1">Electric!X167</f>
        <v>31</v>
      </c>
      <c r="H161" s="32">
        <f ca="1">IF(ROW()&gt;(Electric!$Y$6-Electric!$Y$5+6),"",+Electric!V167)</f>
        <v>39297</v>
      </c>
      <c r="I161" s="33">
        <f ca="1">IF($H161="","",+Electric!F167)</f>
        <v>54800</v>
      </c>
      <c r="J161" s="43">
        <f ca="1">IF($H161="","",+Electric!G167)</f>
        <v>166</v>
      </c>
      <c r="K161" s="26">
        <f t="shared" ca="1" si="69"/>
        <v>6103.5919999999996</v>
      </c>
      <c r="L161" s="26">
        <f t="shared" ca="1" si="69"/>
        <v>5695.5919999999996</v>
      </c>
      <c r="M161" s="26">
        <f t="shared" ca="1" si="69"/>
        <v>6136.0019999999995</v>
      </c>
      <c r="N161" s="26">
        <f t="shared" ca="1" si="59"/>
        <v>120</v>
      </c>
      <c r="O161" s="26">
        <f t="shared" ca="1" si="56"/>
        <v>3359.2400000000002</v>
      </c>
      <c r="P161" s="73">
        <f t="shared" ca="1" si="60"/>
        <v>1910.6599999999999</v>
      </c>
      <c r="Q161" s="26">
        <f t="shared" ca="1" si="61"/>
        <v>175.36</v>
      </c>
      <c r="R161" s="26">
        <f t="shared" ca="1" si="62"/>
        <v>6135.9999999999991</v>
      </c>
      <c r="S161" s="26">
        <f t="shared" ca="1" si="63"/>
        <v>5175.5119999999997</v>
      </c>
      <c r="T161" s="26">
        <f t="shared" ca="1" si="70"/>
        <v>5171.9619999999995</v>
      </c>
      <c r="U161" s="26">
        <f t="shared" ca="1" si="70"/>
        <v>5171.9619999999995</v>
      </c>
      <c r="V161" s="26">
        <f t="shared" ca="1" si="64"/>
        <v>3.5</v>
      </c>
      <c r="W161" s="26">
        <f t="shared" ca="1" si="65"/>
        <v>4422.3599999999997</v>
      </c>
      <c r="X161" s="26">
        <f ca="1">VLOOKUP(DATE(YEAR(H161+Electric!AB167),MONTH(H161+Electric!AB167),1),'FAF &amp; DDs'!$A$2:$B$321,2,FALSE)*I161</f>
        <v>570.74200000000008</v>
      </c>
      <c r="Y161" s="26">
        <f t="shared" ca="1" si="66"/>
        <v>175.36</v>
      </c>
      <c r="Z161" s="26">
        <f t="shared" ca="1" si="67"/>
        <v>5171.9599999999991</v>
      </c>
    </row>
    <row r="162" spans="5:26" s="23" customFormat="1" x14ac:dyDescent="0.2">
      <c r="E162" s="38">
        <f t="shared" ca="1" si="68"/>
        <v>28</v>
      </c>
      <c r="F162" s="37">
        <f ca="1">Electric!X168</f>
        <v>28</v>
      </c>
      <c r="H162" s="32">
        <f ca="1">IF(ROW()&gt;(Electric!$Y$6-Electric!$Y$5+6),"",+Electric!V168)</f>
        <v>39266</v>
      </c>
      <c r="I162" s="33">
        <f ca="1">IF($H162="","",+Electric!F168)</f>
        <v>49000</v>
      </c>
      <c r="J162" s="43">
        <f ca="1">IF($H162="","",+Electric!G168)</f>
        <v>168</v>
      </c>
      <c r="K162" s="26">
        <f t="shared" ca="1" si="69"/>
        <v>5362.8130000000001</v>
      </c>
      <c r="L162" s="26">
        <f t="shared" ca="1" si="69"/>
        <v>5011.2130000000006</v>
      </c>
      <c r="M162" s="26">
        <f t="shared" ca="1" si="69"/>
        <v>5457.5630000000001</v>
      </c>
      <c r="N162" s="26">
        <f t="shared" ca="1" si="59"/>
        <v>120</v>
      </c>
      <c r="O162" s="26">
        <f t="shared" ca="1" si="56"/>
        <v>3003.7</v>
      </c>
      <c r="P162" s="73">
        <f t="shared" ca="1" si="60"/>
        <v>1933.68</v>
      </c>
      <c r="Q162" s="26">
        <f t="shared" ca="1" si="61"/>
        <v>156.80000000000001</v>
      </c>
      <c r="R162" s="26">
        <f t="shared" ca="1" si="62"/>
        <v>5457.56</v>
      </c>
      <c r="S162" s="26">
        <f t="shared" ca="1" si="63"/>
        <v>4361.5330000000004</v>
      </c>
      <c r="T162" s="26">
        <f t="shared" ca="1" si="70"/>
        <v>4357.9830000000002</v>
      </c>
      <c r="U162" s="26">
        <f t="shared" ca="1" si="70"/>
        <v>4357.9830000000002</v>
      </c>
      <c r="V162" s="26">
        <f t="shared" ca="1" si="64"/>
        <v>3.5</v>
      </c>
      <c r="W162" s="26">
        <f t="shared" ca="1" si="65"/>
        <v>3954.2999999999997</v>
      </c>
      <c r="X162" s="26">
        <f ca="1">VLOOKUP(DATE(YEAR(H162+Electric!AB168),MONTH(H162+Electric!AB168),1),'FAF &amp; DDs'!$A$2:$B$321,2,FALSE)*I162</f>
        <v>243.38300000000001</v>
      </c>
      <c r="Y162" s="26">
        <f t="shared" ca="1" si="66"/>
        <v>156.80000000000001</v>
      </c>
      <c r="Z162" s="26">
        <f t="shared" ca="1" si="67"/>
        <v>4357.9800000000005</v>
      </c>
    </row>
    <row r="163" spans="5:26" s="23" customFormat="1" x14ac:dyDescent="0.2">
      <c r="E163" s="38">
        <f t="shared" ca="1" si="68"/>
        <v>21</v>
      </c>
      <c r="F163" s="37">
        <f ca="1">Electric!X169</f>
        <v>29</v>
      </c>
      <c r="H163" s="32">
        <f ca="1">IF(ROW()&gt;(Electric!$Y$6-Electric!$Y$5+6),"",+Electric!V169)</f>
        <v>39238</v>
      </c>
      <c r="I163" s="33">
        <f ca="1">IF($H163="","",+Electric!F169)</f>
        <v>45200</v>
      </c>
      <c r="J163" s="43">
        <f ca="1">IF($H163="","",+Electric!G169)</f>
        <v>156</v>
      </c>
      <c r="K163" s="26">
        <f t="shared" ca="1" si="69"/>
        <v>5224.4359862068968</v>
      </c>
      <c r="L163" s="26">
        <f t="shared" ca="1" si="69"/>
        <v>4888.1263724137934</v>
      </c>
      <c r="M163" s="26">
        <f t="shared" ca="1" si="69"/>
        <v>5316.4521999999997</v>
      </c>
      <c r="N163" s="26">
        <f t="shared" ca="1" si="59"/>
        <v>120</v>
      </c>
      <c r="O163" s="26">
        <f t="shared" ca="1" si="56"/>
        <v>2678.4893999999999</v>
      </c>
      <c r="P163" s="73">
        <f t="shared" ca="1" si="60"/>
        <v>1720.68</v>
      </c>
      <c r="Q163" s="26">
        <f t="shared" ca="1" si="61"/>
        <v>144.64000000000001</v>
      </c>
      <c r="R163" s="26">
        <f t="shared" ca="1" si="62"/>
        <v>5316.4500000000007</v>
      </c>
      <c r="S163" s="26">
        <f t="shared" ca="1" si="63"/>
        <v>4331.0235000000002</v>
      </c>
      <c r="T163" s="26">
        <f t="shared" ca="1" si="70"/>
        <v>4276.3505999999998</v>
      </c>
      <c r="U163" s="26">
        <f t="shared" ca="1" si="70"/>
        <v>4171.6109999999999</v>
      </c>
      <c r="V163" s="26">
        <f t="shared" ca="1" si="64"/>
        <v>3.5</v>
      </c>
      <c r="W163" s="26">
        <f t="shared" ca="1" si="65"/>
        <v>3475.5677999999998</v>
      </c>
      <c r="X163" s="26">
        <f ca="1">VLOOKUP(DATE(YEAR(H163+Electric!AB169),MONTH(H163+Electric!AB169),1),'FAF &amp; DDs'!$A$2:$B$321,2,FALSE)*I163</f>
        <v>652.64279999999997</v>
      </c>
      <c r="Y163" s="26">
        <f t="shared" ca="1" si="66"/>
        <v>144.64000000000001</v>
      </c>
      <c r="Z163" s="26">
        <f t="shared" ca="1" si="67"/>
        <v>4276.3500000000004</v>
      </c>
    </row>
    <row r="164" spans="5:26" s="23" customFormat="1" x14ac:dyDescent="0.2">
      <c r="E164" s="38">
        <f t="shared" ca="1" si="68"/>
        <v>0</v>
      </c>
      <c r="F164" s="37">
        <f ca="1">Electric!X170</f>
        <v>33</v>
      </c>
      <c r="H164" s="32">
        <f ca="1">IF(ROW()&gt;(Electric!$Y$6-Electric!$Y$5+6),"",+Electric!V170)</f>
        <v>39209</v>
      </c>
      <c r="I164" s="33">
        <f ca="1">IF($H164="","",+Electric!F170)</f>
        <v>43000</v>
      </c>
      <c r="J164" s="43">
        <f ca="1">IF($H164="","",+Electric!G170)</f>
        <v>154</v>
      </c>
      <c r="K164" s="26">
        <f t="shared" ca="1" si="69"/>
        <v>4265.7830000000004</v>
      </c>
      <c r="L164" s="26">
        <f t="shared" ca="1" si="69"/>
        <v>3913.5830000000001</v>
      </c>
      <c r="M164" s="26">
        <f t="shared" ca="1" si="69"/>
        <v>4355.5530000000008</v>
      </c>
      <c r="N164" s="26">
        <f t="shared" ca="1" si="59"/>
        <v>120</v>
      </c>
      <c r="O164" s="26">
        <f t="shared" ca="1" si="56"/>
        <v>2317.7000000000003</v>
      </c>
      <c r="P164" s="73">
        <f t="shared" ca="1" si="60"/>
        <v>1504.58</v>
      </c>
      <c r="Q164" s="26">
        <f t="shared" ca="1" si="61"/>
        <v>137.6</v>
      </c>
      <c r="R164" s="26">
        <f t="shared" ca="1" si="62"/>
        <v>4355.5499999999993</v>
      </c>
      <c r="S164" s="26">
        <f t="shared" ca="1" si="63"/>
        <v>3473.3229999999999</v>
      </c>
      <c r="T164" s="26">
        <f t="shared" ca="1" si="70"/>
        <v>3293.4730000000004</v>
      </c>
      <c r="U164" s="26">
        <f t="shared" ca="1" si="70"/>
        <v>2932.2729999999997</v>
      </c>
      <c r="V164" s="26">
        <f t="shared" ca="1" si="64"/>
        <v>3.5</v>
      </c>
      <c r="W164" s="26">
        <f t="shared" ca="1" si="65"/>
        <v>2876.7</v>
      </c>
      <c r="X164" s="26">
        <f ca="1">VLOOKUP(DATE(YEAR(H164+Electric!AB170),MONTH(H164+Electric!AB170),1),'FAF &amp; DDs'!$A$2:$B$321,2,FALSE)*I164</f>
        <v>275.673</v>
      </c>
      <c r="Y164" s="26">
        <f t="shared" ca="1" si="66"/>
        <v>137.6</v>
      </c>
      <c r="Z164" s="26">
        <f t="shared" ca="1" si="67"/>
        <v>3293.47</v>
      </c>
    </row>
    <row r="165" spans="5:26" s="23" customFormat="1" x14ac:dyDescent="0.2">
      <c r="E165" s="38">
        <f t="shared" ca="1" si="68"/>
        <v>0</v>
      </c>
      <c r="F165" s="37">
        <f ca="1">Electric!X171</f>
        <v>27</v>
      </c>
      <c r="H165" s="32">
        <f ca="1">IF(ROW()&gt;(Electric!$Y$6-Electric!$Y$5+6),"",+Electric!V171)</f>
        <v>39176</v>
      </c>
      <c r="I165" s="33">
        <f ca="1">IF($H165="","",+Electric!F171)</f>
        <v>35800</v>
      </c>
      <c r="J165" s="43">
        <f ca="1">IF($H165="","",+Electric!G171)</f>
        <v>152</v>
      </c>
      <c r="K165" s="26">
        <f t="shared" ca="1" si="69"/>
        <v>3590.0094000000004</v>
      </c>
      <c r="L165" s="26">
        <f t="shared" ca="1" si="69"/>
        <v>3297.5693999999999</v>
      </c>
      <c r="M165" s="26">
        <f t="shared" ca="1" si="69"/>
        <v>3743.8393999999998</v>
      </c>
      <c r="N165" s="26">
        <f t="shared" ca="1" si="59"/>
        <v>120</v>
      </c>
      <c r="O165" s="26">
        <f t="shared" ca="1" si="56"/>
        <v>1881.8866666666665</v>
      </c>
      <c r="P165" s="73">
        <f t="shared" ca="1" si="60"/>
        <v>1447.2088888888889</v>
      </c>
      <c r="Q165" s="26">
        <f t="shared" ca="1" si="61"/>
        <v>114.56</v>
      </c>
      <c r="R165" s="26">
        <f t="shared" ca="1" si="62"/>
        <v>3658.28</v>
      </c>
      <c r="S165" s="26">
        <f t="shared" ca="1" si="63"/>
        <v>2758.0293999999999</v>
      </c>
      <c r="T165" s="26">
        <f t="shared" ca="1" si="70"/>
        <v>2607.6994</v>
      </c>
      <c r="U165" s="26">
        <f t="shared" ca="1" si="70"/>
        <v>2306.9794000000002</v>
      </c>
      <c r="V165" s="26">
        <f t="shared" ca="1" si="64"/>
        <v>3.5</v>
      </c>
      <c r="W165" s="26">
        <f t="shared" ca="1" si="65"/>
        <v>2334.5577777777776</v>
      </c>
      <c r="X165" s="26">
        <f ca="1">VLOOKUP(DATE(YEAR(H165+Electric!AB171),MONTH(H165+Electric!AB171),1),'FAF &amp; DDs'!$A$2:$B$321,2,FALSE)*I165</f>
        <v>94.619399999999999</v>
      </c>
      <c r="Y165" s="26">
        <f t="shared" ca="1" si="66"/>
        <v>114.56</v>
      </c>
      <c r="Z165" s="26">
        <f t="shared" ca="1" si="67"/>
        <v>2547.2399999999998</v>
      </c>
    </row>
    <row r="166" spans="5:26" s="23" customFormat="1" x14ac:dyDescent="0.2">
      <c r="E166" s="38">
        <f t="shared" ca="1" si="68"/>
        <v>0</v>
      </c>
      <c r="F166" s="37">
        <f ca="1">Electric!X172</f>
        <v>29</v>
      </c>
      <c r="H166" s="32">
        <f ca="1">IF(ROW()&gt;(Electric!$Y$6-Electric!$Y$5+6),"",+Electric!V172)</f>
        <v>39149</v>
      </c>
      <c r="I166" s="33">
        <f ca="1">IF($H166="","",+Electric!F172)</f>
        <v>40000</v>
      </c>
      <c r="J166" s="43">
        <f ca="1">IF($H166="","",+Electric!G172)</f>
        <v>132</v>
      </c>
      <c r="K166" s="26">
        <f t="shared" ref="K166:M185" ca="1" si="71">(1-$O$2)*(IF(OR($F166&gt;$F$3,$F166&lt;$F$2),$F166,30)/30*HLOOKUP(($H166+$Q$1),$AC$80:$AQ$98,MATCH(VALUE(RIGHT(TRIM(K$5),2)),$AB$80:$AB$98,0))+"CC"+(ROUND(($E166/$F166)*$I166,0)*HLOOKUP(($H166+$Q$1),$AC$30:$AQ$48,MATCH(VALUE(RIGHT(TRIM(K$5),2)),$AB$30:$AB$48,0))+"Summer kWh"+ROUND((($F166-$E166)/$F166)*$I166,0)*HLOOKUP(($H166+$Q$1),$AC$8:$AQ$26,MATCH(VALUE(RIGHT(TRIM(K$5),2)),$AB$8:$AB$26,0))+"Winter kWh")+(IF(($H166+$Q$1)&gt;DATE(2009,7,1),$I166*0.0209*$O$3,0)+"State Wind Energy kWh Surcharge")+($E166/IF($F166&lt;=$F$3,$F166,30)*$J166*HLOOKUP(($H166+$Q$1),$AC$66:$AQ$76,MATCH(VALUE(RIGHT(TRIM(K$5),2)),$AB$66:$AB$76,0))+"Summer kW"+(($F166-$E166)/IF($F166&lt;=$F$3,$F166,30)*$J166)*HLOOKUP(($H166+$Q$1),$AC$52:$AQ$62,MATCH(VALUE(RIGHT(TRIM(K$5),2)),$AB$52:$AB$62,0))+"Winter kW")+$X166)+$Q166</f>
        <v>3746.2900000000004</v>
      </c>
      <c r="L166" s="26">
        <f t="shared" ca="1" si="71"/>
        <v>3430.9900000000002</v>
      </c>
      <c r="M166" s="26">
        <f t="shared" ca="1" si="71"/>
        <v>3815.9600000000005</v>
      </c>
      <c r="N166" s="26">
        <f t="shared" ca="1" si="59"/>
        <v>120</v>
      </c>
      <c r="O166" s="26">
        <f t="shared" ca="1" si="56"/>
        <v>2095.9999999999982</v>
      </c>
      <c r="P166" s="73">
        <f t="shared" ca="1" si="60"/>
        <v>1252.6800000000003</v>
      </c>
      <c r="Q166" s="26">
        <f t="shared" ca="1" si="61"/>
        <v>128</v>
      </c>
      <c r="R166" s="26">
        <f t="shared" ca="1" si="62"/>
        <v>3815.9600000000005</v>
      </c>
      <c r="S166" s="26">
        <f t="shared" ca="1" si="63"/>
        <v>3110.3300000000004</v>
      </c>
      <c r="T166" s="26">
        <f t="shared" ref="T166:U185" ca="1" si="72">IF(OR($F166&gt;$F$3,$F166&lt;$F$2),$F166,30)/30*HLOOKUP(($H166+$Q$1),$AC$80:$AQ$98,MATCH(VALUE(RIGHT(TRIM(T$5),2)),$AB$80:$AB$98,0))+"CC"++(ROUND(($E166/$F166)*$I166,0)*HLOOKUP(($H166),$AC$30:$AQ$48,MATCH(VALUE(RIGHT(TRIM(T$5),2)),$AB$30:$AB$48,0))+"Summer kWh"+ROUND((($F166-$E166)/$F166)*$I166,0)*HLOOKUP(($H166),$AC$8:$AQ$26,MATCH(VALUE(RIGHT(TRIM(T$5),2)),$AB$8:$AB$26,0))+"Winter kWh")+(IF($H166&gt;DATE(2009,7,1),$I166*0.0209*$O$3,0)+"State Wind Energy kWh Surcharge")+$X166+$Q166</f>
        <v>2950.78</v>
      </c>
      <c r="U166" s="26">
        <f t="shared" ca="1" si="72"/>
        <v>2622.78</v>
      </c>
      <c r="V166" s="26">
        <f t="shared" ca="1" si="64"/>
        <v>3.5</v>
      </c>
      <c r="W166" s="26">
        <f t="shared" ca="1" si="65"/>
        <v>2600</v>
      </c>
      <c r="X166" s="26">
        <f ca="1">VLOOKUP(DATE(YEAR(H166+Electric!AB172),MONTH(H166+Electric!AB172),1),'FAF &amp; DDs'!$A$2:$B$321,2,FALSE)*I166</f>
        <v>219.28</v>
      </c>
      <c r="Y166" s="26">
        <f t="shared" ca="1" si="66"/>
        <v>128</v>
      </c>
      <c r="Z166" s="26">
        <f t="shared" ca="1" si="67"/>
        <v>2950.78</v>
      </c>
    </row>
    <row r="167" spans="5:26" s="23" customFormat="1" x14ac:dyDescent="0.2">
      <c r="E167" s="38">
        <f t="shared" ca="1" si="68"/>
        <v>0</v>
      </c>
      <c r="F167" s="37">
        <f ca="1">Electric!X173</f>
        <v>29</v>
      </c>
      <c r="H167" s="32">
        <f ca="1">IF(ROW()&gt;(Electric!$Y$6-Electric!$Y$5+6),"",+Electric!V173)</f>
        <v>39120</v>
      </c>
      <c r="I167" s="33">
        <f ca="1">IF($H167="","",+Electric!F173)</f>
        <v>41200</v>
      </c>
      <c r="J167" s="43">
        <f ca="1">IF($H167="","",+Electric!G173)</f>
        <v>144</v>
      </c>
      <c r="K167" s="26">
        <f t="shared" ca="1" si="71"/>
        <v>3839.0568000000007</v>
      </c>
      <c r="L167" s="26">
        <f t="shared" ca="1" si="71"/>
        <v>3514.1568000000007</v>
      </c>
      <c r="M167" s="26">
        <f t="shared" ca="1" si="71"/>
        <v>3927.2068000000004</v>
      </c>
      <c r="N167" s="26">
        <f t="shared" ca="1" si="59"/>
        <v>120</v>
      </c>
      <c r="O167" s="26">
        <f t="shared" ca="1" si="56"/>
        <v>2158.8800000000006</v>
      </c>
      <c r="P167" s="73">
        <f t="shared" ca="1" si="60"/>
        <v>1366.5600000000002</v>
      </c>
      <c r="Q167" s="26">
        <f t="shared" ca="1" si="61"/>
        <v>131.84</v>
      </c>
      <c r="R167" s="26">
        <f t="shared" ca="1" si="62"/>
        <v>3927.21</v>
      </c>
      <c r="S167" s="26">
        <f t="shared" ca="1" si="63"/>
        <v>3127.4968000000008</v>
      </c>
      <c r="T167" s="26">
        <f t="shared" ca="1" si="72"/>
        <v>2963.2668000000003</v>
      </c>
      <c r="U167" s="26">
        <f t="shared" ca="1" si="72"/>
        <v>2625.4268000000006</v>
      </c>
      <c r="V167" s="26">
        <f t="shared" ca="1" si="64"/>
        <v>3.5</v>
      </c>
      <c r="W167" s="26">
        <f t="shared" ca="1" si="65"/>
        <v>2677.9999999999995</v>
      </c>
      <c r="X167" s="26">
        <f ca="1">VLOOKUP(DATE(YEAR(H167+Electric!AB173),MONTH(H167+Electric!AB173),1),'FAF &amp; DDs'!$A$2:$B$321,2,FALSE)*I167</f>
        <v>149.92679999999999</v>
      </c>
      <c r="Y167" s="26">
        <f t="shared" ca="1" si="66"/>
        <v>131.84</v>
      </c>
      <c r="Z167" s="26">
        <f t="shared" ca="1" si="67"/>
        <v>2963.27</v>
      </c>
    </row>
    <row r="168" spans="5:26" s="23" customFormat="1" x14ac:dyDescent="0.2">
      <c r="E168" s="38">
        <f t="shared" ca="1" si="68"/>
        <v>0</v>
      </c>
      <c r="F168" s="37">
        <f ca="1">Electric!X174</f>
        <v>35</v>
      </c>
      <c r="H168" s="32">
        <f ca="1">IF(ROW()&gt;(Electric!$Y$6-Electric!$Y$5+6),"",+Electric!V174)</f>
        <v>39091</v>
      </c>
      <c r="I168" s="33">
        <f ca="1">IF($H168="","",+Electric!F174)</f>
        <v>43600</v>
      </c>
      <c r="J168" s="43">
        <f ca="1">IF($H168="","",+Electric!G174)</f>
        <v>152</v>
      </c>
      <c r="K168" s="26">
        <f t="shared" ca="1" si="71"/>
        <v>4042.7208000000005</v>
      </c>
      <c r="L168" s="26">
        <f t="shared" ca="1" si="71"/>
        <v>3698.6208000000001</v>
      </c>
      <c r="M168" s="26">
        <f t="shared" ca="1" si="71"/>
        <v>4128.4708000000001</v>
      </c>
      <c r="N168" s="26">
        <f t="shared" ca="1" si="59"/>
        <v>120</v>
      </c>
      <c r="O168" s="26">
        <f t="shared" ca="1" si="56"/>
        <v>2284.6400000000003</v>
      </c>
      <c r="P168" s="73">
        <f t="shared" ca="1" si="60"/>
        <v>1442.4799999999998</v>
      </c>
      <c r="Q168" s="26">
        <f t="shared" ca="1" si="61"/>
        <v>139.52000000000001</v>
      </c>
      <c r="R168" s="26">
        <f t="shared" ca="1" si="62"/>
        <v>4128.47</v>
      </c>
      <c r="S168" s="26">
        <f t="shared" ca="1" si="63"/>
        <v>3292.4408000000003</v>
      </c>
      <c r="T168" s="26">
        <f t="shared" ca="1" si="72"/>
        <v>3118.8508000000002</v>
      </c>
      <c r="U168" s="26">
        <f t="shared" ca="1" si="72"/>
        <v>2761.3308000000002</v>
      </c>
      <c r="V168" s="26">
        <f t="shared" ca="1" si="64"/>
        <v>3.5</v>
      </c>
      <c r="W168" s="26">
        <f t="shared" ca="1" si="65"/>
        <v>2833.9999999999995</v>
      </c>
      <c r="X168" s="26">
        <f ca="1">VLOOKUP(DATE(YEAR(H168+Electric!AB174),MONTH(H168+Electric!AB174),1),'FAF &amp; DDs'!$A$2:$B$321,2,FALSE)*I168</f>
        <v>141.83079999999998</v>
      </c>
      <c r="Y168" s="26">
        <f t="shared" ca="1" si="66"/>
        <v>139.52000000000001</v>
      </c>
      <c r="Z168" s="26">
        <f t="shared" ca="1" si="67"/>
        <v>3118.85</v>
      </c>
    </row>
    <row r="169" spans="5:26" s="23" customFormat="1" x14ac:dyDescent="0.2">
      <c r="E169" s="38">
        <f t="shared" ca="1" si="68"/>
        <v>0</v>
      </c>
      <c r="F169" s="37">
        <f ca="1">Electric!X175</f>
        <v>29</v>
      </c>
      <c r="H169" s="32">
        <f ca="1">IF(ROW()&gt;(Electric!$Y$6-Electric!$Y$5+6),"",+Electric!V175)</f>
        <v>39056</v>
      </c>
      <c r="I169" s="33">
        <f ca="1">IF($H169="","",+Electric!F175)</f>
        <v>36800</v>
      </c>
      <c r="J169" s="43">
        <f ca="1">IF($H169="","",+Electric!G175)</f>
        <v>156</v>
      </c>
      <c r="K169" s="26">
        <f t="shared" ca="1" si="71"/>
        <v>3684.293200000001</v>
      </c>
      <c r="L169" s="26">
        <f t="shared" ca="1" si="71"/>
        <v>3394.5932000000003</v>
      </c>
      <c r="M169" s="26">
        <f t="shared" ca="1" si="71"/>
        <v>3842.4432000000006</v>
      </c>
      <c r="N169" s="26">
        <f t="shared" ca="1" si="59"/>
        <v>120</v>
      </c>
      <c r="O169" s="26">
        <f t="shared" ca="1" si="56"/>
        <v>1928.3200000000002</v>
      </c>
      <c r="P169" s="73">
        <f t="shared" ca="1" si="60"/>
        <v>1480.4400000000003</v>
      </c>
      <c r="Q169" s="26">
        <f t="shared" ca="1" si="61"/>
        <v>117.76</v>
      </c>
      <c r="R169" s="26">
        <f t="shared" ca="1" si="62"/>
        <v>3842.44</v>
      </c>
      <c r="S169" s="26">
        <f t="shared" ca="1" si="63"/>
        <v>2856.2532000000006</v>
      </c>
      <c r="T169" s="26">
        <f t="shared" ca="1" si="72"/>
        <v>2709.1832000000004</v>
      </c>
      <c r="U169" s="26">
        <f t="shared" ca="1" si="72"/>
        <v>2407.4232000000006</v>
      </c>
      <c r="V169" s="26">
        <f t="shared" ca="1" si="64"/>
        <v>3.5</v>
      </c>
      <c r="W169" s="26">
        <f t="shared" ca="1" si="65"/>
        <v>2392.0000000000009</v>
      </c>
      <c r="X169" s="26">
        <f ca="1">VLOOKUP(DATE(YEAR(H169+Electric!AB175),MONTH(H169+Electric!AB175),1),'FAF &amp; DDs'!$A$2:$B$321,2,FALSE)*I169</f>
        <v>195.92319999999998</v>
      </c>
      <c r="Y169" s="26">
        <f t="shared" ca="1" si="66"/>
        <v>117.76</v>
      </c>
      <c r="Z169" s="26">
        <f t="shared" ca="1" si="67"/>
        <v>2709.1800000000003</v>
      </c>
    </row>
    <row r="170" spans="5:26" s="23" customFormat="1" x14ac:dyDescent="0.2">
      <c r="E170" s="38">
        <f t="shared" ca="1" si="68"/>
        <v>0</v>
      </c>
      <c r="F170" s="37">
        <f ca="1">Electric!X176</f>
        <v>32</v>
      </c>
      <c r="H170" s="32">
        <f ca="1">IF(ROW()&gt;(Electric!$Y$6-Electric!$Y$5+6),"",+Electric!V176)</f>
        <v>39027</v>
      </c>
      <c r="I170" s="33">
        <f ca="1">IF($H170="","",+Electric!F176)</f>
        <v>47800</v>
      </c>
      <c r="J170" s="43">
        <f ca="1">IF($H170="","",+Electric!G176)</f>
        <v>132</v>
      </c>
      <c r="K170" s="26">
        <f t="shared" ca="1" si="71"/>
        <v>4226.6614</v>
      </c>
      <c r="L170" s="26">
        <f t="shared" ca="1" si="71"/>
        <v>3848.9614000000001</v>
      </c>
      <c r="M170" s="26">
        <f t="shared" ca="1" si="71"/>
        <v>4224.5714000000007</v>
      </c>
      <c r="N170" s="26">
        <f t="shared" ca="1" si="59"/>
        <v>120</v>
      </c>
      <c r="O170" s="26">
        <f t="shared" ca="1" si="56"/>
        <v>2504.7200000000003</v>
      </c>
      <c r="P170" s="73">
        <f t="shared" ca="1" si="60"/>
        <v>1252.68</v>
      </c>
      <c r="Q170" s="26">
        <f t="shared" ca="1" si="61"/>
        <v>152.96</v>
      </c>
      <c r="R170" s="26">
        <f t="shared" ca="1" si="62"/>
        <v>4224.57</v>
      </c>
      <c r="S170" s="26">
        <f t="shared" ca="1" si="63"/>
        <v>3647.6414000000004</v>
      </c>
      <c r="T170" s="26">
        <f t="shared" ca="1" si="72"/>
        <v>3457.6714000000002</v>
      </c>
      <c r="U170" s="26">
        <f t="shared" ca="1" si="72"/>
        <v>3065.7114000000001</v>
      </c>
      <c r="V170" s="26">
        <f t="shared" ca="1" si="64"/>
        <v>3.5</v>
      </c>
      <c r="W170" s="26">
        <f t="shared" ca="1" si="65"/>
        <v>3107</v>
      </c>
      <c r="X170" s="26">
        <f ca="1">VLOOKUP(DATE(YEAR(H170+Electric!AB176),MONTH(H170+Electric!AB176),1),'FAF &amp; DDs'!$A$2:$B$321,2,FALSE)*I170</f>
        <v>194.2114</v>
      </c>
      <c r="Y170" s="26">
        <f t="shared" ca="1" si="66"/>
        <v>152.96</v>
      </c>
      <c r="Z170" s="26">
        <f t="shared" ca="1" si="67"/>
        <v>3457.67</v>
      </c>
    </row>
    <row r="171" spans="5:26" s="23" customFormat="1" x14ac:dyDescent="0.2">
      <c r="E171" s="38">
        <f t="shared" ca="1" si="68"/>
        <v>7</v>
      </c>
      <c r="F171" s="37">
        <f ca="1">Electric!X177</f>
        <v>27</v>
      </c>
      <c r="H171" s="32">
        <f ca="1">IF(ROW()&gt;(Electric!$Y$6-Electric!$Y$5+6),"",+Electric!V177)</f>
        <v>38995</v>
      </c>
      <c r="I171" s="33">
        <f ca="1">IF($H171="","",+Electric!F177)</f>
        <v>44200</v>
      </c>
      <c r="J171" s="43">
        <f ca="1">IF($H171="","",+Electric!G177)</f>
        <v>160</v>
      </c>
      <c r="K171" s="26">
        <f t="shared" ca="1" si="71"/>
        <v>4509.0421777777774</v>
      </c>
      <c r="L171" s="26">
        <f t="shared" ca="1" si="71"/>
        <v>4172.9395259259254</v>
      </c>
      <c r="M171" s="26">
        <f t="shared" ca="1" si="71"/>
        <v>4614.2255888888885</v>
      </c>
      <c r="N171" s="26">
        <f t="shared" ca="1" si="59"/>
        <v>120</v>
      </c>
      <c r="O171" s="26">
        <f t="shared" ca="1" si="56"/>
        <v>2308.1893592592592</v>
      </c>
      <c r="P171" s="73">
        <f t="shared" ca="1" si="60"/>
        <v>1530.5415637860081</v>
      </c>
      <c r="Q171" s="26">
        <f t="shared" ca="1" si="61"/>
        <v>141.44</v>
      </c>
      <c r="R171" s="26">
        <f t="shared" ca="1" si="62"/>
        <v>4467.43</v>
      </c>
      <c r="S171" s="26">
        <f t="shared" ca="1" si="63"/>
        <v>3668.8424000000005</v>
      </c>
      <c r="T171" s="26">
        <f t="shared" ca="1" si="72"/>
        <v>3537.6025</v>
      </c>
      <c r="U171" s="26">
        <f t="shared" ca="1" si="72"/>
        <v>3269.1262999999999</v>
      </c>
      <c r="V171" s="26">
        <f t="shared" ca="1" si="64"/>
        <v>3.5</v>
      </c>
      <c r="W171" s="26">
        <f t="shared" ca="1" si="65"/>
        <v>2916.6318222222221</v>
      </c>
      <c r="X171" s="26">
        <f ca="1">VLOOKUP(DATE(YEAR(H171+Electric!AB177),MONTH(H171+Electric!AB177),1),'FAF &amp; DDs'!$A$2:$B$321,2,FALSE)*I171</f>
        <v>367.25780000000003</v>
      </c>
      <c r="Y171" s="26">
        <f t="shared" ca="1" si="66"/>
        <v>141.44</v>
      </c>
      <c r="Z171" s="26">
        <f t="shared" ca="1" si="67"/>
        <v>3428.8300000000004</v>
      </c>
    </row>
    <row r="172" spans="5:26" s="23" customFormat="1" x14ac:dyDescent="0.2">
      <c r="E172" s="38">
        <f t="shared" ca="1" si="68"/>
        <v>30</v>
      </c>
      <c r="F172" s="37">
        <f ca="1">Electric!X178</f>
        <v>30</v>
      </c>
      <c r="H172" s="32">
        <f ca="1">IF(ROW()&gt;(Electric!$Y$6-Electric!$Y$5+6),"",+Electric!V178)</f>
        <v>38968</v>
      </c>
      <c r="I172" s="33">
        <f ca="1">IF($H172="","",+Electric!F178)</f>
        <v>55400</v>
      </c>
      <c r="J172" s="43">
        <f ca="1">IF($H172="","",+Electric!G178)</f>
        <v>200</v>
      </c>
      <c r="K172" s="26">
        <f t="shared" ca="1" si="71"/>
        <v>5961.7060000000001</v>
      </c>
      <c r="L172" s="26">
        <f t="shared" ca="1" si="71"/>
        <v>5604.4259999999995</v>
      </c>
      <c r="M172" s="26">
        <f t="shared" ca="1" si="71"/>
        <v>6083.5959999999995</v>
      </c>
      <c r="N172" s="26">
        <f t="shared" ca="1" si="59"/>
        <v>120</v>
      </c>
      <c r="O172" s="26">
        <f t="shared" ca="1" si="56"/>
        <v>3102.4</v>
      </c>
      <c r="P172" s="73">
        <f t="shared" ca="1" si="60"/>
        <v>2100</v>
      </c>
      <c r="Q172" s="26">
        <f t="shared" ca="1" si="61"/>
        <v>177.28</v>
      </c>
      <c r="R172" s="26">
        <f t="shared" ca="1" si="62"/>
        <v>6083.5999999999995</v>
      </c>
      <c r="S172" s="26">
        <f t="shared" ca="1" si="63"/>
        <v>4845.6859999999997</v>
      </c>
      <c r="T172" s="26">
        <f t="shared" ca="1" si="72"/>
        <v>4842.1359999999995</v>
      </c>
      <c r="U172" s="26">
        <f t="shared" ca="1" si="72"/>
        <v>4842.1359999999995</v>
      </c>
      <c r="V172" s="26">
        <f t="shared" ca="1" si="64"/>
        <v>3.5</v>
      </c>
      <c r="W172" s="26">
        <f t="shared" ca="1" si="65"/>
        <v>4077.44</v>
      </c>
      <c r="X172" s="26">
        <f ca="1">VLOOKUP(DATE(YEAR(H172+Electric!AB178),MONTH(H172+Electric!AB178),1),'FAF &amp; DDs'!$A$2:$B$321,2,FALSE)*I172</f>
        <v>583.91600000000005</v>
      </c>
      <c r="Y172" s="26">
        <f t="shared" ca="1" si="66"/>
        <v>177.28</v>
      </c>
      <c r="Z172" s="26">
        <f t="shared" ca="1" si="67"/>
        <v>4842.1399999999994</v>
      </c>
    </row>
    <row r="173" spans="5:26" s="23" customFormat="1" x14ac:dyDescent="0.2">
      <c r="E173" s="38">
        <f t="shared" ca="1" si="68"/>
        <v>29</v>
      </c>
      <c r="F173" s="37">
        <f ca="1">Electric!X179</f>
        <v>29</v>
      </c>
      <c r="H173" s="32">
        <f ca="1">IF(ROW()&gt;(Electric!$Y$6-Electric!$Y$5+6),"",+Electric!V179)</f>
        <v>38938</v>
      </c>
      <c r="I173" s="33">
        <f ca="1">IF($H173="","",+Electric!F179)</f>
        <v>62000</v>
      </c>
      <c r="J173" s="43">
        <f ca="1">IF($H173="","",+Electric!G179)</f>
        <v>220</v>
      </c>
      <c r="K173" s="26">
        <f t="shared" ca="1" si="71"/>
        <v>6503.6959999999999</v>
      </c>
      <c r="L173" s="26">
        <f t="shared" ca="1" si="71"/>
        <v>6100.9959999999992</v>
      </c>
      <c r="M173" s="26">
        <f t="shared" ca="1" si="71"/>
        <v>6617.0459999999994</v>
      </c>
      <c r="N173" s="26">
        <f t="shared" ca="1" si="59"/>
        <v>120</v>
      </c>
      <c r="O173" s="26">
        <f t="shared" ca="1" si="56"/>
        <v>3472</v>
      </c>
      <c r="P173" s="73">
        <f t="shared" ca="1" si="60"/>
        <v>2310</v>
      </c>
      <c r="Q173" s="26">
        <f t="shared" ca="1" si="61"/>
        <v>198.4</v>
      </c>
      <c r="R173" s="26">
        <f t="shared" ca="1" si="62"/>
        <v>6617.0499999999993</v>
      </c>
      <c r="S173" s="26">
        <f t="shared" ca="1" si="63"/>
        <v>5285.2959999999994</v>
      </c>
      <c r="T173" s="26">
        <f t="shared" ca="1" si="72"/>
        <v>5281.7459999999992</v>
      </c>
      <c r="U173" s="26">
        <f t="shared" ca="1" si="72"/>
        <v>5281.7459999999992</v>
      </c>
      <c r="V173" s="26">
        <f t="shared" ca="1" si="64"/>
        <v>3.5</v>
      </c>
      <c r="W173" s="26">
        <f t="shared" ca="1" si="65"/>
        <v>4563.2</v>
      </c>
      <c r="X173" s="26">
        <f ca="1">VLOOKUP(DATE(YEAR(H173+Electric!AB179),MONTH(H173+Electric!AB179),1),'FAF &amp; DDs'!$A$2:$B$321,2,FALSE)*I173</f>
        <v>516.64599999999996</v>
      </c>
      <c r="Y173" s="26">
        <f t="shared" ca="1" si="66"/>
        <v>198.4</v>
      </c>
      <c r="Z173" s="26">
        <f t="shared" ca="1" si="67"/>
        <v>5281.7499999999991</v>
      </c>
    </row>
    <row r="174" spans="5:26" s="23" customFormat="1" x14ac:dyDescent="0.2">
      <c r="E174" s="38">
        <f t="shared" ca="1" si="68"/>
        <v>32</v>
      </c>
      <c r="F174" s="37">
        <f ca="1">Electric!X180</f>
        <v>32</v>
      </c>
      <c r="H174" s="32">
        <f ca="1">IF(ROW()&gt;(Electric!$Y$6-Electric!$Y$5+6),"",+Electric!V180)</f>
        <v>38909</v>
      </c>
      <c r="I174" s="33">
        <f ca="1">IF($H174="","",+Electric!F180)</f>
        <v>61200</v>
      </c>
      <c r="J174" s="43">
        <f ca="1">IF($H174="","",+Electric!G180)</f>
        <v>194</v>
      </c>
      <c r="K174" s="26">
        <f t="shared" ca="1" si="71"/>
        <v>6357.2708000000002</v>
      </c>
      <c r="L174" s="26">
        <f t="shared" ca="1" si="71"/>
        <v>5945.9308000000001</v>
      </c>
      <c r="M174" s="26">
        <f t="shared" ca="1" si="71"/>
        <v>6412.4808000000012</v>
      </c>
      <c r="N174" s="26">
        <f t="shared" ca="1" si="59"/>
        <v>120</v>
      </c>
      <c r="O174" s="26">
        <f t="shared" ca="1" si="56"/>
        <v>3427.2000000000003</v>
      </c>
      <c r="P174" s="73">
        <f t="shared" ca="1" si="60"/>
        <v>2037</v>
      </c>
      <c r="Q174" s="26">
        <f t="shared" ca="1" si="61"/>
        <v>195.84</v>
      </c>
      <c r="R174" s="26">
        <f t="shared" ca="1" si="62"/>
        <v>6412.48</v>
      </c>
      <c r="S174" s="26">
        <f t="shared" ca="1" si="63"/>
        <v>5339.6508000000003</v>
      </c>
      <c r="T174" s="26">
        <f t="shared" ca="1" si="72"/>
        <v>5336.1008000000002</v>
      </c>
      <c r="U174" s="26">
        <f t="shared" ca="1" si="72"/>
        <v>5336.1008000000002</v>
      </c>
      <c r="V174" s="26">
        <f t="shared" ca="1" si="64"/>
        <v>3.5</v>
      </c>
      <c r="W174" s="26">
        <f t="shared" ca="1" si="65"/>
        <v>4504.32</v>
      </c>
      <c r="X174" s="26">
        <f ca="1">VLOOKUP(DATE(YEAR(H174+Electric!AB180),MONTH(H174+Electric!AB180),1),'FAF &amp; DDs'!$A$2:$B$321,2,FALSE)*I174</f>
        <v>632.44079999999997</v>
      </c>
      <c r="Y174" s="26">
        <f t="shared" ca="1" si="66"/>
        <v>195.84</v>
      </c>
      <c r="Z174" s="26">
        <f t="shared" ca="1" si="67"/>
        <v>5336.1</v>
      </c>
    </row>
    <row r="175" spans="5:26" s="23" customFormat="1" x14ac:dyDescent="0.2">
      <c r="E175" s="38">
        <f t="shared" ca="1" si="68"/>
        <v>25</v>
      </c>
      <c r="F175" s="37">
        <f ca="1">Electric!X181</f>
        <v>31</v>
      </c>
      <c r="H175" s="32">
        <f ca="1">IF(ROW()&gt;(Electric!$Y$6-Electric!$Y$5+6),"",+Electric!V181)</f>
        <v>38877</v>
      </c>
      <c r="I175" s="33">
        <f ca="1">IF($H175="","",+Electric!F181)</f>
        <v>56800</v>
      </c>
      <c r="J175" s="43">
        <f ca="1">IF($H175="","",+Electric!G181)</f>
        <v>218</v>
      </c>
      <c r="K175" s="26">
        <f t="shared" ca="1" si="71"/>
        <v>5920.0337032258067</v>
      </c>
      <c r="L175" s="26">
        <f t="shared" ca="1" si="71"/>
        <v>5549.2503741935489</v>
      </c>
      <c r="M175" s="26">
        <f t="shared" ca="1" si="71"/>
        <v>6068.4037935483866</v>
      </c>
      <c r="N175" s="26">
        <f t="shared" ca="1" si="59"/>
        <v>120</v>
      </c>
      <c r="O175" s="26">
        <f t="shared" ca="1" si="56"/>
        <v>3106.0407999999998</v>
      </c>
      <c r="P175" s="73">
        <f t="shared" ca="1" si="60"/>
        <v>2222.3341935483868</v>
      </c>
      <c r="Q175" s="26">
        <f t="shared" ca="1" si="61"/>
        <v>181.76000000000002</v>
      </c>
      <c r="R175" s="26">
        <f t="shared" ca="1" si="62"/>
        <v>6068.4</v>
      </c>
      <c r="S175" s="26">
        <f t="shared" ca="1" si="63"/>
        <v>4710.8116</v>
      </c>
      <c r="T175" s="26">
        <f t="shared" ca="1" si="72"/>
        <v>4666.5838000000003</v>
      </c>
      <c r="U175" s="26">
        <f t="shared" ca="1" si="72"/>
        <v>4581.93</v>
      </c>
      <c r="V175" s="26">
        <f t="shared" ca="1" si="64"/>
        <v>3.5</v>
      </c>
      <c r="W175" s="26">
        <f t="shared" ca="1" si="65"/>
        <v>4043.0549999999998</v>
      </c>
      <c r="X175" s="26">
        <f ca="1">VLOOKUP(DATE(YEAR(H175+Electric!AB181),MONTH(H175+Electric!AB181),1),'FAF &amp; DDs'!$A$2:$B$321,2,FALSE)*I175</f>
        <v>438.2688</v>
      </c>
      <c r="Y175" s="26">
        <f t="shared" ca="1" si="66"/>
        <v>181.76000000000002</v>
      </c>
      <c r="Z175" s="26">
        <f t="shared" ca="1" si="67"/>
        <v>4666.59</v>
      </c>
    </row>
    <row r="176" spans="5:26" s="23" customFormat="1" x14ac:dyDescent="0.2">
      <c r="E176" s="38">
        <f t="shared" ca="1" si="68"/>
        <v>0</v>
      </c>
      <c r="F176" s="37">
        <f ca="1">Electric!X182</f>
        <v>32</v>
      </c>
      <c r="H176" s="32">
        <f ca="1">IF(ROW()&gt;(Electric!$Y$6-Electric!$Y$5+6),"",+Electric!V182)</f>
        <v>38846</v>
      </c>
      <c r="I176" s="33">
        <f ca="1">IF($H176="","",+Electric!F182)</f>
        <v>54200</v>
      </c>
      <c r="J176" s="43">
        <f ca="1">IF($H176="","",+Electric!G182)</f>
        <v>200</v>
      </c>
      <c r="K176" s="26">
        <f t="shared" ca="1" si="71"/>
        <v>5034.920799999999</v>
      </c>
      <c r="L176" s="26">
        <f t="shared" ca="1" si="71"/>
        <v>4633.1207999999997</v>
      </c>
      <c r="M176" s="26">
        <f t="shared" ca="1" si="71"/>
        <v>5138.3307999999988</v>
      </c>
      <c r="N176" s="26">
        <f t="shared" ca="1" si="59"/>
        <v>120</v>
      </c>
      <c r="O176" s="26">
        <f t="shared" ca="1" si="56"/>
        <v>2666.64</v>
      </c>
      <c r="P176" s="73">
        <f t="shared" ca="1" si="60"/>
        <v>1784</v>
      </c>
      <c r="Q176" s="26">
        <f t="shared" ca="1" si="61"/>
        <v>173.44</v>
      </c>
      <c r="R176" s="26">
        <f t="shared" ca="1" si="62"/>
        <v>5138.329999999999</v>
      </c>
      <c r="S176" s="26">
        <f t="shared" ca="1" si="63"/>
        <v>4086.9007999999999</v>
      </c>
      <c r="T176" s="26">
        <f t="shared" ca="1" si="72"/>
        <v>3882.8107999999997</v>
      </c>
      <c r="U176" s="26">
        <f t="shared" ca="1" si="72"/>
        <v>3465.4708000000005</v>
      </c>
      <c r="V176" s="26">
        <f t="shared" ca="1" si="64"/>
        <v>3.5</v>
      </c>
      <c r="W176" s="26">
        <f t="shared" ca="1" si="65"/>
        <v>3311.62</v>
      </c>
      <c r="X176" s="26">
        <f ca="1">VLOOKUP(DATE(YEAR(H176+Electric!AB182),MONTH(H176+Electric!AB182),1),'FAF &amp; DDs'!$A$2:$B$321,2,FALSE)*I176</f>
        <v>394.25080000000003</v>
      </c>
      <c r="Y176" s="26">
        <f t="shared" ca="1" si="66"/>
        <v>173.44</v>
      </c>
      <c r="Z176" s="26">
        <f t="shared" ca="1" si="67"/>
        <v>3882.81</v>
      </c>
    </row>
    <row r="177" spans="5:26" s="23" customFormat="1" x14ac:dyDescent="0.2">
      <c r="E177" s="38">
        <f t="shared" ca="1" si="68"/>
        <v>0</v>
      </c>
      <c r="F177" s="37">
        <f ca="1">Electric!X183</f>
        <v>34</v>
      </c>
      <c r="H177" s="32">
        <f ca="1">IF(ROW()&gt;(Electric!$Y$6-Electric!$Y$5+6),"",+Electric!V183)</f>
        <v>38814</v>
      </c>
      <c r="I177" s="33">
        <f ca="1">IF($H177="","",+Electric!F183)</f>
        <v>47400</v>
      </c>
      <c r="J177" s="43">
        <f ca="1">IF($H177="","",+Electric!G183)</f>
        <v>188</v>
      </c>
      <c r="K177" s="26">
        <f t="shared" ca="1" si="71"/>
        <v>4326.2744000000012</v>
      </c>
      <c r="L177" s="26">
        <f t="shared" ca="1" si="71"/>
        <v>3975.4744000000001</v>
      </c>
      <c r="M177" s="26">
        <f t="shared" ca="1" si="71"/>
        <v>4461.1244000000006</v>
      </c>
      <c r="N177" s="26">
        <f t="shared" ca="1" si="59"/>
        <v>120</v>
      </c>
      <c r="O177" s="26">
        <f t="shared" ca="1" si="56"/>
        <v>2214.9741176470588</v>
      </c>
      <c r="P177" s="73">
        <f t="shared" ca="1" si="60"/>
        <v>1593.3552941176472</v>
      </c>
      <c r="Q177" s="26">
        <f t="shared" ca="1" si="61"/>
        <v>151.68</v>
      </c>
      <c r="R177" s="26">
        <f t="shared" ca="1" si="62"/>
        <v>4260.41</v>
      </c>
      <c r="S177" s="26">
        <f t="shared" ca="1" si="63"/>
        <v>3410.6543999999999</v>
      </c>
      <c r="T177" s="26">
        <f t="shared" ca="1" si="72"/>
        <v>3231.7243999999996</v>
      </c>
      <c r="U177" s="26">
        <f t="shared" ca="1" si="72"/>
        <v>2866.7444</v>
      </c>
      <c r="V177" s="26">
        <f t="shared" ca="1" si="64"/>
        <v>3.5</v>
      </c>
      <c r="W177" s="26">
        <f t="shared" ca="1" si="65"/>
        <v>2747.8058823529409</v>
      </c>
      <c r="X177" s="26">
        <f ca="1">VLOOKUP(DATE(YEAR(H177+Electric!AB183),MONTH(H177+Electric!AB183),1),'FAF &amp; DDs'!$A$2:$B$321,2,FALSE)*I177</f>
        <v>180.40440000000001</v>
      </c>
      <c r="Y177" s="26">
        <f t="shared" ca="1" si="66"/>
        <v>146.41051411764704</v>
      </c>
      <c r="Z177" s="26">
        <f t="shared" ca="1" si="67"/>
        <v>3078.12</v>
      </c>
    </row>
    <row r="178" spans="5:26" s="23" customFormat="1" x14ac:dyDescent="0.2">
      <c r="E178" s="38">
        <f t="shared" ca="1" si="68"/>
        <v>0</v>
      </c>
      <c r="F178" s="37">
        <f ca="1">Electric!X184</f>
        <v>24</v>
      </c>
      <c r="H178" s="32">
        <f ca="1">IF(ROW()&gt;(Electric!$Y$6-Electric!$Y$5+6),"",+Electric!V184)</f>
        <v>38780</v>
      </c>
      <c r="I178" s="33">
        <f ca="1">IF($H178="","",+Electric!F184)</f>
        <v>46400</v>
      </c>
      <c r="J178" s="43">
        <f ca="1">IF($H178="","",+Electric!G184)</f>
        <v>200</v>
      </c>
      <c r="K178" s="26">
        <f t="shared" ca="1" si="71"/>
        <v>4050.5891999999999</v>
      </c>
      <c r="L178" s="26">
        <f t="shared" ca="1" si="71"/>
        <v>3725.8492000000001</v>
      </c>
      <c r="M178" s="26">
        <f t="shared" ca="1" si="71"/>
        <v>4217.0591999999997</v>
      </c>
      <c r="N178" s="26">
        <f t="shared" ca="1" si="59"/>
        <v>120</v>
      </c>
      <c r="O178" s="26">
        <f t="shared" ref="O178:O204" ca="1" si="73">+(ROUND(($E178/$F178)*$I178,0)*HLOOKUP(($H178+$Q$1),$AC$30:$AQ$48,MATCH($AC$2,$AB$30:$AB$48,0))+"Summer"+ROUND((($F178-$E178)/$F178)*$I178,0)/$F178*(($H178-HLOOKUP($H178,$AC$8:$AQ$8,1))*HLOOKUP($H178,$AC$8:$AQ$26,MATCH($AC$2,$AB$8:$AB$26,0))+(HLOOKUP($H178,$AC$8:$AQ$8,1)-$H178+$F178)*HLOOKUP($H178-$F178,$AC$8:$AQ$26,MATCH($AC$2,$AB$8:$AB$26,0)))+"Winter")+(ROUND($I178*HLOOKUP($H178,$AR$72:$BD$73,2)*$O$3,2)+"State Wind Energy Surcharge")</f>
        <v>2143.6800000000007</v>
      </c>
      <c r="P178" s="73">
        <f t="shared" ca="1" si="60"/>
        <v>1675.9999999999993</v>
      </c>
      <c r="Q178" s="26">
        <f t="shared" ca="1" si="61"/>
        <v>148.48000000000002</v>
      </c>
      <c r="R178" s="26">
        <f t="shared" ca="1" si="62"/>
        <v>4217.0599999999995</v>
      </c>
      <c r="S178" s="26">
        <f t="shared" ca="1" si="63"/>
        <v>3105.5491999999999</v>
      </c>
      <c r="T178" s="26">
        <f t="shared" ca="1" si="72"/>
        <v>2939.5991999999997</v>
      </c>
      <c r="U178" s="26">
        <f t="shared" ca="1" si="72"/>
        <v>2605.5191999999997</v>
      </c>
      <c r="V178" s="26">
        <f t="shared" ca="1" si="64"/>
        <v>3.5</v>
      </c>
      <c r="W178" s="26">
        <f t="shared" ca="1" si="65"/>
        <v>2658.7199999999989</v>
      </c>
      <c r="X178" s="26">
        <f ca="1">VLOOKUP(DATE(YEAR(H178+Electric!AB184),MONTH(H178+Electric!AB184),1),'FAF &amp; DDs'!$A$2:$B$321,2,FALSE)*I178</f>
        <v>128.89920000000001</v>
      </c>
      <c r="Y178" s="26">
        <f t="shared" ca="1" si="66"/>
        <v>139.38095999999993</v>
      </c>
      <c r="Z178" s="26">
        <f t="shared" ca="1" si="67"/>
        <v>2930.5</v>
      </c>
    </row>
    <row r="179" spans="5:26" s="23" customFormat="1" x14ac:dyDescent="0.2">
      <c r="E179" s="38">
        <f t="shared" ca="1" si="68"/>
        <v>0</v>
      </c>
      <c r="F179" s="37">
        <f ca="1">Electric!X185</f>
        <v>30</v>
      </c>
      <c r="H179" s="32">
        <f ca="1">IF(ROW()&gt;(Electric!$Y$6-Electric!$Y$5+6),"",+Electric!V185)</f>
        <v>38756</v>
      </c>
      <c r="I179" s="33">
        <f ca="1">IF($H179="","",+Electric!F185)</f>
        <v>49600</v>
      </c>
      <c r="J179" s="43">
        <f ca="1">IF($H179="","",+Electric!G185)</f>
        <v>170</v>
      </c>
      <c r="K179" s="26">
        <f t="shared" ca="1" si="71"/>
        <v>4045.9915999999994</v>
      </c>
      <c r="L179" s="26">
        <f t="shared" ca="1" si="71"/>
        <v>3698.5315999999993</v>
      </c>
      <c r="M179" s="26">
        <f t="shared" ca="1" si="71"/>
        <v>4121.1215999999995</v>
      </c>
      <c r="N179" s="26">
        <f t="shared" ca="1" si="59"/>
        <v>120</v>
      </c>
      <c r="O179" s="26">
        <f t="shared" ca="1" si="73"/>
        <v>2291.5199999999995</v>
      </c>
      <c r="P179" s="73">
        <f t="shared" ca="1" si="60"/>
        <v>1424.6000000000006</v>
      </c>
      <c r="Q179" s="26">
        <f t="shared" ca="1" si="61"/>
        <v>158.72</v>
      </c>
      <c r="R179" s="26">
        <f t="shared" ca="1" si="62"/>
        <v>4121.12</v>
      </c>
      <c r="S179" s="26">
        <f t="shared" ca="1" si="63"/>
        <v>3307.7315999999996</v>
      </c>
      <c r="T179" s="26">
        <f t="shared" ca="1" si="72"/>
        <v>3130.5815999999995</v>
      </c>
      <c r="U179" s="26">
        <f t="shared" ca="1" si="72"/>
        <v>2773.4615999999996</v>
      </c>
      <c r="V179" s="26">
        <f t="shared" ca="1" si="64"/>
        <v>3.5</v>
      </c>
      <c r="W179" s="26">
        <f t="shared" ca="1" si="65"/>
        <v>2842.0799999999995</v>
      </c>
      <c r="X179" s="26">
        <f ca="1">VLOOKUP(DATE(YEAR(H179+Electric!AB185),MONTH(H179+Electric!AB185),1),'FAF &amp; DDs'!$A$2:$B$321,2,FALSE)*I179</f>
        <v>126.2816</v>
      </c>
      <c r="Y179" s="26">
        <f t="shared" ca="1" si="66"/>
        <v>148.41807999999997</v>
      </c>
      <c r="Z179" s="26">
        <f t="shared" ca="1" si="67"/>
        <v>3120.28</v>
      </c>
    </row>
    <row r="180" spans="5:26" s="23" customFormat="1" x14ac:dyDescent="0.2">
      <c r="E180" s="38">
        <f t="shared" ca="1" si="68"/>
        <v>0</v>
      </c>
      <c r="F180" s="37">
        <f ca="1">Electric!X186</f>
        <v>34</v>
      </c>
      <c r="H180" s="32">
        <f ca="1">IF(ROW()&gt;(Electric!$Y$6-Electric!$Y$5+6),"",+Electric!V186)</f>
        <v>38726</v>
      </c>
      <c r="I180" s="33">
        <f ca="1">IF($H180="","",+Electric!F186)</f>
        <v>50000</v>
      </c>
      <c r="J180" s="43">
        <f ca="1">IF($H180="","",+Electric!G186)</f>
        <v>180</v>
      </c>
      <c r="K180" s="26">
        <f t="shared" ca="1" si="71"/>
        <v>4169.1500000000005</v>
      </c>
      <c r="L180" s="26">
        <f t="shared" ca="1" si="71"/>
        <v>3818.8500000000004</v>
      </c>
      <c r="M180" s="26">
        <f t="shared" ca="1" si="71"/>
        <v>4262.7</v>
      </c>
      <c r="N180" s="26">
        <f t="shared" ca="1" si="59"/>
        <v>120</v>
      </c>
      <c r="O180" s="26">
        <f t="shared" ca="1" si="73"/>
        <v>2309.9999999999995</v>
      </c>
      <c r="P180" s="73">
        <f t="shared" ca="1" si="60"/>
        <v>1508.4</v>
      </c>
      <c r="Q180" s="26">
        <f t="shared" ca="1" si="61"/>
        <v>160</v>
      </c>
      <c r="R180" s="26">
        <f t="shared" ca="1" si="62"/>
        <v>4262.7</v>
      </c>
      <c r="S180" s="26">
        <f t="shared" ca="1" si="63"/>
        <v>3371.3500000000004</v>
      </c>
      <c r="T180" s="26">
        <f t="shared" ca="1" si="72"/>
        <v>3192.8</v>
      </c>
      <c r="U180" s="26">
        <f t="shared" ca="1" si="72"/>
        <v>2832.8</v>
      </c>
      <c r="V180" s="26">
        <f t="shared" ca="1" si="64"/>
        <v>3.5</v>
      </c>
      <c r="W180" s="26">
        <f t="shared" ca="1" si="65"/>
        <v>2864.9999999999995</v>
      </c>
      <c r="X180" s="26">
        <f ca="1">VLOOKUP(DATE(YEAR(H180+Electric!AB186),MONTH(H180+Electric!AB186),1),'FAF &amp; DDs'!$A$2:$B$321,2,FALSE)*I180</f>
        <v>164.29999999999998</v>
      </c>
      <c r="Y180" s="26">
        <f t="shared" ca="1" si="66"/>
        <v>151.465</v>
      </c>
      <c r="Z180" s="26">
        <f t="shared" ca="1" si="67"/>
        <v>3184.27</v>
      </c>
    </row>
    <row r="181" spans="5:26" s="23" customFormat="1" x14ac:dyDescent="0.2">
      <c r="E181" s="38">
        <f t="shared" ca="1" si="68"/>
        <v>0</v>
      </c>
      <c r="F181" s="37">
        <f ca="1">Electric!X187</f>
        <v>33</v>
      </c>
      <c r="H181" s="32">
        <f ca="1">IF(ROW()&gt;(Electric!$Y$6-Electric!$Y$5+6),"",+Electric!V187)</f>
        <v>38692</v>
      </c>
      <c r="I181" s="33">
        <f ca="1">IF($H181="","",+Electric!F187)</f>
        <v>50200</v>
      </c>
      <c r="J181" s="43">
        <f ca="1">IF($H181="","",+Electric!G187)</f>
        <v>190</v>
      </c>
      <c r="K181" s="26">
        <f t="shared" ca="1" si="71"/>
        <v>4516.5151999999998</v>
      </c>
      <c r="L181" s="26">
        <f t="shared" ca="1" si="71"/>
        <v>4164.7952000000005</v>
      </c>
      <c r="M181" s="26">
        <f t="shared" ca="1" si="71"/>
        <v>4630.1251999999995</v>
      </c>
      <c r="N181" s="26">
        <f t="shared" ca="1" si="59"/>
        <v>120</v>
      </c>
      <c r="O181" s="26">
        <f t="shared" ca="1" si="73"/>
        <v>2319.2399999999998</v>
      </c>
      <c r="P181" s="73">
        <f t="shared" ca="1" si="60"/>
        <v>1592.2000000000003</v>
      </c>
      <c r="Q181" s="26">
        <f t="shared" ca="1" si="61"/>
        <v>160.64000000000001</v>
      </c>
      <c r="R181" s="26">
        <f t="shared" ca="1" si="62"/>
        <v>4630.13</v>
      </c>
      <c r="S181" s="26">
        <f t="shared" ca="1" si="63"/>
        <v>3657.8951999999999</v>
      </c>
      <c r="T181" s="26">
        <f t="shared" ca="1" si="72"/>
        <v>3478.6451999999999</v>
      </c>
      <c r="U181" s="26">
        <f t="shared" ca="1" si="72"/>
        <v>3117.2051999999999</v>
      </c>
      <c r="V181" s="26">
        <f t="shared" ca="1" si="64"/>
        <v>3.5</v>
      </c>
      <c r="W181" s="26">
        <f t="shared" ca="1" si="65"/>
        <v>2876.46</v>
      </c>
      <c r="X181" s="26">
        <f ca="1">VLOOKUP(DATE(YEAR(H181+Electric!AB187),MONTH(H181+Electric!AB187),1),'FAF &amp; DDs'!$A$2:$B$321,2,FALSE)*I181</f>
        <v>438.04519999999997</v>
      </c>
      <c r="Y181" s="26">
        <f t="shared" ca="1" si="66"/>
        <v>160.64000000000001</v>
      </c>
      <c r="Z181" s="26">
        <f t="shared" ca="1" si="67"/>
        <v>3478.65</v>
      </c>
    </row>
    <row r="182" spans="5:26" s="23" customFormat="1" x14ac:dyDescent="0.2">
      <c r="E182" s="38">
        <f t="shared" ca="1" si="68"/>
        <v>0</v>
      </c>
      <c r="F182" s="37">
        <f ca="1">Electric!X188</f>
        <v>29</v>
      </c>
      <c r="H182" s="32">
        <f ca="1">IF(ROW()&gt;(Electric!$Y$6-Electric!$Y$5+6),"",+Electric!V188)</f>
        <v>38659</v>
      </c>
      <c r="I182" s="33">
        <f ca="1">IF($H182="","",+Electric!F188)</f>
        <v>48200</v>
      </c>
      <c r="J182" s="43">
        <f ca="1">IF($H182="","",+Electric!G188)</f>
        <v>232</v>
      </c>
      <c r="K182" s="26">
        <f t="shared" ca="1" si="71"/>
        <v>4413.6606000000002</v>
      </c>
      <c r="L182" s="26">
        <f t="shared" ca="1" si="71"/>
        <v>4076.1405999999997</v>
      </c>
      <c r="M182" s="26">
        <f t="shared" ca="1" si="71"/>
        <v>4634.8105999999998</v>
      </c>
      <c r="N182" s="26">
        <f t="shared" ca="1" si="59"/>
        <v>120</v>
      </c>
      <c r="O182" s="26">
        <f t="shared" ca="1" si="73"/>
        <v>2056.3117241379314</v>
      </c>
      <c r="P182" s="73">
        <f t="shared" ca="1" si="60"/>
        <v>1795.1200000000001</v>
      </c>
      <c r="Q182" s="26">
        <f t="shared" ca="1" si="61"/>
        <v>154.24</v>
      </c>
      <c r="R182" s="26">
        <f t="shared" ca="1" si="62"/>
        <v>4315.24</v>
      </c>
      <c r="S182" s="26">
        <f t="shared" ca="1" si="63"/>
        <v>3281.4206000000004</v>
      </c>
      <c r="T182" s="26">
        <f t="shared" ca="1" si="72"/>
        <v>3109.1705999999995</v>
      </c>
      <c r="U182" s="26">
        <f t="shared" ca="1" si="72"/>
        <v>2762.1306000000004</v>
      </c>
      <c r="V182" s="26">
        <f t="shared" ca="1" si="64"/>
        <v>3.5</v>
      </c>
      <c r="W182" s="26">
        <f t="shared" ca="1" si="65"/>
        <v>2550.9434482758625</v>
      </c>
      <c r="X182" s="26">
        <f ca="1">VLOOKUP(DATE(YEAR(H182+Electric!AB188),MONTH(H182+Electric!AB188),1),'FAF &amp; DDs'!$A$2:$B$321,2,FALSE)*I182</f>
        <v>189.57059999999998</v>
      </c>
      <c r="Y182" s="26">
        <f t="shared" ca="1" si="66"/>
        <v>137.02570241379314</v>
      </c>
      <c r="Z182" s="26">
        <f t="shared" ca="1" si="67"/>
        <v>2881.0400000000004</v>
      </c>
    </row>
    <row r="183" spans="5:26" s="23" customFormat="1" x14ac:dyDescent="0.2">
      <c r="E183" s="38">
        <f t="shared" ca="1" si="68"/>
        <v>14</v>
      </c>
      <c r="F183" s="37">
        <f ca="1">Electric!X189</f>
        <v>34</v>
      </c>
      <c r="H183" s="32">
        <f ca="1">IF(ROW()&gt;(Electric!$Y$6-Electric!$Y$5+6),"",+Electric!V189)</f>
        <v>38630</v>
      </c>
      <c r="I183" s="33">
        <f ca="1">IF($H183="","",+Electric!F189)</f>
        <v>69400</v>
      </c>
      <c r="J183" s="43">
        <f ca="1">IF($H183="","",+Electric!G189)</f>
        <v>232</v>
      </c>
      <c r="K183" s="26">
        <f t="shared" ca="1" si="71"/>
        <v>5578.9385058823527</v>
      </c>
      <c r="L183" s="26">
        <f t="shared" ca="1" si="71"/>
        <v>5153.6378000000004</v>
      </c>
      <c r="M183" s="26">
        <f t="shared" ca="1" si="71"/>
        <v>5644.5486000000001</v>
      </c>
      <c r="N183" s="26">
        <f t="shared" ca="1" si="59"/>
        <v>120</v>
      </c>
      <c r="O183" s="26">
        <f t="shared" ca="1" si="73"/>
        <v>3108.3007999999927</v>
      </c>
      <c r="P183" s="73">
        <f t="shared" ca="1" si="60"/>
        <v>1914.0000000000041</v>
      </c>
      <c r="Q183" s="26">
        <f t="shared" ca="1" si="61"/>
        <v>222.08</v>
      </c>
      <c r="R183" s="26">
        <f t="shared" ca="1" si="62"/>
        <v>5644.55</v>
      </c>
      <c r="S183" s="26">
        <f t="shared" ca="1" si="63"/>
        <v>4598.9954000000007</v>
      </c>
      <c r="T183" s="26">
        <f t="shared" ca="1" si="72"/>
        <v>4464.8086000000003</v>
      </c>
      <c r="U183" s="26">
        <f t="shared" ca="1" si="72"/>
        <v>4195.3702000000003</v>
      </c>
      <c r="V183" s="26">
        <f t="shared" ca="1" si="64"/>
        <v>3.5</v>
      </c>
      <c r="W183" s="26">
        <f t="shared" ca="1" si="65"/>
        <v>3959.060800000012</v>
      </c>
      <c r="X183" s="26">
        <f ca="1">VLOOKUP(DATE(YEAR(H183+Electric!AB189),MONTH(H183+Electric!AB189),1),'FAF &amp; DDs'!$A$2:$B$321,2,FALSE)*I183</f>
        <v>280.1678</v>
      </c>
      <c r="Y183" s="26">
        <f t="shared" ca="1" si="66"/>
        <v>211.96143000000063</v>
      </c>
      <c r="Z183" s="26">
        <f t="shared" ca="1" si="67"/>
        <v>4454.6899999999996</v>
      </c>
    </row>
    <row r="184" spans="5:26" s="23" customFormat="1" x14ac:dyDescent="0.2">
      <c r="E184" s="38">
        <f t="shared" ca="1" si="68"/>
        <v>30</v>
      </c>
      <c r="F184" s="37">
        <f ca="1">Electric!X190</f>
        <v>30</v>
      </c>
      <c r="H184" s="32">
        <f ca="1">IF(ROW()&gt;(Electric!$Y$6-Electric!$Y$5+6),"",+Electric!V190)</f>
        <v>38596</v>
      </c>
      <c r="I184" s="33">
        <f ca="1">IF($H184="","",+Electric!F190)</f>
        <v>68800</v>
      </c>
      <c r="J184" s="43">
        <f ca="1">IF($H184="","",+Electric!G190)</f>
        <v>240</v>
      </c>
      <c r="K184" s="26">
        <f t="shared" ca="1" si="71"/>
        <v>5990.5860000000002</v>
      </c>
      <c r="L184" s="26">
        <f t="shared" ca="1" si="71"/>
        <v>5604.0860000000002</v>
      </c>
      <c r="M184" s="26">
        <f t="shared" ca="1" si="71"/>
        <v>6094.576</v>
      </c>
      <c r="N184" s="26">
        <f t="shared" ca="1" si="59"/>
        <v>120</v>
      </c>
      <c r="O184" s="26">
        <f t="shared" ca="1" si="73"/>
        <v>3316.16</v>
      </c>
      <c r="P184" s="73">
        <f t="shared" ca="1" si="60"/>
        <v>2172</v>
      </c>
      <c r="Q184" s="26">
        <f t="shared" ca="1" si="61"/>
        <v>220.16</v>
      </c>
      <c r="R184" s="26">
        <f t="shared" ca="1" si="62"/>
        <v>6094.58</v>
      </c>
      <c r="S184" s="26">
        <f t="shared" ca="1" si="63"/>
        <v>4855.3860000000004</v>
      </c>
      <c r="T184" s="26">
        <f t="shared" ca="1" si="72"/>
        <v>4851.8360000000002</v>
      </c>
      <c r="U184" s="26">
        <f t="shared" ca="1" si="72"/>
        <v>4851.8360000000002</v>
      </c>
      <c r="V184" s="26">
        <f t="shared" ca="1" si="64"/>
        <v>3.5</v>
      </c>
      <c r="W184" s="26">
        <f t="shared" ca="1" si="65"/>
        <v>4361.92</v>
      </c>
      <c r="X184" s="26">
        <f ca="1">VLOOKUP(DATE(YEAR(H184+Electric!AB190),MONTH(H184+Electric!AB190),1),'FAF &amp; DDs'!$A$2:$B$321,2,FALSE)*I184</f>
        <v>266.25600000000003</v>
      </c>
      <c r="Y184" s="26">
        <f t="shared" ca="1" si="66"/>
        <v>220.16</v>
      </c>
      <c r="Z184" s="26">
        <f t="shared" ca="1" si="67"/>
        <v>4851.84</v>
      </c>
    </row>
    <row r="185" spans="5:26" s="23" customFormat="1" x14ac:dyDescent="0.2">
      <c r="E185" s="38">
        <f t="shared" ca="1" si="68"/>
        <v>27</v>
      </c>
      <c r="F185" s="37">
        <f ca="1">Electric!X191</f>
        <v>27</v>
      </c>
      <c r="H185" s="32">
        <f ca="1">IF(ROW()&gt;(Electric!$Y$6-Electric!$Y$5+6),"",+Electric!V191)</f>
        <v>38566</v>
      </c>
      <c r="I185" s="33">
        <f ca="1">IF($H185="","",+Electric!F191)</f>
        <v>59400</v>
      </c>
      <c r="J185" s="43">
        <f ca="1">IF($H185="","",+Electric!G191)</f>
        <v>252</v>
      </c>
      <c r="K185" s="26">
        <f t="shared" ca="1" si="71"/>
        <v>5517.8778000000002</v>
      </c>
      <c r="L185" s="26">
        <f t="shared" ca="1" si="71"/>
        <v>5208.1178</v>
      </c>
      <c r="M185" s="26">
        <f t="shared" ca="1" si="71"/>
        <v>5720.2878000000001</v>
      </c>
      <c r="N185" s="26">
        <f t="shared" ca="1" si="59"/>
        <v>120</v>
      </c>
      <c r="O185" s="26">
        <f t="shared" ca="1" si="73"/>
        <v>2863.08</v>
      </c>
      <c r="P185" s="73">
        <f t="shared" ca="1" si="60"/>
        <v>2280.6000000000004</v>
      </c>
      <c r="Q185" s="26">
        <f t="shared" ca="1" si="61"/>
        <v>190.08</v>
      </c>
      <c r="R185" s="26">
        <f t="shared" ca="1" si="62"/>
        <v>5720.29</v>
      </c>
      <c r="S185" s="26">
        <f t="shared" ca="1" si="63"/>
        <v>4229.6178</v>
      </c>
      <c r="T185" s="26">
        <f t="shared" ca="1" si="72"/>
        <v>4226.0677999999998</v>
      </c>
      <c r="U185" s="26">
        <f t="shared" ca="1" si="72"/>
        <v>4226.0677999999998</v>
      </c>
      <c r="V185" s="26">
        <f t="shared" ca="1" si="64"/>
        <v>3.5</v>
      </c>
      <c r="W185" s="26">
        <f t="shared" ca="1" si="65"/>
        <v>3765.96</v>
      </c>
      <c r="X185" s="26">
        <f ca="1">VLOOKUP(DATE(YEAR(H185+Electric!AB191),MONTH(H185+Electric!AB191),1),'FAF &amp; DDs'!$A$2:$B$321,2,FALSE)*I185</f>
        <v>266.52779999999996</v>
      </c>
      <c r="Y185" s="26">
        <f t="shared" ca="1" si="66"/>
        <v>190.08</v>
      </c>
      <c r="Z185" s="26">
        <f t="shared" ca="1" si="67"/>
        <v>4226.07</v>
      </c>
    </row>
    <row r="186" spans="5:26" s="23" customFormat="1" x14ac:dyDescent="0.2">
      <c r="E186" s="38">
        <f t="shared" ca="1" si="68"/>
        <v>34</v>
      </c>
      <c r="F186" s="37">
        <f ca="1">Electric!X192</f>
        <v>34</v>
      </c>
      <c r="H186" s="32">
        <f ca="1">IF(ROW()&gt;(Electric!$Y$6-Electric!$Y$5+6),"",+Electric!V192)</f>
        <v>38539</v>
      </c>
      <c r="I186" s="33">
        <f ca="1">IF($H186="","",+Electric!F192)</f>
        <v>73200</v>
      </c>
      <c r="J186" s="43">
        <f ca="1">IF($H186="","",+Electric!G192)</f>
        <v>240</v>
      </c>
      <c r="K186" s="26">
        <f t="shared" ref="K186:M204" ca="1" si="74">(1-$O$2)*(IF(OR($F186&gt;$F$3,$F186&lt;$F$2),$F186,30)/30*HLOOKUP(($H186+$Q$1),$AC$80:$AQ$98,MATCH(VALUE(RIGHT(TRIM(K$5),2)),$AB$80:$AB$98,0))+"CC"+(ROUND(($E186/$F186)*$I186,0)*HLOOKUP(($H186+$Q$1),$AC$30:$AQ$48,MATCH(VALUE(RIGHT(TRIM(K$5),2)),$AB$30:$AB$48,0))+"Summer kWh"+ROUND((($F186-$E186)/$F186)*$I186,0)*HLOOKUP(($H186+$Q$1),$AC$8:$AQ$26,MATCH(VALUE(RIGHT(TRIM(K$5),2)),$AB$8:$AB$26,0))+"Winter kWh")+(IF(($H186+$Q$1)&gt;DATE(2009,7,1),$I186*0.0209*$O$3,0)+"State Wind Energy kWh Surcharge")+($E186/IF($F186&lt;=$F$3,$F186,30)*$J186*HLOOKUP(($H186+$Q$1),$AC$66:$AQ$76,MATCH(VALUE(RIGHT(TRIM(K$5),2)),$AB$66:$AB$76,0))+"Summer kW"+(($F186-$E186)/IF($F186&lt;=$F$3,$F186,30)*$J186)*HLOOKUP(($H186+$Q$1),$AC$52:$AQ$62,MATCH(VALUE(RIGHT(TRIM(K$5),2)),$AB$52:$AB$62,0))+"Winter kW")+$X186)+$Q186</f>
        <v>5960.0675999999994</v>
      </c>
      <c r="L186" s="26">
        <f t="shared" ca="1" si="74"/>
        <v>5540.5676000000003</v>
      </c>
      <c r="M186" s="26">
        <f t="shared" ca="1" si="74"/>
        <v>6030.1776</v>
      </c>
      <c r="N186" s="26">
        <f t="shared" ca="1" si="59"/>
        <v>120</v>
      </c>
      <c r="O186" s="26">
        <f t="shared" ca="1" si="73"/>
        <v>3528.24</v>
      </c>
      <c r="P186" s="73">
        <f t="shared" ca="1" si="60"/>
        <v>2172</v>
      </c>
      <c r="Q186" s="26">
        <f t="shared" ca="1" si="61"/>
        <v>234.24</v>
      </c>
      <c r="R186" s="26">
        <f t="shared" ca="1" si="62"/>
        <v>6030.1799999999994</v>
      </c>
      <c r="S186" s="26">
        <f t="shared" ca="1" si="63"/>
        <v>4857.8676000000005</v>
      </c>
      <c r="T186" s="26">
        <f t="shared" ref="T186:U204" ca="1" si="75">IF(OR($F186&gt;$F$3,$F186&lt;$F$2),$F186,30)/30*HLOOKUP(($H186+$Q$1),$AC$80:$AQ$98,MATCH(VALUE(RIGHT(TRIM(T$5),2)),$AB$80:$AB$98,0))+"CC"++(ROUND(($E186/$F186)*$I186,0)*HLOOKUP(($H186),$AC$30:$AQ$48,MATCH(VALUE(RIGHT(TRIM(T$5),2)),$AB$30:$AB$48,0))+"Summer kWh"+ROUND((($F186-$E186)/$F186)*$I186,0)*HLOOKUP(($H186),$AC$8:$AQ$26,MATCH(VALUE(RIGHT(TRIM(T$5),2)),$AB$8:$AB$26,0))+"Winter kWh")+(IF($H186&gt;DATE(2009,7,1),$I186*0.0209*$O$3,0)+"State Wind Energy kWh Surcharge")+$X186+$Q186</f>
        <v>4854.3176000000003</v>
      </c>
      <c r="U186" s="26">
        <f t="shared" ca="1" si="75"/>
        <v>4854.3176000000003</v>
      </c>
      <c r="V186" s="26">
        <f t="shared" ca="1" si="64"/>
        <v>3.5</v>
      </c>
      <c r="W186" s="26">
        <f t="shared" ca="1" si="65"/>
        <v>4640.88</v>
      </c>
      <c r="X186" s="26">
        <f ca="1">VLOOKUP(DATE(YEAR(H186+Electric!AB192),MONTH(H186+Electric!AB192),1),'FAF &amp; DDs'!$A$2:$B$321,2,FALSE)*I186</f>
        <v>-24.302399999999999</v>
      </c>
      <c r="Y186" s="26">
        <f t="shared" ca="1" si="66"/>
        <v>230.82888000000003</v>
      </c>
      <c r="Z186" s="26">
        <f t="shared" ca="1" si="67"/>
        <v>4850.91</v>
      </c>
    </row>
    <row r="187" spans="5:26" s="23" customFormat="1" x14ac:dyDescent="0.2">
      <c r="E187" s="38">
        <f t="shared" ca="1" si="68"/>
        <v>18</v>
      </c>
      <c r="F187" s="37">
        <f ca="1">Electric!X193</f>
        <v>30</v>
      </c>
      <c r="H187" s="32">
        <f ca="1">IF(ROW()&gt;(Electric!$Y$6-Electric!$Y$5+6),"",+Electric!V193)</f>
        <v>38505</v>
      </c>
      <c r="I187" s="33">
        <f ca="1">IF($H187="","",+Electric!F193)</f>
        <v>57600</v>
      </c>
      <c r="J187" s="43">
        <f ca="1">IF($H187="","",+Electric!G193)</f>
        <v>240</v>
      </c>
      <c r="K187" s="26">
        <f t="shared" ca="1" si="74"/>
        <v>5236.5539999999992</v>
      </c>
      <c r="L187" s="26">
        <f t="shared" ca="1" si="74"/>
        <v>4907.174</v>
      </c>
      <c r="M187" s="26">
        <f t="shared" ca="1" si="74"/>
        <v>5414.1120000000001</v>
      </c>
      <c r="N187" s="26">
        <f t="shared" ca="1" si="59"/>
        <v>120</v>
      </c>
      <c r="O187" s="26">
        <f t="shared" ca="1" si="73"/>
        <v>2642.6879999999987</v>
      </c>
      <c r="P187" s="73">
        <f t="shared" ca="1" si="60"/>
        <v>2041.4400000000023</v>
      </c>
      <c r="Q187" s="26">
        <f t="shared" ca="1" si="61"/>
        <v>184.32000000000002</v>
      </c>
      <c r="R187" s="26">
        <f t="shared" ca="1" si="62"/>
        <v>5414.11</v>
      </c>
      <c r="S187" s="26">
        <f t="shared" ca="1" si="63"/>
        <v>4093.77</v>
      </c>
      <c r="T187" s="26">
        <f t="shared" ca="1" si="75"/>
        <v>4016.4919999999997</v>
      </c>
      <c r="U187" s="26">
        <f t="shared" ca="1" si="75"/>
        <v>3864.4279999999994</v>
      </c>
      <c r="V187" s="26">
        <f t="shared" ca="1" si="64"/>
        <v>3.5</v>
      </c>
      <c r="W187" s="26">
        <f t="shared" ca="1" si="65"/>
        <v>3403.0080000000021</v>
      </c>
      <c r="X187" s="26">
        <f ca="1">VLOOKUP(DATE(YEAR(H187+Electric!AB193),MONTH(H187+Electric!AB193),1),'FAF &amp; DDs'!$A$2:$B$321,2,FALSE)*I187</f>
        <v>425.66399999999999</v>
      </c>
      <c r="Y187" s="26">
        <f t="shared" ca="1" si="66"/>
        <v>184.32000000000002</v>
      </c>
      <c r="Z187" s="26">
        <f t="shared" ca="1" si="67"/>
        <v>4016.4900000000002</v>
      </c>
    </row>
    <row r="188" spans="5:26" s="23" customFormat="1" x14ac:dyDescent="0.2">
      <c r="E188" s="38">
        <f t="shared" ca="1" si="68"/>
        <v>0</v>
      </c>
      <c r="F188" s="37">
        <f ca="1">Electric!X194</f>
        <v>29</v>
      </c>
      <c r="H188" s="32">
        <f ca="1">IF(ROW()&gt;(Electric!$Y$6-Electric!$Y$5+6),"",+Electric!V194)</f>
        <v>38475</v>
      </c>
      <c r="I188" s="33">
        <f ca="1">IF($H188="","",+Electric!F194)</f>
        <v>52000</v>
      </c>
      <c r="J188" s="43">
        <f ca="1">IF($H188="","",+Electric!G194)</f>
        <v>200</v>
      </c>
      <c r="K188" s="26">
        <f t="shared" ca="1" si="74"/>
        <v>4138.1940000000004</v>
      </c>
      <c r="L188" s="26">
        <f t="shared" ca="1" si="74"/>
        <v>3804.8940000000002</v>
      </c>
      <c r="M188" s="26">
        <f t="shared" ca="1" si="74"/>
        <v>4259.1440000000002</v>
      </c>
      <c r="N188" s="26">
        <f t="shared" ca="1" si="59"/>
        <v>120</v>
      </c>
      <c r="O188" s="26">
        <f t="shared" ca="1" si="73"/>
        <v>2204.7999999999961</v>
      </c>
      <c r="P188" s="73">
        <f t="shared" ca="1" si="60"/>
        <v>1538.0000000000014</v>
      </c>
      <c r="Q188" s="26">
        <f t="shared" ca="1" si="61"/>
        <v>166.4</v>
      </c>
      <c r="R188" s="26">
        <f t="shared" ca="1" si="62"/>
        <v>4259.1400000000003</v>
      </c>
      <c r="S188" s="26">
        <f t="shared" ca="1" si="63"/>
        <v>3304.9940000000001</v>
      </c>
      <c r="T188" s="26">
        <f t="shared" ca="1" si="75"/>
        <v>3135.0440000000003</v>
      </c>
      <c r="U188" s="26">
        <f t="shared" ca="1" si="75"/>
        <v>2791.8440000000001</v>
      </c>
      <c r="V188" s="26">
        <f t="shared" ca="1" si="64"/>
        <v>3.5</v>
      </c>
      <c r="W188" s="26">
        <f t="shared" ca="1" si="65"/>
        <v>2735.2000000000085</v>
      </c>
      <c r="X188" s="26">
        <f ca="1">VLOOKUP(DATE(YEAR(H188+Electric!AB194),MONTH(H188+Electric!AB194),1),'FAF &amp; DDs'!$A$2:$B$321,2,FALSE)*I188</f>
        <v>229.94399999999999</v>
      </c>
      <c r="Y188" s="26">
        <f t="shared" ca="1" si="66"/>
        <v>148.25720000000044</v>
      </c>
      <c r="Z188" s="26">
        <f t="shared" ca="1" si="67"/>
        <v>3116.8999999999996</v>
      </c>
    </row>
    <row r="189" spans="5:26" s="23" customFormat="1" x14ac:dyDescent="0.2">
      <c r="E189" s="38">
        <f t="shared" ca="1" si="68"/>
        <v>0</v>
      </c>
      <c r="F189" s="37">
        <f ca="1">Electric!X195</f>
        <v>27</v>
      </c>
      <c r="H189" s="32">
        <f ca="1">IF(ROW()&gt;(Electric!$Y$6-Electric!$Y$5+6),"",+Electric!V195)</f>
        <v>38446</v>
      </c>
      <c r="I189" s="33">
        <f ca="1">IF($H189="","",+Electric!F195)</f>
        <v>33400</v>
      </c>
      <c r="J189" s="43">
        <f ca="1">IF($H189="","",+Electric!G195)</f>
        <v>196</v>
      </c>
      <c r="K189" s="26">
        <f t="shared" ca="1" si="74"/>
        <v>2953.2006000000001</v>
      </c>
      <c r="L189" s="26">
        <f t="shared" ca="1" si="74"/>
        <v>2740.8006000000005</v>
      </c>
      <c r="M189" s="26">
        <f t="shared" ca="1" si="74"/>
        <v>3205.6906000000004</v>
      </c>
      <c r="N189" s="26">
        <f t="shared" ca="1" si="59"/>
        <v>120</v>
      </c>
      <c r="O189" s="26">
        <f t="shared" ca="1" si="73"/>
        <v>1416.1600000000044</v>
      </c>
      <c r="P189" s="73">
        <f t="shared" ca="1" si="60"/>
        <v>1507.2399999999943</v>
      </c>
      <c r="Q189" s="26">
        <f t="shared" ca="1" si="61"/>
        <v>106.88000000000001</v>
      </c>
      <c r="R189" s="26">
        <f t="shared" ca="1" si="62"/>
        <v>3205.69</v>
      </c>
      <c r="S189" s="26">
        <f t="shared" ca="1" si="63"/>
        <v>2033.0606</v>
      </c>
      <c r="T189" s="26">
        <f t="shared" ca="1" si="75"/>
        <v>1922.6306</v>
      </c>
      <c r="U189" s="26">
        <f t="shared" ca="1" si="75"/>
        <v>1702.1905999999999</v>
      </c>
      <c r="V189" s="26">
        <f t="shared" ca="1" si="64"/>
        <v>3.5</v>
      </c>
      <c r="W189" s="26">
        <f t="shared" ca="1" si="65"/>
        <v>1756.8399999999926</v>
      </c>
      <c r="X189" s="26">
        <f ca="1">VLOOKUP(DATE(YEAR(H189+Electric!AB195),MONTH(H189+Electric!AB195),1),'FAF &amp; DDs'!$A$2:$B$321,2,FALSE)*I189</f>
        <v>55.410600000000002</v>
      </c>
      <c r="Y189" s="26">
        <f t="shared" ca="1" si="66"/>
        <v>90.612529999999637</v>
      </c>
      <c r="Z189" s="26">
        <f t="shared" ca="1" si="67"/>
        <v>1906.36</v>
      </c>
    </row>
    <row r="190" spans="5:26" s="23" customFormat="1" x14ac:dyDescent="0.2">
      <c r="E190" s="38">
        <f t="shared" ca="1" si="68"/>
        <v>0</v>
      </c>
      <c r="F190" s="37">
        <f ca="1">Electric!X196</f>
        <v>29</v>
      </c>
      <c r="H190" s="32">
        <f ca="1">IF(ROW()&gt;(Electric!$Y$6-Electric!$Y$5+6),"",+Electric!V196)</f>
        <v>38419</v>
      </c>
      <c r="I190" s="33">
        <f ca="1">IF($H190="","",+Electric!F196)</f>
        <v>56000</v>
      </c>
      <c r="J190" s="43">
        <f ca="1">IF($H190="","",+Electric!G196)</f>
        <v>200</v>
      </c>
      <c r="K190" s="26">
        <f t="shared" ca="1" si="74"/>
        <v>4141.4260000000004</v>
      </c>
      <c r="L190" s="26">
        <f t="shared" ca="1" si="74"/>
        <v>3782.1259999999997</v>
      </c>
      <c r="M190" s="26">
        <f t="shared" ca="1" si="74"/>
        <v>4232.3760000000002</v>
      </c>
      <c r="N190" s="26">
        <f t="shared" ca="1" si="59"/>
        <v>120</v>
      </c>
      <c r="O190" s="26">
        <f t="shared" ca="1" si="73"/>
        <v>2374.399999999996</v>
      </c>
      <c r="P190" s="73">
        <f t="shared" ca="1" si="60"/>
        <v>1538.0000000000014</v>
      </c>
      <c r="Q190" s="26">
        <f t="shared" ca="1" si="61"/>
        <v>179.20000000000002</v>
      </c>
      <c r="R190" s="26">
        <f t="shared" ca="1" si="62"/>
        <v>4232.38</v>
      </c>
      <c r="S190" s="26">
        <f t="shared" ca="1" si="63"/>
        <v>3331.826</v>
      </c>
      <c r="T190" s="26">
        <f t="shared" ca="1" si="75"/>
        <v>3149.0759999999996</v>
      </c>
      <c r="U190" s="26">
        <f t="shared" ca="1" si="75"/>
        <v>2779.4759999999997</v>
      </c>
      <c r="V190" s="26">
        <f t="shared" ca="1" si="64"/>
        <v>3.5</v>
      </c>
      <c r="W190" s="26">
        <f t="shared" ca="1" si="65"/>
        <v>2945.600000000009</v>
      </c>
      <c r="X190" s="26">
        <f ca="1">VLOOKUP(DATE(YEAR(H190+Electric!AB196),MONTH(H190+Electric!AB196),1),'FAF &amp; DDs'!$A$2:$B$321,2,FALSE)*I190</f>
        <v>20.776</v>
      </c>
      <c r="Y190" s="26">
        <f t="shared" ca="1" si="66"/>
        <v>148.31880000000044</v>
      </c>
      <c r="Z190" s="26">
        <f t="shared" ca="1" si="67"/>
        <v>3118.2000000000003</v>
      </c>
    </row>
    <row r="191" spans="5:26" s="23" customFormat="1" x14ac:dyDescent="0.2">
      <c r="E191" s="38">
        <f t="shared" ca="1" si="68"/>
        <v>0</v>
      </c>
      <c r="F191" s="37">
        <f ca="1">Electric!X197</f>
        <v>30</v>
      </c>
      <c r="H191" s="32">
        <f ca="1">IF(ROW()&gt;(Electric!$Y$6-Electric!$Y$5+6),"",+Electric!V197)</f>
        <v>38390</v>
      </c>
      <c r="I191" s="33">
        <f ca="1">IF($H191="","",+Electric!F197)</f>
        <v>55400</v>
      </c>
      <c r="J191" s="43">
        <f ca="1">IF($H191="","",+Electric!G197)</f>
        <v>194</v>
      </c>
      <c r="K191" s="26">
        <f t="shared" ca="1" si="74"/>
        <v>4106.0012000000006</v>
      </c>
      <c r="L191" s="26">
        <f t="shared" ca="1" si="74"/>
        <v>3750.6012000000001</v>
      </c>
      <c r="M191" s="26">
        <f t="shared" ca="1" si="74"/>
        <v>4189.5111999999999</v>
      </c>
      <c r="N191" s="26">
        <f t="shared" ca="1" si="59"/>
        <v>120</v>
      </c>
      <c r="O191" s="26">
        <f t="shared" ca="1" si="73"/>
        <v>2348.9599999999973</v>
      </c>
      <c r="P191" s="73">
        <f t="shared" ca="1" si="60"/>
        <v>1491.8599999999931</v>
      </c>
      <c r="Q191" s="26">
        <f t="shared" ca="1" si="61"/>
        <v>177.28</v>
      </c>
      <c r="R191" s="26">
        <f t="shared" ca="1" si="62"/>
        <v>4189.5099999999993</v>
      </c>
      <c r="S191" s="26">
        <f t="shared" ca="1" si="63"/>
        <v>3327.0612000000006</v>
      </c>
      <c r="T191" s="26">
        <f t="shared" ca="1" si="75"/>
        <v>3146.2312000000002</v>
      </c>
      <c r="U191" s="26">
        <f t="shared" ca="1" si="75"/>
        <v>2780.5912000000003</v>
      </c>
      <c r="V191" s="26">
        <f t="shared" ca="1" si="64"/>
        <v>3.5</v>
      </c>
      <c r="W191" s="26">
        <f t="shared" ca="1" si="65"/>
        <v>2914.0399999999795</v>
      </c>
      <c r="X191" s="26">
        <f ca="1">VLOOKUP(DATE(YEAR(H191+Electric!AB197),MONTH(H191+Electric!AB197),1),'FAF &amp; DDs'!$A$2:$B$321,2,FALSE)*I191</f>
        <v>51.411200000000001</v>
      </c>
      <c r="Y191" s="26">
        <f t="shared" ca="1" si="66"/>
        <v>148.27255999999898</v>
      </c>
      <c r="Z191" s="26">
        <f t="shared" ca="1" si="67"/>
        <v>3117.22</v>
      </c>
    </row>
    <row r="192" spans="5:26" s="23" customFormat="1" x14ac:dyDescent="0.2">
      <c r="E192" s="38">
        <f t="shared" ca="1" si="68"/>
        <v>0</v>
      </c>
      <c r="F192" s="37">
        <f ca="1">Electric!X198</f>
        <v>32</v>
      </c>
      <c r="H192" s="32">
        <f ca="1">IF(ROW()&gt;(Electric!$Y$6-Electric!$Y$5+6),"",+Electric!V198)</f>
        <v>38360</v>
      </c>
      <c r="I192" s="33">
        <f ca="1">IF($H192="","",+Electric!F198)</f>
        <v>51800</v>
      </c>
      <c r="J192" s="43">
        <f ca="1">IF($H192="","",+Electric!G198)</f>
        <v>170</v>
      </c>
      <c r="K192" s="26">
        <f t="shared" ca="1" si="74"/>
        <v>3786.5108000000005</v>
      </c>
      <c r="L192" s="26">
        <f t="shared" ca="1" si="74"/>
        <v>3454.5108</v>
      </c>
      <c r="M192" s="26">
        <f t="shared" ca="1" si="74"/>
        <v>3849.2608</v>
      </c>
      <c r="N192" s="26">
        <f t="shared" ca="1" si="59"/>
        <v>120</v>
      </c>
      <c r="O192" s="26">
        <f t="shared" ca="1" si="73"/>
        <v>2196.3199999999997</v>
      </c>
      <c r="P192" s="73">
        <f t="shared" ca="1" si="60"/>
        <v>1307.3000000000093</v>
      </c>
      <c r="Q192" s="26">
        <f t="shared" ca="1" si="61"/>
        <v>165.76000000000002</v>
      </c>
      <c r="R192" s="26">
        <f t="shared" ca="1" si="62"/>
        <v>3849.26</v>
      </c>
      <c r="S192" s="26">
        <f t="shared" ca="1" si="63"/>
        <v>3123.1308000000004</v>
      </c>
      <c r="T192" s="26">
        <f t="shared" ca="1" si="75"/>
        <v>2953.8208</v>
      </c>
      <c r="U192" s="26">
        <f t="shared" ca="1" si="75"/>
        <v>2611.9408000000003</v>
      </c>
      <c r="V192" s="26">
        <f t="shared" ca="1" si="64"/>
        <v>3.5</v>
      </c>
      <c r="W192" s="26">
        <f t="shared" ca="1" si="65"/>
        <v>2724.6799999999989</v>
      </c>
      <c r="X192" s="26">
        <f ca="1">VLOOKUP(DATE(YEAR(H192+Electric!AB198),MONTH(H192+Electric!AB198),1),'FAF &amp; DDs'!$A$2:$B$321,2,FALSE)*I192</f>
        <v>59.880799999999994</v>
      </c>
      <c r="Y192" s="26">
        <f t="shared" ca="1" si="66"/>
        <v>139.22803999999994</v>
      </c>
      <c r="Z192" s="26">
        <f t="shared" ca="1" si="67"/>
        <v>2927.29</v>
      </c>
    </row>
    <row r="193" spans="5:26" s="23" customFormat="1" x14ac:dyDescent="0.2">
      <c r="E193" s="38">
        <f t="shared" ca="1" si="68"/>
        <v>0</v>
      </c>
      <c r="F193" s="37">
        <f ca="1">Electric!X199</f>
        <v>20</v>
      </c>
      <c r="H193" s="32">
        <f ca="1">IF(ROW()&gt;(Electric!$Y$6-Electric!$Y$5+6),"",+Electric!V199)</f>
        <v>38328</v>
      </c>
      <c r="I193" s="33">
        <f ca="1">IF($H193="","",+Electric!F199)</f>
        <v>30200</v>
      </c>
      <c r="J193" s="43">
        <f ca="1">IF($H193="","",+Electric!G199)</f>
        <v>200</v>
      </c>
      <c r="K193" s="26">
        <f t="shared" ca="1" si="74"/>
        <v>2852.2382000000002</v>
      </c>
      <c r="L193" s="26">
        <f t="shared" ca="1" si="74"/>
        <v>2659.0715333333333</v>
      </c>
      <c r="M193" s="26">
        <f t="shared" ca="1" si="74"/>
        <v>3099.0382</v>
      </c>
      <c r="N193" s="26">
        <f t="shared" ca="1" si="59"/>
        <v>80</v>
      </c>
      <c r="O193" s="26">
        <f t="shared" ca="1" si="73"/>
        <v>1280.4799999999984</v>
      </c>
      <c r="P193" s="73">
        <f t="shared" ca="1" si="60"/>
        <v>1537.9999999999927</v>
      </c>
      <c r="Q193" s="26">
        <f t="shared" ca="1" si="61"/>
        <v>96.64</v>
      </c>
      <c r="R193" s="26">
        <f t="shared" ca="1" si="62"/>
        <v>3099.04</v>
      </c>
      <c r="S193" s="26">
        <f t="shared" ca="1" si="63"/>
        <v>1890.4182000000003</v>
      </c>
      <c r="T193" s="26">
        <f t="shared" ca="1" si="75"/>
        <v>1791.4115333333334</v>
      </c>
      <c r="U193" s="26">
        <f t="shared" ca="1" si="75"/>
        <v>1592.0915333333335</v>
      </c>
      <c r="V193" s="26">
        <f t="shared" ca="1" si="64"/>
        <v>2.333333333333333</v>
      </c>
      <c r="W193" s="26">
        <f t="shared" ca="1" si="65"/>
        <v>1588.5200000000102</v>
      </c>
      <c r="X193" s="26">
        <f ca="1">VLOOKUP(DATE(YEAR(H193+Electric!AB199),MONTH(H193+Electric!AB199),1),'FAF &amp; DDs'!$A$2:$B$321,2,FALSE)*I193</f>
        <v>103.9182</v>
      </c>
      <c r="Y193" s="26">
        <f t="shared" ca="1" si="66"/>
        <v>84.621910000000526</v>
      </c>
      <c r="Z193" s="26">
        <f t="shared" ca="1" si="67"/>
        <v>1779.3933333333334</v>
      </c>
    </row>
    <row r="194" spans="5:26" s="23" customFormat="1" x14ac:dyDescent="0.2">
      <c r="E194" s="38">
        <f t="shared" ca="1" si="68"/>
        <v>0</v>
      </c>
      <c r="F194" s="37">
        <f ca="1">Electric!X200</f>
        <v>22</v>
      </c>
      <c r="H194" s="32">
        <f ca="1">IF(ROW()&gt;(Electric!$Y$6-Electric!$Y$5+6),"",+Electric!V200)</f>
        <v>38308</v>
      </c>
      <c r="I194" s="33">
        <f ca="1">IF($H194="","",+Electric!F200)</f>
        <v>35600</v>
      </c>
      <c r="J194" s="43">
        <f ca="1">IF($H194="","",+Electric!G200)</f>
        <v>216</v>
      </c>
      <c r="K194" s="26">
        <f t="shared" ca="1" si="74"/>
        <v>3153.8504000000003</v>
      </c>
      <c r="L194" s="26">
        <f t="shared" ca="1" si="74"/>
        <v>2927.1504</v>
      </c>
      <c r="M194" s="26">
        <f t="shared" ca="1" si="74"/>
        <v>3429.6404000000007</v>
      </c>
      <c r="N194" s="26">
        <f t="shared" ca="1" si="59"/>
        <v>120</v>
      </c>
      <c r="O194" s="26">
        <f t="shared" ca="1" si="73"/>
        <v>1509.4400000000005</v>
      </c>
      <c r="P194" s="73">
        <f t="shared" ca="1" si="60"/>
        <v>1661.0400000000029</v>
      </c>
      <c r="Q194" s="26">
        <f t="shared" ca="1" si="61"/>
        <v>113.92</v>
      </c>
      <c r="R194" s="26">
        <f t="shared" ca="1" si="62"/>
        <v>3429.64</v>
      </c>
      <c r="S194" s="26">
        <f t="shared" ca="1" si="63"/>
        <v>2132.6904</v>
      </c>
      <c r="T194" s="26">
        <f t="shared" ca="1" si="75"/>
        <v>2015.2203999999999</v>
      </c>
      <c r="U194" s="26">
        <f t="shared" ca="1" si="75"/>
        <v>1780.2603999999999</v>
      </c>
      <c r="V194" s="26">
        <f t="shared" ca="1" si="64"/>
        <v>3.5</v>
      </c>
      <c r="W194" s="26">
        <f t="shared" ca="1" si="65"/>
        <v>1872.5600000000052</v>
      </c>
      <c r="X194" s="26">
        <f ca="1">VLOOKUP(DATE(YEAR(H194+Electric!AB200),MONTH(H194+Electric!AB200),1),'FAF &amp; DDs'!$A$2:$B$321,2,FALSE)*I194</f>
        <v>25.240400000000001</v>
      </c>
      <c r="Y194" s="26">
        <f t="shared" ca="1" si="66"/>
        <v>94.890020000000263</v>
      </c>
      <c r="Z194" s="26">
        <f t="shared" ca="1" si="67"/>
        <v>1996.19</v>
      </c>
    </row>
    <row r="195" spans="5:26" s="23" customFormat="1" x14ac:dyDescent="0.2">
      <c r="E195" s="38">
        <f t="shared" ca="1" si="68"/>
        <v>0</v>
      </c>
      <c r="F195" s="37">
        <f ca="1">Electric!X201</f>
        <v>28</v>
      </c>
      <c r="H195" s="32">
        <f ca="1">IF(ROW()&gt;(Electric!$Y$6-Electric!$Y$5+6),"",+Electric!V201)</f>
        <v>38286</v>
      </c>
      <c r="I195" s="33">
        <f ca="1">IF($H195="","",+Electric!F201)</f>
        <v>51200</v>
      </c>
      <c r="J195" s="43">
        <f ca="1">IF($H195="","",+Electric!G201)</f>
        <v>210</v>
      </c>
      <c r="K195" s="26">
        <f t="shared" ca="1" si="74"/>
        <v>4038.1748000000002</v>
      </c>
      <c r="L195" s="26">
        <f t="shared" ca="1" si="74"/>
        <v>3710.0747999999999</v>
      </c>
      <c r="M195" s="26">
        <f t="shared" ca="1" si="74"/>
        <v>4185.0248000000001</v>
      </c>
      <c r="N195" s="26">
        <f t="shared" ca="1" si="59"/>
        <v>120</v>
      </c>
      <c r="O195" s="26">
        <f t="shared" ca="1" si="73"/>
        <v>2170.8800000000078</v>
      </c>
      <c r="P195" s="73">
        <f t="shared" ca="1" si="60"/>
        <v>1614.8999999999978</v>
      </c>
      <c r="Q195" s="26">
        <f t="shared" ca="1" si="61"/>
        <v>163.84</v>
      </c>
      <c r="R195" s="26">
        <f t="shared" ca="1" si="62"/>
        <v>4185.0200000000004</v>
      </c>
      <c r="S195" s="26">
        <f t="shared" ca="1" si="63"/>
        <v>3143.2548000000002</v>
      </c>
      <c r="T195" s="26">
        <f t="shared" ca="1" si="75"/>
        <v>2975.8647999999998</v>
      </c>
      <c r="U195" s="26">
        <f t="shared" ca="1" si="75"/>
        <v>2637.9447999999998</v>
      </c>
      <c r="V195" s="26">
        <f t="shared" ca="1" si="64"/>
        <v>3.5</v>
      </c>
      <c r="W195" s="26">
        <f t="shared" ca="1" si="65"/>
        <v>2693.119999999999</v>
      </c>
      <c r="X195" s="26">
        <f ca="1">VLOOKUP(DATE(YEAR(H195+Electric!AB201),MONTH(H195+Electric!AB201),1),'FAF &amp; DDs'!$A$2:$B$321,2,FALSE)*I195</f>
        <v>115.40479999999999</v>
      </c>
      <c r="Y195" s="26">
        <f t="shared" ca="1" si="66"/>
        <v>140.42623999999995</v>
      </c>
      <c r="Z195" s="26">
        <f t="shared" ca="1" si="67"/>
        <v>2952.45</v>
      </c>
    </row>
    <row r="196" spans="5:26" s="23" customFormat="1" x14ac:dyDescent="0.2">
      <c r="E196" s="38">
        <f t="shared" ca="1" si="68"/>
        <v>19</v>
      </c>
      <c r="F196" s="37">
        <f ca="1">Electric!X202</f>
        <v>32</v>
      </c>
      <c r="H196" s="32">
        <f ca="1">IF(ROW()&gt;(Electric!$Y$6-Electric!$Y$5+6),"",+Electric!V202)</f>
        <v>38258</v>
      </c>
      <c r="I196" s="33">
        <f ca="1">IF($H196="","",+Electric!F202)</f>
        <v>65600</v>
      </c>
      <c r="J196" s="43">
        <f ca="1">IF($H196="","",+Electric!G202)</f>
        <v>240</v>
      </c>
      <c r="K196" s="26">
        <f t="shared" ca="1" si="74"/>
        <v>5377.9135999999999</v>
      </c>
      <c r="L196" s="26">
        <f t="shared" ca="1" si="74"/>
        <v>4991.3635999999997</v>
      </c>
      <c r="M196" s="26">
        <f t="shared" ca="1" si="74"/>
        <v>5494.3235999999997</v>
      </c>
      <c r="N196" s="26">
        <f t="shared" ca="1" si="59"/>
        <v>120</v>
      </c>
      <c r="O196" s="26">
        <f t="shared" ca="1" si="73"/>
        <v>3007.35</v>
      </c>
      <c r="P196" s="73">
        <f t="shared" ca="1" si="60"/>
        <v>2039.3999999999996</v>
      </c>
      <c r="Q196" s="26">
        <f t="shared" ca="1" si="61"/>
        <v>209.92000000000002</v>
      </c>
      <c r="R196" s="26">
        <f t="shared" ca="1" si="62"/>
        <v>5494.32</v>
      </c>
      <c r="S196" s="26">
        <f t="shared" ca="1" si="63"/>
        <v>4291.1235999999999</v>
      </c>
      <c r="T196" s="26">
        <f t="shared" ca="1" si="75"/>
        <v>4202.2936</v>
      </c>
      <c r="U196" s="26">
        <f t="shared" ca="1" si="75"/>
        <v>4026.4036000000001</v>
      </c>
      <c r="V196" s="26">
        <f t="shared" ca="1" si="64"/>
        <v>3.5</v>
      </c>
      <c r="W196" s="26">
        <f t="shared" ca="1" si="65"/>
        <v>3871.2199999999993</v>
      </c>
      <c r="X196" s="26">
        <f ca="1">VLOOKUP(DATE(YEAR(H196+Electric!AB202),MONTH(H196+Electric!AB202),1),'FAF &amp; DDs'!$A$2:$B$321,2,FALSE)*I196</f>
        <v>117.6536</v>
      </c>
      <c r="Y196" s="26">
        <f t="shared" ca="1" si="66"/>
        <v>199.44367999999997</v>
      </c>
      <c r="Z196" s="26">
        <f t="shared" ca="1" si="67"/>
        <v>4191.8099999999995</v>
      </c>
    </row>
    <row r="197" spans="5:26" s="23" customFormat="1" x14ac:dyDescent="0.2">
      <c r="E197" s="38">
        <f t="shared" ca="1" si="68"/>
        <v>30</v>
      </c>
      <c r="F197" s="37">
        <f ca="1">Electric!X203</f>
        <v>30</v>
      </c>
      <c r="H197" s="32">
        <f ca="1">IF(ROW()&gt;(Electric!$Y$6-Electric!$Y$5+6),"",+Electric!V203)</f>
        <v>38226</v>
      </c>
      <c r="I197" s="33">
        <f ca="1">IF($H197="","",+Electric!F203)</f>
        <v>75400</v>
      </c>
      <c r="J197" s="43">
        <f ca="1">IF($H197="","",+Electric!G203)</f>
        <v>200</v>
      </c>
      <c r="K197" s="26">
        <f t="shared" ca="1" si="74"/>
        <v>5998.8494999999994</v>
      </c>
      <c r="L197" s="26">
        <f t="shared" ca="1" si="74"/>
        <v>5542.0494999999992</v>
      </c>
      <c r="M197" s="26">
        <f t="shared" ca="1" si="74"/>
        <v>5965.2195000000002</v>
      </c>
      <c r="N197" s="26">
        <f t="shared" ca="1" si="59"/>
        <v>120</v>
      </c>
      <c r="O197" s="26">
        <f t="shared" ca="1" si="73"/>
        <v>3634.28</v>
      </c>
      <c r="P197" s="73">
        <f t="shared" ca="1" si="60"/>
        <v>1810.0000000000002</v>
      </c>
      <c r="Q197" s="26">
        <f t="shared" ca="1" si="61"/>
        <v>241.28</v>
      </c>
      <c r="R197" s="26">
        <f t="shared" ca="1" si="62"/>
        <v>5965.22</v>
      </c>
      <c r="S197" s="26">
        <f t="shared" ca="1" si="63"/>
        <v>5188.3494999999994</v>
      </c>
      <c r="T197" s="26">
        <f t="shared" ca="1" si="75"/>
        <v>5184.7994999999992</v>
      </c>
      <c r="U197" s="26">
        <f t="shared" ca="1" si="75"/>
        <v>5184.7994999999992</v>
      </c>
      <c r="V197" s="26">
        <f t="shared" ca="1" si="64"/>
        <v>3.5</v>
      </c>
      <c r="W197" s="26">
        <f t="shared" ca="1" si="65"/>
        <v>4780.3599999999997</v>
      </c>
      <c r="X197" s="26">
        <f ca="1">VLOOKUP(DATE(YEAR(H197+Electric!AB203),MONTH(H197+Electric!AB203),1),'FAF &amp; DDs'!$A$2:$B$321,2,FALSE)*I197</f>
        <v>159.65950000000001</v>
      </c>
      <c r="Y197" s="26">
        <f t="shared" ca="1" si="66"/>
        <v>241.28</v>
      </c>
      <c r="Z197" s="26">
        <f t="shared" ca="1" si="67"/>
        <v>5184.7999999999993</v>
      </c>
    </row>
    <row r="198" spans="5:26" s="23" customFormat="1" x14ac:dyDescent="0.2">
      <c r="E198" s="38">
        <f t="shared" ca="1" si="68"/>
        <v>30</v>
      </c>
      <c r="F198" s="37">
        <f ca="1">Electric!X204</f>
        <v>30</v>
      </c>
      <c r="H198" s="32">
        <f ca="1">IF(ROW()&gt;(Electric!$Y$6-Electric!$Y$5+6),"",+Electric!V204)</f>
        <v>38196</v>
      </c>
      <c r="I198" s="33">
        <f ca="1">IF($H198="","",+Electric!F204)</f>
        <v>75400</v>
      </c>
      <c r="J198" s="43">
        <f ca="1">IF($H198="","",+Electric!G204)</f>
        <v>200</v>
      </c>
      <c r="K198" s="26">
        <f t="shared" ca="1" si="74"/>
        <v>5948.143</v>
      </c>
      <c r="L198" s="26">
        <f t="shared" ca="1" si="74"/>
        <v>5491.3429999999998</v>
      </c>
      <c r="M198" s="26">
        <f t="shared" ca="1" si="74"/>
        <v>5914.5130000000008</v>
      </c>
      <c r="N198" s="26">
        <f t="shared" ca="1" si="59"/>
        <v>120</v>
      </c>
      <c r="O198" s="26">
        <f t="shared" ca="1" si="73"/>
        <v>3634.28</v>
      </c>
      <c r="P198" s="73">
        <f t="shared" ca="1" si="60"/>
        <v>1810.0000000000002</v>
      </c>
      <c r="Q198" s="26">
        <f t="shared" ca="1" si="61"/>
        <v>241.28</v>
      </c>
      <c r="R198" s="26">
        <f t="shared" ca="1" si="62"/>
        <v>5914.51</v>
      </c>
      <c r="S198" s="26">
        <f t="shared" ca="1" si="63"/>
        <v>5137.643</v>
      </c>
      <c r="T198" s="26">
        <f t="shared" ca="1" si="75"/>
        <v>5134.0929999999998</v>
      </c>
      <c r="U198" s="26">
        <f t="shared" ca="1" si="75"/>
        <v>5134.0929999999998</v>
      </c>
      <c r="V198" s="26">
        <f t="shared" ca="1" si="64"/>
        <v>3.5</v>
      </c>
      <c r="W198" s="26">
        <f t="shared" ca="1" si="65"/>
        <v>4780.3599999999997</v>
      </c>
      <c r="X198" s="26">
        <f ca="1">VLOOKUP(DATE(YEAR(H198+Electric!AB204),MONTH(H198+Electric!AB204),1),'FAF &amp; DDs'!$A$2:$B$321,2,FALSE)*I198</f>
        <v>108.953</v>
      </c>
      <c r="Y198" s="26">
        <f t="shared" ca="1" si="66"/>
        <v>241.28</v>
      </c>
      <c r="Z198" s="26">
        <f t="shared" ca="1" si="67"/>
        <v>5134.0899999999992</v>
      </c>
    </row>
    <row r="199" spans="5:26" s="23" customFormat="1" x14ac:dyDescent="0.2">
      <c r="E199" s="38">
        <f t="shared" ca="1" si="68"/>
        <v>33</v>
      </c>
      <c r="F199" s="37">
        <f ca="1">Electric!X205</f>
        <v>33</v>
      </c>
      <c r="H199" s="32">
        <f ca="1">IF(ROW()&gt;(Electric!$Y$6-Electric!$Y$5+6),"",+Electric!V205)</f>
        <v>38166</v>
      </c>
      <c r="I199" s="33">
        <f ca="1">IF($H199="","",+Electric!F205)</f>
        <v>69000</v>
      </c>
      <c r="J199" s="43">
        <f ca="1">IF($H199="","",+Electric!G205)</f>
        <v>240</v>
      </c>
      <c r="K199" s="26">
        <f t="shared" ca="1" si="74"/>
        <v>6031.5390000000007</v>
      </c>
      <c r="L199" s="26">
        <f t="shared" ca="1" si="74"/>
        <v>5643.5390000000007</v>
      </c>
      <c r="M199" s="26">
        <f t="shared" ca="1" si="74"/>
        <v>6133.9890000000005</v>
      </c>
      <c r="N199" s="26">
        <f t="shared" ref="N199:N204" ca="1" si="76">IFERROR(IF(OR($F199&gt;$F$3,$F199&lt;$F$2),$F199,30)/30*(($H199-HLOOKUP($H199,$AC$80:$AQ$80,1))*HLOOKUP($H199,$AC$80:$AQ$98,MATCH($AC$2,$AB$80:$AB$98,0))+(HLOOKUP($H199,$AC$80:$AQ$80,1)-$H199+$F199)*HLOOKUP($H199-$F199,$AC$80:$AQ$98,MATCH($AC$2,$AB$80:$AB$98,0)))/$F199,0)</f>
        <v>120</v>
      </c>
      <c r="O199" s="26">
        <f t="shared" ca="1" si="73"/>
        <v>3325.8</v>
      </c>
      <c r="P199" s="73">
        <f t="shared" ref="P199:P204" ca="1" si="77">IF(I199=0,0,+$E199/IF($F199&lt;=$F$3,$F199,30)*$J199*HLOOKUP(($H199+$Q$1),$AC$66:$AQ$76,MATCH($AC$2,$AB$66:$AB$76,0))+"Summer"+(($F199-$E199)/IF($F199&lt;=$F$3,$F199,30)*$J199)/$F199*(($H199-HLOOKUP($H199,$AC$52:$AQ$52,1))*HLOOKUP($H199,$AC$52:$AQ$62,MATCH($AC$2,$AB$52:$AB$62,0))+(HLOOKUP($H199,$AC$52:$AQ$52,1)-$H199+$F199)*HLOOKUP($H199-$F199,$AC$52:$AQ$62,MATCH($AC$2,$AB$52:$AB$62,0)))+"Winter")</f>
        <v>2172</v>
      </c>
      <c r="Q199" s="26">
        <f t="shared" ref="Q199:Q204" ca="1" si="78">MIN(0.0032*$I199,0.05*(O199+P199+$X199))</f>
        <v>220.8</v>
      </c>
      <c r="R199" s="26">
        <f t="shared" ref="R199:R204" ca="1" si="79">N199+ROUND(O199,2)+ROUND(P199,2)+ROUND(Q199,2)+ROUND(X199,2)-ROUND($O$2*(N199+O199+P199+X199),2)</f>
        <v>6133.9900000000007</v>
      </c>
      <c r="S199" s="26">
        <f t="shared" ref="S199:S204" ca="1" si="80">(1-$O$2)*(IF(OR($F199&gt;$F$3,$F199&lt;$F$2),$F199,30)/30*HLOOKUP(($H199+$Q$1),$AC$80:$AQ$98,MATCH(VALUE(RIGHT(TRIM(S$5),2)),$AB$80:$AB$98,0))+"CC"++(ROUND(($E199/$F199)*$I199,0)*HLOOKUP(($H199+$Q$1),$AC$30:$AQ$48,MATCH(VALUE(RIGHT(TRIM(S$5),2)),$AB$30:$AB$48,0))+"Summer kWh"+ROUND((($F199-$E199)/$F199)*$I199,0)*HLOOKUP(($H199+$Q$1),$AC$8:$AQ$26,MATCH(VALUE(RIGHT(TRIM(S$5),2)),$AB$8:$AB$26,0))+"Winter kWh")+(IF($H199&gt;DATE(2009,7,1),$I199*0.0209*$O$3,0)+"State Wind Energy kWh Surcharge")+($E199/IF($F199&lt;=$F$3,$F199,30)*$J199*HLOOKUP(($H199+$Q$1),$AC$66:$AQ$76,MATCH(VALUE(RIGHT(TRIM(S$5),2)),$AB$66:$AB$76,0))+"Summer kW"+(($F199-$E199)/IF($F199&lt;=$F$3,$F199,30)*$J199)*HLOOKUP(($H199+$Q$1),$AC$52:$AQ$62,MATCH(VALUE(RIGHT(TRIM(S$5),2)),$AB$52:$AB$62,0))+"Winter kW")+$X199)+$Q199</f>
        <v>4897.8389999999999</v>
      </c>
      <c r="T199" s="26">
        <f t="shared" ca="1" si="75"/>
        <v>4894.2889999999998</v>
      </c>
      <c r="U199" s="26">
        <f t="shared" ca="1" si="75"/>
        <v>4894.2889999999998</v>
      </c>
      <c r="V199" s="26">
        <f t="shared" ref="V199:V204" ca="1" si="81">IFERROR(IF(OR($F199&gt;$F$3,$F199&lt;$F$2),$F199,30)/30*(($H199-HLOOKUP($H199,$AC$80:$AQ$80,1))*HLOOKUP($H199,$AC$80:$AQ$98,MATCH($AC$1,$AB$80:$AB$98,0))+(HLOOKUP($H199,$AC$80:$AQ$80,1)-$H199+$F199)*HLOOKUP($H199-$F199,$AC$80:$AQ$98,MATCH($AC$1,$AB$80:$AB$98,0)))/$F199,0)</f>
        <v>3.5</v>
      </c>
      <c r="W199" s="26">
        <f t="shared" ref="W199:W204" ca="1" si="82">+IFERROR(ROUND(($E199/$F199)*$I199,0)*HLOOKUP(($H199),$AC$30:$AQ$48,MATCH($AC$1,$AB$30:$AB$48,0))+"Summer"+ROUND((($F199-$E199)/$F199)*$I199,0)/$F199*(($H199-HLOOKUP($H199,$AC$8:$AQ$8,1))*HLOOKUP($H199,$AC$8:$AQ$26,MATCH($AC$1,$AB$8:$AB$26,0))+(HLOOKUP($H199,$AC$8:$AQ$8,1)-$H199+$F199)*HLOOKUP($H199-$F199,$AC$8:$AQ$26,MATCH($AC$1,$AB$8:$AB$26,0)))+"Winter",0)</f>
        <v>4374.5999999999995</v>
      </c>
      <c r="X199" s="26">
        <f ca="1">VLOOKUP(DATE(YEAR(H199+Electric!AB205),MONTH(H199+Electric!AB205),1),'FAF &amp; DDs'!$A$2:$B$321,2,FALSE)*I199</f>
        <v>295.38900000000001</v>
      </c>
      <c r="Y199" s="26">
        <f t="shared" ref="Y199:Y204" ca="1" si="83">IFERROR(MIN(0.0032*I199,0.05*(W199+X199)),0)</f>
        <v>220.8</v>
      </c>
      <c r="Z199" s="26">
        <f t="shared" ref="Z199:Z204" ca="1" si="84">V199+ROUND(W199,2)+ROUND(X199,2)+ROUND(Y199,2)</f>
        <v>4894.2900000000009</v>
      </c>
    </row>
    <row r="200" spans="5:26" s="23" customFormat="1" x14ac:dyDescent="0.2">
      <c r="E200" s="38">
        <f ca="1">MIN(F200,MAX((H200-DATE(YEAR(H200),5,15)),0),MAX(0,(DATE(YEAR(H200),9,15)-(H200-F200))))</f>
        <v>11</v>
      </c>
      <c r="F200" s="37">
        <f ca="1">Electric!X206</f>
        <v>28</v>
      </c>
      <c r="H200" s="32">
        <f ca="1">IF(ROW()&gt;(Electric!$Y$6-Electric!$Y$5+6),"",+Electric!V206)</f>
        <v>38133</v>
      </c>
      <c r="I200" s="33">
        <f ca="1">IF($H200="","",+Electric!F206)</f>
        <v>58600</v>
      </c>
      <c r="J200" s="43">
        <f ca="1">IF($H200="","",+Electric!G206)</f>
        <v>236</v>
      </c>
      <c r="K200" s="26">
        <f t="shared" ca="1" si="74"/>
        <v>4643.6386571428575</v>
      </c>
      <c r="L200" s="26">
        <f t="shared" ca="1" si="74"/>
        <v>4292.6290857142867</v>
      </c>
      <c r="M200" s="26">
        <f t="shared" ca="1" si="74"/>
        <v>4798.8130285714287</v>
      </c>
      <c r="N200" s="26">
        <f t="shared" ca="1" si="76"/>
        <v>120</v>
      </c>
      <c r="O200" s="26">
        <f t="shared" ca="1" si="73"/>
        <v>2618.1618000000053</v>
      </c>
      <c r="P200" s="73">
        <f t="shared" ca="1" si="77"/>
        <v>1940.931428571427</v>
      </c>
      <c r="Q200" s="26">
        <f t="shared" ca="1" si="78"/>
        <v>187.52</v>
      </c>
      <c r="R200" s="26">
        <f t="shared" ca="1" si="79"/>
        <v>4798.8100000000004</v>
      </c>
      <c r="S200" s="26">
        <f t="shared" ca="1" si="80"/>
        <v>3571.6094000000003</v>
      </c>
      <c r="T200" s="26">
        <f t="shared" ca="1" si="75"/>
        <v>3454.2065999999995</v>
      </c>
      <c r="U200" s="26">
        <f t="shared" ca="1" si="75"/>
        <v>3219.3851999999997</v>
      </c>
      <c r="V200" s="26">
        <f t="shared" ca="1" si="81"/>
        <v>3.5</v>
      </c>
      <c r="W200" s="26">
        <f t="shared" ca="1" si="82"/>
        <v>3330.9867999999988</v>
      </c>
      <c r="X200" s="26">
        <f ca="1">VLOOKUP(DATE(YEAR(H200+Electric!AB206),MONTH(H200+Electric!AB206),1),'FAF &amp; DDs'!$A$2:$B$321,2,FALSE)*I200</f>
        <v>-67.800200000000004</v>
      </c>
      <c r="Y200" s="26">
        <f t="shared" ca="1" si="83"/>
        <v>163.15932999999995</v>
      </c>
      <c r="Z200" s="26">
        <f t="shared" ca="1" si="84"/>
        <v>3429.8499999999995</v>
      </c>
    </row>
    <row r="201" spans="5:26" s="23" customFormat="1" x14ac:dyDescent="0.2">
      <c r="E201" s="38">
        <f ca="1">MIN(F201,MAX((H201-DATE(YEAR(H201),5,15)),0),MAX(0,(DATE(YEAR(H201),9,15)-(H201-F201))))</f>
        <v>0</v>
      </c>
      <c r="F201" s="37">
        <f ca="1">Electric!X207</f>
        <v>35</v>
      </c>
      <c r="H201" s="32">
        <f ca="1">IF(ROW()&gt;(Electric!$Y$6-Electric!$Y$5+6),"",+Electric!V207)</f>
        <v>38105</v>
      </c>
      <c r="I201" s="33">
        <f ca="1">IF($H201="","",+Electric!F207)</f>
        <v>62800</v>
      </c>
      <c r="J201" s="43">
        <f ca="1">IF($H201="","",+Electric!G207)</f>
        <v>210</v>
      </c>
      <c r="K201" s="26">
        <f t="shared" ca="1" si="74"/>
        <v>4635.7560000000003</v>
      </c>
      <c r="L201" s="26">
        <f t="shared" ca="1" si="74"/>
        <v>4232.2559999999994</v>
      </c>
      <c r="M201" s="26">
        <f t="shared" ca="1" si="74"/>
        <v>4695.6059999999998</v>
      </c>
      <c r="N201" s="26">
        <f t="shared" ca="1" si="76"/>
        <v>120</v>
      </c>
      <c r="O201" s="26">
        <f t="shared" ca="1" si="73"/>
        <v>2662.7199999999903</v>
      </c>
      <c r="P201" s="73">
        <f t="shared" ca="1" si="77"/>
        <v>1614.9000000000033</v>
      </c>
      <c r="Q201" s="26">
        <f t="shared" ca="1" si="78"/>
        <v>200.96</v>
      </c>
      <c r="R201" s="26">
        <f t="shared" ca="1" si="79"/>
        <v>4695.6099999999997</v>
      </c>
      <c r="S201" s="26">
        <f t="shared" ca="1" si="80"/>
        <v>3809.2760000000003</v>
      </c>
      <c r="T201" s="26">
        <f t="shared" ca="1" si="75"/>
        <v>3604.7660000000001</v>
      </c>
      <c r="U201" s="26">
        <f t="shared" ca="1" si="75"/>
        <v>3190.2859999999996</v>
      </c>
      <c r="V201" s="26">
        <f t="shared" ca="1" si="81"/>
        <v>3.5</v>
      </c>
      <c r="W201" s="26">
        <f t="shared" ca="1" si="82"/>
        <v>3303.280000000002</v>
      </c>
      <c r="X201" s="26">
        <f ca="1">VLOOKUP(DATE(YEAR(H201+Electric!AB207),MONTH(H201+Electric!AB207),1),'FAF &amp; DDs'!$A$2:$B$321,2,FALSE)*I201</f>
        <v>97.025999999999996</v>
      </c>
      <c r="Y201" s="26">
        <f t="shared" ca="1" si="83"/>
        <v>170.01530000000011</v>
      </c>
      <c r="Z201" s="26">
        <f t="shared" ca="1" si="84"/>
        <v>3573.8300000000004</v>
      </c>
    </row>
    <row r="202" spans="5:26" s="23" customFormat="1" x14ac:dyDescent="0.2">
      <c r="E202" s="38">
        <f ca="1">MIN(F202,MAX((H202-DATE(YEAR(H202),5,15)),0),MAX(0,(DATE(YEAR(H202),9,15)-(H202-F202))))</f>
        <v>0</v>
      </c>
      <c r="F202" s="37">
        <f ca="1">Electric!X208</f>
        <v>28</v>
      </c>
      <c r="H202" s="32">
        <f ca="1">IF(ROW()&gt;(Electric!$Y$6-Electric!$Y$5+6),"",+Electric!V208)</f>
        <v>38070</v>
      </c>
      <c r="I202" s="33">
        <f ca="1">IF($H202="","",+Electric!F208)</f>
        <v>50000</v>
      </c>
      <c r="J202" s="43">
        <f ca="1">IF($H202="","",+Electric!G208)</f>
        <v>180</v>
      </c>
      <c r="K202" s="26">
        <f t="shared" ca="1" si="74"/>
        <v>3702.9</v>
      </c>
      <c r="L202" s="26">
        <f t="shared" ca="1" si="74"/>
        <v>3382.6</v>
      </c>
      <c r="M202" s="26">
        <f t="shared" ca="1" si="74"/>
        <v>3799.0499999999997</v>
      </c>
      <c r="N202" s="26">
        <f t="shared" ca="1" si="76"/>
        <v>120</v>
      </c>
      <c r="O202" s="26">
        <f t="shared" ca="1" si="73"/>
        <v>2120.0000000000077</v>
      </c>
      <c r="P202" s="73">
        <f t="shared" ca="1" si="77"/>
        <v>1384.1999999999982</v>
      </c>
      <c r="Q202" s="26">
        <f t="shared" ca="1" si="78"/>
        <v>160</v>
      </c>
      <c r="R202" s="26">
        <f t="shared" ca="1" si="79"/>
        <v>3799.0499999999997</v>
      </c>
      <c r="S202" s="26">
        <f t="shared" ca="1" si="80"/>
        <v>2971.9</v>
      </c>
      <c r="T202" s="26">
        <f t="shared" ca="1" si="75"/>
        <v>2808.35</v>
      </c>
      <c r="U202" s="26">
        <f t="shared" ca="1" si="75"/>
        <v>2478.35</v>
      </c>
      <c r="V202" s="26">
        <f t="shared" ca="1" si="81"/>
        <v>3.5</v>
      </c>
      <c r="W202" s="26">
        <f t="shared" ca="1" si="82"/>
        <v>2629.9999999999991</v>
      </c>
      <c r="X202" s="26">
        <f ca="1">VLOOKUP(DATE(YEAR(H202+Electric!AB208),MONTH(H202+Electric!AB208),1),'FAF &amp; DDs'!$A$2:$B$321,2,FALSE)*I202</f>
        <v>14.85</v>
      </c>
      <c r="Y202" s="26">
        <f t="shared" ca="1" si="83"/>
        <v>132.24249999999995</v>
      </c>
      <c r="Z202" s="26">
        <f t="shared" ca="1" si="84"/>
        <v>2780.59</v>
      </c>
    </row>
    <row r="203" spans="5:26" s="23" customFormat="1" x14ac:dyDescent="0.2">
      <c r="E203" s="38">
        <f ca="1">MIN(F203,MAX((H203-DATE(YEAR(H203),5,15)),0),MAX(0,(DATE(YEAR(H203),9,15)-(H203-F203))))</f>
        <v>0</v>
      </c>
      <c r="F203" s="37">
        <f ca="1">Electric!X209</f>
        <v>29</v>
      </c>
      <c r="H203" s="32">
        <f ca="1">IF(ROW()&gt;(Electric!$Y$6-Electric!$Y$5+6),"",+Electric!V209)</f>
        <v>38042</v>
      </c>
      <c r="I203" s="33">
        <f ca="1">IF($H203="","",+Electric!F209)</f>
        <v>56000</v>
      </c>
      <c r="J203" s="43">
        <f ca="1">IF($H203="","",+Electric!G209)</f>
        <v>200</v>
      </c>
      <c r="K203" s="26">
        <f t="shared" ca="1" si="74"/>
        <v>4156.9940000000006</v>
      </c>
      <c r="L203" s="26">
        <f t="shared" ca="1" si="74"/>
        <v>3797.694</v>
      </c>
      <c r="M203" s="26">
        <f t="shared" ca="1" si="74"/>
        <v>4247.9440000000004</v>
      </c>
      <c r="N203" s="26">
        <f t="shared" ca="1" si="76"/>
        <v>120</v>
      </c>
      <c r="O203" s="26">
        <f t="shared" ca="1" si="73"/>
        <v>2374.399999999996</v>
      </c>
      <c r="P203" s="73">
        <f t="shared" ca="1" si="77"/>
        <v>1538.0000000000014</v>
      </c>
      <c r="Q203" s="26">
        <f t="shared" ca="1" si="78"/>
        <v>179.20000000000002</v>
      </c>
      <c r="R203" s="26">
        <f t="shared" ca="1" si="79"/>
        <v>4247.9400000000005</v>
      </c>
      <c r="S203" s="26">
        <f t="shared" ca="1" si="80"/>
        <v>3347.3940000000002</v>
      </c>
      <c r="T203" s="26">
        <f t="shared" ca="1" si="75"/>
        <v>3164.6439999999998</v>
      </c>
      <c r="U203" s="26">
        <f t="shared" ca="1" si="75"/>
        <v>2795.0439999999999</v>
      </c>
      <c r="V203" s="26">
        <f t="shared" ca="1" si="81"/>
        <v>3.5</v>
      </c>
      <c r="W203" s="26">
        <f t="shared" ca="1" si="82"/>
        <v>2945.600000000009</v>
      </c>
      <c r="X203" s="26">
        <f ca="1">VLOOKUP(DATE(YEAR(H203+Electric!AB209),MONTH(H203+Electric!AB209),1),'FAF &amp; DDs'!$A$2:$B$321,2,FALSE)*I203</f>
        <v>36.343999999999994</v>
      </c>
      <c r="Y203" s="26">
        <f t="shared" ca="1" si="83"/>
        <v>149.09720000000047</v>
      </c>
      <c r="Z203" s="26">
        <f t="shared" ca="1" si="84"/>
        <v>3134.54</v>
      </c>
    </row>
    <row r="204" spans="5:26" s="23" customFormat="1" x14ac:dyDescent="0.2">
      <c r="E204" s="38">
        <f ca="1">MIN(F204,MAX((H204-DATE(YEAR(H204),5,15)),0),MAX(0,(DATE(YEAR(H204),9,15)-(H204-F204))))</f>
        <v>0</v>
      </c>
      <c r="F204" s="37">
        <f ca="1">Electric!X210</f>
        <v>29</v>
      </c>
      <c r="H204" s="32">
        <f ca="1">IF(ROW()&gt;(Electric!$Y$6-Electric!$Y$5+6),"",+Electric!V210)</f>
        <v>38013</v>
      </c>
      <c r="I204" s="33">
        <f ca="1">IF($H204="","",+Electric!F210)</f>
        <v>53600</v>
      </c>
      <c r="J204" s="43">
        <f ca="1">IF($H204="","",+Electric!G210)</f>
        <v>194</v>
      </c>
      <c r="K204" s="26">
        <f t="shared" ca="1" si="74"/>
        <v>3987.9539999999997</v>
      </c>
      <c r="L204" s="26">
        <f t="shared" ca="1" si="74"/>
        <v>3644.2539999999999</v>
      </c>
      <c r="M204" s="26">
        <f t="shared" ca="1" si="74"/>
        <v>4084.9639999999999</v>
      </c>
      <c r="N204" s="26">
        <f t="shared" ca="1" si="76"/>
        <v>120</v>
      </c>
      <c r="O204" s="26">
        <f t="shared" ca="1" si="73"/>
        <v>2272.6399999999962</v>
      </c>
      <c r="P204" s="73">
        <f t="shared" ca="1" si="77"/>
        <v>1491.8600000000013</v>
      </c>
      <c r="Q204" s="26">
        <f t="shared" ca="1" si="78"/>
        <v>171.52</v>
      </c>
      <c r="R204" s="26">
        <f t="shared" ca="1" si="79"/>
        <v>4084.96</v>
      </c>
      <c r="S204" s="26">
        <f t="shared" ca="1" si="80"/>
        <v>3198.3940000000002</v>
      </c>
      <c r="T204" s="26">
        <f t="shared" ca="1" si="75"/>
        <v>3023.3240000000001</v>
      </c>
      <c r="U204" s="26">
        <f t="shared" ca="1" si="75"/>
        <v>2669.5639999999999</v>
      </c>
      <c r="V204" s="26">
        <f t="shared" ca="1" si="81"/>
        <v>3.5</v>
      </c>
      <c r="W204" s="26">
        <f t="shared" ca="1" si="82"/>
        <v>2819.3599999999956</v>
      </c>
      <c r="X204" s="26">
        <f ca="1">VLOOKUP(DATE(YEAR(H204+Electric!AB210),MONTH(H204+Electric!AB210),1),'FAF &amp; DDs'!$A$2:$B$321,2,FALSE)*I204</f>
        <v>28.943999999999999</v>
      </c>
      <c r="Y204" s="26">
        <f t="shared" ca="1" si="83"/>
        <v>142.41519999999977</v>
      </c>
      <c r="Z204" s="26">
        <f t="shared" ca="1" si="84"/>
        <v>2994.2200000000003</v>
      </c>
    </row>
  </sheetData>
  <mergeCells count="2">
    <mergeCell ref="H1:M1"/>
    <mergeCell ref="Q2:Q3"/>
  </mergeCells>
  <phoneticPr fontId="0" type="noConversion"/>
  <conditionalFormatting sqref="K5">
    <cfRule type="expression" dxfId="11" priority="44">
      <formula>$K$3&lt;$M$3</formula>
    </cfRule>
  </conditionalFormatting>
  <conditionalFormatting sqref="M5">
    <cfRule type="expression" dxfId="10" priority="45">
      <formula>$M$3&lt;$K$3</formula>
    </cfRule>
  </conditionalFormatting>
  <conditionalFormatting sqref="K52:Z204 K7:N204 P7:Z204 R6:R7">
    <cfRule type="expression" dxfId="9" priority="11">
      <formula>$H6=""</formula>
    </cfRule>
  </conditionalFormatting>
  <conditionalFormatting sqref="O6:O204">
    <cfRule type="expression" dxfId="8" priority="9">
      <formula>$H6=""</formula>
    </cfRule>
  </conditionalFormatting>
  <conditionalFormatting sqref="O1">
    <cfRule type="expression" dxfId="7" priority="6">
      <formula>ISTEXT($O$1)</formula>
    </cfRule>
  </conditionalFormatting>
  <conditionalFormatting sqref="K6:N204 Y6:Z204 P7:W204 Q6:W6">
    <cfRule type="expression" dxfId="6" priority="5">
      <formula>$H6=""</formula>
    </cfRule>
  </conditionalFormatting>
  <conditionalFormatting sqref="O6:O204">
    <cfRule type="expression" dxfId="5" priority="4">
      <formula>$H6=""</formula>
    </cfRule>
  </conditionalFormatting>
  <conditionalFormatting sqref="X6:X204">
    <cfRule type="expression" dxfId="4" priority="3">
      <formula>$H6=""</formula>
    </cfRule>
  </conditionalFormatting>
  <conditionalFormatting sqref="P6:P204">
    <cfRule type="expression" dxfId="3" priority="2">
      <formula>$H6=""</formula>
    </cfRule>
  </conditionalFormatting>
  <conditionalFormatting sqref="P6:P204">
    <cfRule type="expression" dxfId="2" priority="1">
      <formula>$H6=""</formula>
    </cfRule>
  </conditionalFormatting>
  <pageMargins left="0.75" right="0.5" top="0.8" bottom="0.75" header="0.5" footer="0.2"/>
  <pageSetup orientation="portrait" r:id="rId1"/>
  <headerFooter alignWithMargins="0">
    <oddFooter>&amp;R&amp;8printed 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4133"/>
  <sheetViews>
    <sheetView zoomScale="110" zoomScaleNormal="110" workbookViewId="0">
      <selection sqref="A1:XFD1048576"/>
    </sheetView>
  </sheetViews>
  <sheetFormatPr defaultRowHeight="12.75" x14ac:dyDescent="0.2"/>
  <cols>
    <col min="1" max="1" width="16" customWidth="1"/>
    <col min="2" max="2" width="13.5703125" customWidth="1"/>
    <col min="3" max="3" width="12.140625" style="66" bestFit="1" customWidth="1"/>
    <col min="4" max="4" width="11.5703125" bestFit="1" customWidth="1"/>
    <col min="5" max="5" width="0" hidden="1" customWidth="1"/>
    <col min="6" max="6" width="10.28515625" customWidth="1"/>
    <col min="7" max="7" width="9.7109375" bestFit="1" customWidth="1"/>
    <col min="11" max="11" width="5.85546875" customWidth="1"/>
    <col min="16" max="16" width="6.140625" customWidth="1"/>
    <col min="17" max="17" width="10.140625" bestFit="1" customWidth="1"/>
    <col min="18" max="18" width="9.140625" style="145"/>
    <col min="19" max="19" width="7.5703125" customWidth="1"/>
    <col min="20" max="20" width="3.42578125" customWidth="1"/>
    <col min="21" max="21" width="10.42578125" customWidth="1"/>
    <col min="22" max="22" width="21.5703125" customWidth="1"/>
  </cols>
  <sheetData>
    <row r="1" spans="1:26" x14ac:dyDescent="0.2">
      <c r="A1" s="60" t="s">
        <v>86</v>
      </c>
      <c r="B1" s="60" t="s">
        <v>87</v>
      </c>
      <c r="C1" s="61" t="s">
        <v>88</v>
      </c>
      <c r="I1" s="118" t="s">
        <v>183</v>
      </c>
      <c r="J1" s="118" t="s">
        <v>184</v>
      </c>
      <c r="K1" s="118"/>
      <c r="Q1" s="146" t="s">
        <v>203</v>
      </c>
      <c r="R1" s="167" t="s">
        <v>183</v>
      </c>
      <c r="S1" s="167" t="s">
        <v>184</v>
      </c>
      <c r="W1" s="146" t="s">
        <v>241</v>
      </c>
      <c r="X1" s="146" t="s">
        <v>242</v>
      </c>
    </row>
    <row r="2" spans="1:26" x14ac:dyDescent="0.2">
      <c r="A2" s="60"/>
      <c r="B2" s="60"/>
      <c r="C2" s="61"/>
      <c r="F2" s="1" t="s">
        <v>202</v>
      </c>
      <c r="L2" s="213" t="s">
        <v>245</v>
      </c>
      <c r="Q2" s="140">
        <v>39873</v>
      </c>
      <c r="R2" s="77">
        <v>39</v>
      </c>
      <c r="S2" s="77">
        <v>0</v>
      </c>
    </row>
    <row r="3" spans="1:26" x14ac:dyDescent="0.2">
      <c r="A3" s="62">
        <v>44166</v>
      </c>
      <c r="B3" s="63"/>
      <c r="F3" s="63">
        <f>AVERAGE($B$3:$B$96)</f>
        <v>4.9729886363636365E-3</v>
      </c>
      <c r="G3" t="s">
        <v>90</v>
      </c>
      <c r="L3" s="117"/>
      <c r="M3" s="216" t="s">
        <v>187</v>
      </c>
      <c r="N3" s="216"/>
      <c r="O3" s="216"/>
      <c r="Q3" s="140">
        <v>39874</v>
      </c>
      <c r="R3" s="77">
        <v>43</v>
      </c>
      <c r="S3" s="77">
        <v>0</v>
      </c>
      <c r="U3" s="140">
        <f>MAX(Q:Q)</f>
        <v>44004</v>
      </c>
      <c r="V3" s="148" t="s">
        <v>206</v>
      </c>
      <c r="W3" s="205">
        <f>AVERAGE(I3,I15,I27,I39,I51,I63,I75,I87,I99,I111,I123,I135,I147,I159,I171,I183,I195,I207,I219)</f>
        <v>988.22222222222217</v>
      </c>
      <c r="X3" s="205">
        <f>AVERAGE(J3,J15,J27,J39,J51,J63,J75,J87,J99,J111,J123,J135,J147,J159,J171,J183,J195,J207,J219)</f>
        <v>5.5555555555555552E-2</v>
      </c>
    </row>
    <row r="4" spans="1:26" x14ac:dyDescent="0.2">
      <c r="A4" s="62">
        <f>IF(MONTH(A3)&lt;&gt;1,DATE(YEAR(A3),MONTH(A3)-1,1),DATE(YEAR(A3)-1,12,1))</f>
        <v>44136</v>
      </c>
      <c r="B4" s="63"/>
      <c r="I4" s="122"/>
      <c r="J4" s="122"/>
      <c r="L4" s="121" t="s">
        <v>188</v>
      </c>
      <c r="M4" s="60" t="s">
        <v>86</v>
      </c>
      <c r="N4" s="118" t="s">
        <v>183</v>
      </c>
      <c r="O4" s="118" t="s">
        <v>184</v>
      </c>
      <c r="P4" s="118"/>
      <c r="Q4" s="140">
        <v>39875</v>
      </c>
      <c r="R4" s="77">
        <v>43</v>
      </c>
      <c r="S4" s="77">
        <v>0</v>
      </c>
      <c r="W4" s="117">
        <f>AVERAGE(I4,I16,I28,I40,I52,I64,I76,I88,I100,I112,I124,I136,I148,I160,I172,I184,I196,I208,I220)</f>
        <v>640.61111111111109</v>
      </c>
      <c r="X4" s="117">
        <f>AVERAGE(J4,J16,J28,J40,J52,J64,J76,J88,J100,J112,J124,J136,J148,J160,J172,J184,J196,J208,J220)</f>
        <v>1.1666666666666667</v>
      </c>
    </row>
    <row r="5" spans="1:26" x14ac:dyDescent="0.2">
      <c r="A5" s="62">
        <v>44105</v>
      </c>
      <c r="B5" s="63"/>
      <c r="F5" s="64" t="s">
        <v>89</v>
      </c>
      <c r="I5" s="122"/>
      <c r="J5" s="122"/>
      <c r="L5" s="173">
        <f>100-COUNT(I2:I99)</f>
        <v>10</v>
      </c>
      <c r="M5" s="68">
        <f t="shared" ref="M5:M41" ca="1" si="0">INDIRECT(ADDRESS($L5,1))</f>
        <v>43952</v>
      </c>
      <c r="N5">
        <f t="shared" ref="N5:N41" ca="1" si="1">INDIRECT(ADDRESS($L5,9))</f>
        <v>225</v>
      </c>
      <c r="O5">
        <f t="shared" ref="O5:O41" ca="1" si="2">INDIRECT(ADDRESS($L5,10))</f>
        <v>64</v>
      </c>
      <c r="Q5" s="140">
        <v>39876</v>
      </c>
      <c r="R5" s="77">
        <v>25</v>
      </c>
      <c r="S5" s="77">
        <v>0</v>
      </c>
      <c r="U5" s="1" t="s">
        <v>207</v>
      </c>
      <c r="W5" s="117">
        <f t="shared" ref="W5:X14" si="3">AVERAGE(I5,I17,I29,I41,I53,I65,I77,I89,I101,I113,I125,I137,I149,I161,I173,I185,I197,I209,I221)</f>
        <v>318.5</v>
      </c>
      <c r="X5" s="117">
        <f t="shared" si="3"/>
        <v>35.333333333333336</v>
      </c>
      <c r="Y5" s="117">
        <f ca="1">INDIRECT(ADDRESS($L5,COLUMN(W$1)))</f>
        <v>116.94736842105263</v>
      </c>
      <c r="Z5" s="117">
        <f ca="1">INDIRECT(ADDRESS($L5,COLUMN(X$1)))</f>
        <v>120.15789473684211</v>
      </c>
    </row>
    <row r="6" spans="1:26" x14ac:dyDescent="0.2">
      <c r="A6" s="62">
        <v>44075</v>
      </c>
      <c r="B6" s="63"/>
      <c r="C6" s="66">
        <f>IFERROR((AVERAGE(B6,B10)+SUM(B7:B9))/COUNT(B7:B10),0)</f>
        <v>-1.0840499999999999E-2</v>
      </c>
      <c r="D6" t="str">
        <f>+"Summer "&amp;TEXT(YEAR(A6)-2000,0)</f>
        <v>Summer 20</v>
      </c>
      <c r="F6" s="65">
        <f ca="1">AVERAGE(INDIRECT(ADDRESS(ROW(B162)-COUNT(B2:B161),2)):INDIRECT(ADDRESS(ROW(B162)+11-COUNT(B2:B161),2)))</f>
        <v>-4.9086666666666662E-3</v>
      </c>
      <c r="G6" t="s">
        <v>90</v>
      </c>
      <c r="L6" s="120">
        <f>+L5+1</f>
        <v>11</v>
      </c>
      <c r="M6" s="68">
        <f t="shared" ca="1" si="0"/>
        <v>43922</v>
      </c>
      <c r="N6">
        <f t="shared" ca="1" si="1"/>
        <v>422</v>
      </c>
      <c r="O6">
        <f t="shared" ca="1" si="2"/>
        <v>11</v>
      </c>
      <c r="Q6" s="140">
        <v>39877</v>
      </c>
      <c r="R6" s="77">
        <v>11</v>
      </c>
      <c r="S6" s="77">
        <v>0</v>
      </c>
      <c r="U6" s="223" t="s">
        <v>208</v>
      </c>
      <c r="V6" s="223"/>
      <c r="W6" s="117">
        <f t="shared" si="3"/>
        <v>47.777777777777779</v>
      </c>
      <c r="X6" s="117">
        <f t="shared" si="3"/>
        <v>163.72222222222223</v>
      </c>
      <c r="Y6" s="117">
        <f t="shared" ref="Y6:Z16" ca="1" si="4">INDIRECT(ADDRESS($L6,COLUMN(W$1)))</f>
        <v>324.78947368421052</v>
      </c>
      <c r="Z6" s="117">
        <f t="shared" ca="1" si="4"/>
        <v>21.631578947368421</v>
      </c>
    </row>
    <row r="7" spans="1:26" x14ac:dyDescent="0.2">
      <c r="A7" s="62">
        <v>44044</v>
      </c>
      <c r="B7" s="63"/>
      <c r="C7" s="61"/>
      <c r="F7" s="64"/>
      <c r="L7" s="120">
        <f t="shared" ref="L7:L49" si="5">+L6+1</f>
        <v>12</v>
      </c>
      <c r="M7" s="68">
        <f t="shared" ca="1" si="0"/>
        <v>43891</v>
      </c>
      <c r="N7">
        <f t="shared" ca="1" si="1"/>
        <v>593</v>
      </c>
      <c r="O7">
        <f t="shared" ca="1" si="2"/>
        <v>0</v>
      </c>
      <c r="Q7" s="140">
        <v>39878</v>
      </c>
      <c r="R7" s="77">
        <v>1</v>
      </c>
      <c r="S7" s="77">
        <v>0</v>
      </c>
      <c r="U7" s="223"/>
      <c r="V7" s="223"/>
      <c r="W7" s="117">
        <f t="shared" si="3"/>
        <v>2.8888888888888888</v>
      </c>
      <c r="X7" s="117">
        <f t="shared" si="3"/>
        <v>311.66666666666669</v>
      </c>
      <c r="Y7" s="117">
        <f t="shared" ca="1" si="4"/>
        <v>664.63157894736844</v>
      </c>
      <c r="Z7" s="117">
        <f t="shared" ca="1" si="4"/>
        <v>3.7894736842105261</v>
      </c>
    </row>
    <row r="8" spans="1:26" x14ac:dyDescent="0.2">
      <c r="A8" s="62">
        <v>44013</v>
      </c>
      <c r="B8" s="63"/>
      <c r="C8" s="61"/>
      <c r="F8" s="63">
        <f ca="1">INDIRECT(ADDRESS(ROW($B$149)-COUNT($B$3:$B$148),2))</f>
        <v>-1.1604E-2</v>
      </c>
      <c r="G8" s="148" t="s">
        <v>158</v>
      </c>
      <c r="L8" s="120">
        <f t="shared" si="5"/>
        <v>13</v>
      </c>
      <c r="M8" s="68">
        <f t="shared" ca="1" si="0"/>
        <v>43862</v>
      </c>
      <c r="N8">
        <f t="shared" ca="1" si="1"/>
        <v>952</v>
      </c>
      <c r="O8">
        <f t="shared" ca="1" si="2"/>
        <v>0</v>
      </c>
      <c r="Q8" s="140">
        <v>39879</v>
      </c>
      <c r="R8" s="77">
        <v>4</v>
      </c>
      <c r="S8" s="77">
        <v>0</v>
      </c>
      <c r="V8" s="144"/>
      <c r="W8" s="117">
        <f t="shared" si="3"/>
        <v>0.77777777777777779</v>
      </c>
      <c r="X8" s="117">
        <f t="shared" si="3"/>
        <v>360.94444444444446</v>
      </c>
      <c r="Y8" s="117">
        <f t="shared" ca="1" si="4"/>
        <v>959.52631578947364</v>
      </c>
      <c r="Z8" s="117">
        <f t="shared" ca="1" si="4"/>
        <v>0</v>
      </c>
    </row>
    <row r="9" spans="1:26" x14ac:dyDescent="0.2">
      <c r="A9" s="62">
        <v>43983</v>
      </c>
      <c r="B9" s="63">
        <v>-1.1604E-2</v>
      </c>
      <c r="C9" s="61"/>
      <c r="F9" s="208"/>
      <c r="L9" s="120">
        <f t="shared" si="5"/>
        <v>14</v>
      </c>
      <c r="M9" s="68">
        <f t="shared" ca="1" si="0"/>
        <v>43831</v>
      </c>
      <c r="N9">
        <f t="shared" ca="1" si="1"/>
        <v>1008</v>
      </c>
      <c r="O9">
        <f t="shared" ca="1" si="2"/>
        <v>0</v>
      </c>
      <c r="Q9" s="140">
        <v>39880</v>
      </c>
      <c r="R9" s="77">
        <v>9</v>
      </c>
      <c r="S9" s="77">
        <v>0</v>
      </c>
      <c r="V9" s="144"/>
      <c r="W9" s="117">
        <f t="shared" si="3"/>
        <v>5.9444444444444446</v>
      </c>
      <c r="X9" s="117">
        <f t="shared" si="3"/>
        <v>277.38888888888891</v>
      </c>
      <c r="Y9" s="117">
        <f t="shared" ca="1" si="4"/>
        <v>1135.5263157894738</v>
      </c>
      <c r="Z9" s="117">
        <f t="shared" ca="1" si="4"/>
        <v>0</v>
      </c>
    </row>
    <row r="10" spans="1:26" x14ac:dyDescent="0.2">
      <c r="A10" s="62">
        <v>43952</v>
      </c>
      <c r="B10" s="63">
        <v>-1.0076999999999999E-2</v>
      </c>
      <c r="F10" s="207"/>
      <c r="I10">
        <v>225</v>
      </c>
      <c r="J10">
        <v>64</v>
      </c>
      <c r="L10" s="120">
        <f t="shared" si="5"/>
        <v>15</v>
      </c>
      <c r="M10" s="68">
        <f t="shared" ca="1" si="0"/>
        <v>43800</v>
      </c>
      <c r="N10">
        <f t="shared" ca="1" si="1"/>
        <v>899</v>
      </c>
      <c r="O10">
        <f t="shared" ca="1" si="2"/>
        <v>0</v>
      </c>
      <c r="Q10" s="140">
        <v>39881</v>
      </c>
      <c r="R10" s="77">
        <v>20</v>
      </c>
      <c r="S10" s="77">
        <v>0</v>
      </c>
      <c r="W10" s="117">
        <f t="shared" si="3"/>
        <v>116.94736842105263</v>
      </c>
      <c r="X10" s="117">
        <f t="shared" si="3"/>
        <v>120.15789473684211</v>
      </c>
      <c r="Y10" s="117">
        <f t="shared" ca="1" si="4"/>
        <v>988.22222222222217</v>
      </c>
      <c r="Z10" s="117">
        <f t="shared" ca="1" si="4"/>
        <v>5.5555555555555552E-2</v>
      </c>
    </row>
    <row r="11" spans="1:26" x14ac:dyDescent="0.2">
      <c r="A11" s="62">
        <v>43922</v>
      </c>
      <c r="B11" s="63">
        <v>-2.8170000000000001E-3</v>
      </c>
      <c r="C11" s="212">
        <f>+(AVERAGE(B10,B18)+SUM(B11:B17))/COUNT(B11:B18)</f>
        <v>-4.4299999999999999E-3</v>
      </c>
      <c r="D11" t="str">
        <f>+"Winter "&amp;TEXT(YEAR(A11)-2001,0)&amp;"-"&amp;TEXT(YEAR(A11)-2000,0)</f>
        <v>Winter 19-20</v>
      </c>
      <c r="F11" s="208"/>
      <c r="I11">
        <v>422</v>
      </c>
      <c r="J11">
        <v>11</v>
      </c>
      <c r="L11" s="120">
        <f t="shared" si="5"/>
        <v>16</v>
      </c>
      <c r="M11" s="68">
        <f t="shared" ca="1" si="0"/>
        <v>43770</v>
      </c>
      <c r="N11">
        <f t="shared" ca="1" si="1"/>
        <v>826</v>
      </c>
      <c r="O11">
        <f t="shared" ca="1" si="2"/>
        <v>0</v>
      </c>
      <c r="Q11" s="140">
        <v>39882</v>
      </c>
      <c r="R11" s="77">
        <v>14</v>
      </c>
      <c r="S11" s="77">
        <v>0</v>
      </c>
      <c r="U11" s="140"/>
      <c r="V11" s="177"/>
      <c r="W11" s="117">
        <f t="shared" si="3"/>
        <v>324.78947368421052</v>
      </c>
      <c r="X11" s="117">
        <f t="shared" si="3"/>
        <v>21.631578947368421</v>
      </c>
      <c r="Y11" s="117">
        <f t="shared" ca="1" si="4"/>
        <v>640.61111111111109</v>
      </c>
      <c r="Z11" s="117">
        <f t="shared" ca="1" si="4"/>
        <v>1.1666666666666667</v>
      </c>
    </row>
    <row r="12" spans="1:26" x14ac:dyDescent="0.2">
      <c r="A12" s="62">
        <v>43891</v>
      </c>
      <c r="B12" s="63">
        <v>-7.8539999999999999E-3</v>
      </c>
      <c r="F12" s="208"/>
      <c r="I12">
        <v>593</v>
      </c>
      <c r="J12">
        <v>0</v>
      </c>
      <c r="L12" s="120">
        <f t="shared" si="5"/>
        <v>17</v>
      </c>
      <c r="M12" s="68">
        <f t="shared" ca="1" si="0"/>
        <v>43739</v>
      </c>
      <c r="N12">
        <f t="shared" ca="1" si="1"/>
        <v>384</v>
      </c>
      <c r="O12">
        <f t="shared" ca="1" si="2"/>
        <v>32</v>
      </c>
      <c r="Q12" s="140">
        <v>39883</v>
      </c>
      <c r="R12" s="77">
        <v>36</v>
      </c>
      <c r="S12" s="77">
        <v>0</v>
      </c>
      <c r="U12" s="140"/>
      <c r="V12" s="177"/>
      <c r="W12" s="117">
        <f t="shared" si="3"/>
        <v>664.63157894736844</v>
      </c>
      <c r="X12" s="117">
        <f t="shared" si="3"/>
        <v>3.7894736842105261</v>
      </c>
      <c r="Y12" s="117">
        <f t="shared" ca="1" si="4"/>
        <v>318.5</v>
      </c>
      <c r="Z12" s="117">
        <f t="shared" ca="1" si="4"/>
        <v>35.333333333333336</v>
      </c>
    </row>
    <row r="13" spans="1:26" x14ac:dyDescent="0.2">
      <c r="A13" s="62">
        <v>43862</v>
      </c>
      <c r="B13" s="63">
        <v>-6.1149999999999998E-3</v>
      </c>
      <c r="F13" s="208"/>
      <c r="I13">
        <v>952</v>
      </c>
      <c r="J13">
        <v>0</v>
      </c>
      <c r="L13" s="120">
        <f t="shared" si="5"/>
        <v>18</v>
      </c>
      <c r="M13" s="68">
        <f t="shared" ca="1" si="0"/>
        <v>43709</v>
      </c>
      <c r="N13">
        <f t="shared" ca="1" si="1"/>
        <v>1</v>
      </c>
      <c r="O13">
        <f t="shared" ca="1" si="2"/>
        <v>241</v>
      </c>
      <c r="Q13" s="140">
        <v>39884</v>
      </c>
      <c r="R13" s="77">
        <v>39</v>
      </c>
      <c r="S13" s="77">
        <v>0</v>
      </c>
      <c r="U13" s="140"/>
      <c r="V13" s="177"/>
      <c r="W13" s="117">
        <f t="shared" si="3"/>
        <v>959.52631578947364</v>
      </c>
      <c r="X13" s="117">
        <f t="shared" si="3"/>
        <v>0</v>
      </c>
      <c r="Y13" s="117">
        <f t="shared" ca="1" si="4"/>
        <v>47.777777777777779</v>
      </c>
      <c r="Z13" s="117">
        <f t="shared" ca="1" si="4"/>
        <v>163.72222222222223</v>
      </c>
    </row>
    <row r="14" spans="1:26" x14ac:dyDescent="0.2">
      <c r="A14" s="62">
        <v>43831</v>
      </c>
      <c r="B14" s="63">
        <v>-1.6299999999999999E-3</v>
      </c>
      <c r="F14" s="208"/>
      <c r="G14" s="63"/>
      <c r="I14">
        <v>1008</v>
      </c>
      <c r="J14">
        <v>0</v>
      </c>
      <c r="K14">
        <f>SUM(J3:J14)</f>
        <v>75</v>
      </c>
      <c r="L14" s="120">
        <f t="shared" si="5"/>
        <v>19</v>
      </c>
      <c r="M14" s="68">
        <f t="shared" ca="1" si="0"/>
        <v>43678</v>
      </c>
      <c r="N14">
        <f t="shared" ca="1" si="1"/>
        <v>0</v>
      </c>
      <c r="O14">
        <f t="shared" ca="1" si="2"/>
        <v>267</v>
      </c>
      <c r="Q14" s="140">
        <v>39885</v>
      </c>
      <c r="R14" s="77">
        <v>32</v>
      </c>
      <c r="S14" s="77">
        <v>0</v>
      </c>
      <c r="U14" s="140"/>
      <c r="V14" s="177"/>
      <c r="W14" s="117">
        <f t="shared" si="3"/>
        <v>1135.5263157894738</v>
      </c>
      <c r="X14" s="117">
        <f t="shared" si="3"/>
        <v>0</v>
      </c>
      <c r="Y14" s="117">
        <f t="shared" ca="1" si="4"/>
        <v>2.8888888888888888</v>
      </c>
      <c r="Z14" s="117">
        <f t="shared" ca="1" si="4"/>
        <v>311.66666666666669</v>
      </c>
    </row>
    <row r="15" spans="1:26" x14ac:dyDescent="0.2">
      <c r="A15" s="62">
        <v>43800</v>
      </c>
      <c r="B15" s="63">
        <v>-1.408E-3</v>
      </c>
      <c r="F15" s="208"/>
      <c r="I15">
        <v>899</v>
      </c>
      <c r="J15">
        <v>0</v>
      </c>
      <c r="L15" s="120">
        <f t="shared" si="5"/>
        <v>20</v>
      </c>
      <c r="M15" s="68">
        <f t="shared" ca="1" si="0"/>
        <v>43647</v>
      </c>
      <c r="N15">
        <f t="shared" ca="1" si="1"/>
        <v>0</v>
      </c>
      <c r="O15">
        <f t="shared" ca="1" si="2"/>
        <v>417</v>
      </c>
      <c r="Q15" s="140">
        <v>39886</v>
      </c>
      <c r="R15" s="77">
        <v>23</v>
      </c>
      <c r="S15" s="77">
        <v>0</v>
      </c>
      <c r="U15" s="140"/>
      <c r="V15" s="177"/>
      <c r="W15" s="117">
        <f t="shared" ref="W15:X30" si="6">+W3</f>
        <v>988.22222222222217</v>
      </c>
      <c r="X15" s="117">
        <f t="shared" si="6"/>
        <v>5.5555555555555552E-2</v>
      </c>
      <c r="Y15" s="117">
        <f t="shared" ca="1" si="4"/>
        <v>0.77777777777777779</v>
      </c>
      <c r="Z15" s="117">
        <f t="shared" ca="1" si="4"/>
        <v>360.94444444444446</v>
      </c>
    </row>
    <row r="16" spans="1:26" x14ac:dyDescent="0.2">
      <c r="A16" s="62">
        <v>43770</v>
      </c>
      <c r="B16" s="63">
        <v>-4.0619999999999996E-3</v>
      </c>
      <c r="F16" s="208"/>
      <c r="I16">
        <v>826</v>
      </c>
      <c r="J16">
        <v>0</v>
      </c>
      <c r="L16" s="120">
        <f t="shared" si="5"/>
        <v>21</v>
      </c>
      <c r="M16" s="68">
        <f t="shared" ca="1" si="0"/>
        <v>43617</v>
      </c>
      <c r="N16">
        <f t="shared" ca="1" si="1"/>
        <v>4</v>
      </c>
      <c r="O16">
        <f t="shared" ca="1" si="2"/>
        <v>228</v>
      </c>
      <c r="Q16" s="140">
        <v>39887</v>
      </c>
      <c r="R16" s="77">
        <v>18</v>
      </c>
      <c r="S16" s="77">
        <v>0</v>
      </c>
      <c r="U16" s="140"/>
      <c r="V16" s="177"/>
      <c r="W16" s="117">
        <f t="shared" si="6"/>
        <v>640.61111111111109</v>
      </c>
      <c r="X16" s="117">
        <f t="shared" si="6"/>
        <v>1.1666666666666667</v>
      </c>
      <c r="Y16" s="117">
        <f t="shared" ca="1" si="4"/>
        <v>5.9444444444444446</v>
      </c>
      <c r="Z16" s="117">
        <f t="shared" ca="1" si="4"/>
        <v>277.38888888888891</v>
      </c>
    </row>
    <row r="17" spans="1:26" x14ac:dyDescent="0.2">
      <c r="A17" s="62">
        <v>43739</v>
      </c>
      <c r="B17" s="63">
        <v>-3.9690000000000003E-3</v>
      </c>
      <c r="F17" s="148"/>
      <c r="I17">
        <v>384</v>
      </c>
      <c r="J17">
        <v>32</v>
      </c>
      <c r="L17" s="120">
        <f t="shared" si="5"/>
        <v>22</v>
      </c>
      <c r="M17" s="68">
        <f t="shared" ca="1" si="0"/>
        <v>43586</v>
      </c>
      <c r="N17">
        <f t="shared" ca="1" si="1"/>
        <v>129</v>
      </c>
      <c r="O17">
        <f t="shared" ca="1" si="2"/>
        <v>114</v>
      </c>
      <c r="Q17" s="140">
        <v>39888</v>
      </c>
      <c r="R17" s="77">
        <v>7</v>
      </c>
      <c r="S17" s="77">
        <v>0</v>
      </c>
      <c r="W17" s="117">
        <f t="shared" si="6"/>
        <v>318.5</v>
      </c>
      <c r="X17" s="117">
        <f t="shared" si="6"/>
        <v>35.333333333333336</v>
      </c>
      <c r="Y17" s="117"/>
      <c r="Z17" s="117"/>
    </row>
    <row r="18" spans="1:26" x14ac:dyDescent="0.2">
      <c r="A18" s="62">
        <v>43709</v>
      </c>
      <c r="B18" s="63">
        <v>-5.0930000000000003E-3</v>
      </c>
      <c r="C18" s="66">
        <f>IFERROR((AVERAGE(B18,B22)+SUM(B19:B21))/COUNT(B19:B22),0)</f>
        <v>-1.140875E-3</v>
      </c>
      <c r="D18" t="str">
        <f>+"Summer "&amp;TEXT(YEAR(A18)-2000,0)</f>
        <v>Summer 19</v>
      </c>
      <c r="F18" s="208"/>
      <c r="I18">
        <v>1</v>
      </c>
      <c r="J18">
        <v>241</v>
      </c>
      <c r="L18" s="120">
        <f t="shared" si="5"/>
        <v>23</v>
      </c>
      <c r="M18" s="68">
        <f t="shared" ca="1" si="0"/>
        <v>43556</v>
      </c>
      <c r="N18">
        <f t="shared" ca="1" si="1"/>
        <v>330</v>
      </c>
      <c r="O18">
        <f t="shared" ca="1" si="2"/>
        <v>10</v>
      </c>
      <c r="Q18" s="140">
        <v>39889</v>
      </c>
      <c r="R18" s="77">
        <v>3</v>
      </c>
      <c r="S18" s="77">
        <v>0</v>
      </c>
      <c r="W18" s="117">
        <f t="shared" si="6"/>
        <v>47.777777777777779</v>
      </c>
      <c r="X18" s="117">
        <f t="shared" si="6"/>
        <v>163.72222222222223</v>
      </c>
      <c r="Y18" s="117"/>
      <c r="Z18" s="117"/>
    </row>
    <row r="19" spans="1:26" x14ac:dyDescent="0.2">
      <c r="A19" s="62">
        <v>43678</v>
      </c>
      <c r="B19" s="63">
        <v>-3.5669999999999999E-3</v>
      </c>
      <c r="C19" s="61"/>
      <c r="F19" s="208"/>
      <c r="I19">
        <v>0</v>
      </c>
      <c r="J19">
        <v>267</v>
      </c>
      <c r="L19" s="120">
        <f t="shared" si="5"/>
        <v>24</v>
      </c>
      <c r="M19" s="68">
        <f t="shared" ca="1" si="0"/>
        <v>43525</v>
      </c>
      <c r="N19">
        <f t="shared" ca="1" si="1"/>
        <v>821</v>
      </c>
      <c r="O19">
        <f t="shared" ca="1" si="2"/>
        <v>0</v>
      </c>
      <c r="Q19" s="140">
        <v>39890</v>
      </c>
      <c r="R19" s="77">
        <v>8</v>
      </c>
      <c r="S19" s="77">
        <v>0</v>
      </c>
      <c r="W19" s="117">
        <f t="shared" si="6"/>
        <v>2.8888888888888888</v>
      </c>
      <c r="X19" s="117">
        <f t="shared" si="6"/>
        <v>311.66666666666669</v>
      </c>
      <c r="Y19" s="117"/>
      <c r="Z19" s="117"/>
    </row>
    <row r="20" spans="1:26" x14ac:dyDescent="0.2">
      <c r="A20" s="62">
        <v>43647</v>
      </c>
      <c r="B20" s="63">
        <v>-7.0799999999999997E-4</v>
      </c>
      <c r="C20" s="61"/>
      <c r="F20" s="208"/>
      <c r="H20">
        <f>SUM(I9:I20)</f>
        <v>5310</v>
      </c>
      <c r="I20">
        <v>0</v>
      </c>
      <c r="J20">
        <v>417</v>
      </c>
      <c r="L20" s="120">
        <f t="shared" si="5"/>
        <v>25</v>
      </c>
      <c r="M20" s="68">
        <f t="shared" ca="1" si="0"/>
        <v>43497</v>
      </c>
      <c r="N20">
        <f t="shared" ca="1" si="1"/>
        <v>959</v>
      </c>
      <c r="O20">
        <f t="shared" ca="1" si="2"/>
        <v>0</v>
      </c>
      <c r="Q20" s="140">
        <v>39891</v>
      </c>
      <c r="R20" s="77">
        <v>19</v>
      </c>
      <c r="S20" s="77">
        <v>0</v>
      </c>
      <c r="W20" s="117">
        <f t="shared" si="6"/>
        <v>0.77777777777777779</v>
      </c>
      <c r="X20" s="117">
        <f t="shared" si="6"/>
        <v>360.94444444444446</v>
      </c>
      <c r="Y20" s="117"/>
      <c r="Z20" s="117"/>
    </row>
    <row r="21" spans="1:26" x14ac:dyDescent="0.2">
      <c r="A21" s="62">
        <v>43617</v>
      </c>
      <c r="B21" s="63">
        <v>9.6100000000000005E-4</v>
      </c>
      <c r="C21" s="61"/>
      <c r="F21" s="208"/>
      <c r="I21">
        <v>4</v>
      </c>
      <c r="J21">
        <v>228</v>
      </c>
      <c r="L21" s="120">
        <f t="shared" si="5"/>
        <v>26</v>
      </c>
      <c r="M21" s="68">
        <f t="shared" ca="1" si="0"/>
        <v>43466</v>
      </c>
      <c r="N21">
        <f t="shared" ca="1" si="1"/>
        <v>1223</v>
      </c>
      <c r="O21">
        <f t="shared" ca="1" si="2"/>
        <v>0</v>
      </c>
      <c r="Q21" s="140">
        <v>39892</v>
      </c>
      <c r="R21" s="77">
        <v>25</v>
      </c>
      <c r="S21" s="77">
        <v>0</v>
      </c>
      <c r="W21" s="117">
        <f t="shared" si="6"/>
        <v>5.9444444444444446</v>
      </c>
      <c r="X21" s="117">
        <f t="shared" si="6"/>
        <v>277.38888888888891</v>
      </c>
      <c r="Y21" s="117"/>
      <c r="Z21" s="117"/>
    </row>
    <row r="22" spans="1:26" x14ac:dyDescent="0.2">
      <c r="A22" s="62">
        <v>43586</v>
      </c>
      <c r="B22" s="63">
        <v>2.594E-3</v>
      </c>
      <c r="F22" s="208"/>
      <c r="H22" s="119"/>
      <c r="I22">
        <v>129</v>
      </c>
      <c r="J22">
        <v>114</v>
      </c>
      <c r="L22" s="120">
        <f t="shared" si="5"/>
        <v>27</v>
      </c>
      <c r="M22" s="68">
        <f t="shared" ca="1" si="0"/>
        <v>43435</v>
      </c>
      <c r="N22">
        <f t="shared" ca="1" si="1"/>
        <v>932</v>
      </c>
      <c r="O22">
        <f t="shared" ca="1" si="2"/>
        <v>0</v>
      </c>
      <c r="Q22" s="140">
        <v>39893</v>
      </c>
      <c r="R22" s="77">
        <v>12</v>
      </c>
      <c r="S22" s="77">
        <v>0</v>
      </c>
      <c r="W22" s="117">
        <f t="shared" si="6"/>
        <v>116.94736842105263</v>
      </c>
      <c r="X22" s="117">
        <f t="shared" si="6"/>
        <v>120.15789473684211</v>
      </c>
      <c r="Y22" s="117"/>
      <c r="Z22" s="117"/>
    </row>
    <row r="23" spans="1:26" x14ac:dyDescent="0.2">
      <c r="A23" s="62">
        <v>43556</v>
      </c>
      <c r="B23" s="63">
        <v>3.8890000000000001E-3</v>
      </c>
      <c r="C23" s="212">
        <f>+(AVERAGE(B22,B30)+SUM(B23:B29))/COUNT(B23:B30)</f>
        <v>1.9453125000000004E-3</v>
      </c>
      <c r="D23" t="str">
        <f>+"Winter "&amp;TEXT(YEAR(A23)-2001,0)&amp;"-"&amp;TEXT(YEAR(A23)-2000,0)</f>
        <v>Winter 18-19</v>
      </c>
      <c r="F23" s="208"/>
      <c r="H23" s="119"/>
      <c r="I23">
        <v>330</v>
      </c>
      <c r="J23">
        <v>10</v>
      </c>
      <c r="L23" s="120">
        <f t="shared" si="5"/>
        <v>28</v>
      </c>
      <c r="M23" s="68">
        <f t="shared" ca="1" si="0"/>
        <v>43405</v>
      </c>
      <c r="N23">
        <f t="shared" ca="1" si="1"/>
        <v>888</v>
      </c>
      <c r="O23">
        <f t="shared" ca="1" si="2"/>
        <v>0</v>
      </c>
      <c r="Q23" s="140">
        <v>39894</v>
      </c>
      <c r="R23" s="77">
        <v>19</v>
      </c>
      <c r="S23" s="77">
        <v>0</v>
      </c>
      <c r="W23" s="117">
        <f t="shared" si="6"/>
        <v>324.78947368421052</v>
      </c>
      <c r="X23" s="117">
        <f t="shared" si="6"/>
        <v>21.631578947368421</v>
      </c>
      <c r="Y23" s="117"/>
      <c r="Z23" s="117"/>
    </row>
    <row r="24" spans="1:26" x14ac:dyDescent="0.2">
      <c r="A24" s="62">
        <v>43525</v>
      </c>
      <c r="B24" s="63">
        <v>-2.9729999999999999E-3</v>
      </c>
      <c r="F24" s="208"/>
      <c r="I24">
        <v>821</v>
      </c>
      <c r="J24">
        <v>0</v>
      </c>
      <c r="L24" s="120">
        <f t="shared" si="5"/>
        <v>29</v>
      </c>
      <c r="M24" s="68">
        <f t="shared" ca="1" si="0"/>
        <v>43374</v>
      </c>
      <c r="N24">
        <f t="shared" ca="1" si="1"/>
        <v>378</v>
      </c>
      <c r="O24">
        <f t="shared" ca="1" si="2"/>
        <v>76</v>
      </c>
      <c r="Q24" s="140">
        <v>39895</v>
      </c>
      <c r="R24" s="77">
        <v>3</v>
      </c>
      <c r="S24" s="77">
        <v>0</v>
      </c>
      <c r="W24" s="117">
        <f t="shared" si="6"/>
        <v>664.63157894736844</v>
      </c>
      <c r="X24" s="117">
        <f t="shared" si="6"/>
        <v>3.7894736842105261</v>
      </c>
      <c r="Y24" s="117"/>
      <c r="Z24" s="117"/>
    </row>
    <row r="25" spans="1:26" x14ac:dyDescent="0.2">
      <c r="A25" s="62">
        <v>43497</v>
      </c>
      <c r="B25" s="63">
        <v>2.3900000000000001E-4</v>
      </c>
      <c r="F25" s="208"/>
      <c r="I25">
        <v>959</v>
      </c>
      <c r="J25">
        <v>0</v>
      </c>
      <c r="K25" s="116"/>
      <c r="L25" s="120">
        <f t="shared" si="5"/>
        <v>30</v>
      </c>
      <c r="M25" s="68">
        <f t="shared" ca="1" si="0"/>
        <v>43344</v>
      </c>
      <c r="N25">
        <f t="shared" ca="1" si="1"/>
        <v>31</v>
      </c>
      <c r="O25">
        <f t="shared" ca="1" si="2"/>
        <v>252</v>
      </c>
      <c r="Q25" s="140">
        <v>39896</v>
      </c>
      <c r="R25" s="77">
        <v>5</v>
      </c>
      <c r="S25" s="77">
        <v>0</v>
      </c>
      <c r="W25" s="117">
        <f t="shared" si="6"/>
        <v>959.52631578947364</v>
      </c>
      <c r="X25" s="117">
        <f t="shared" si="6"/>
        <v>0</v>
      </c>
      <c r="Y25" s="117"/>
      <c r="Z25" s="117"/>
    </row>
    <row r="26" spans="1:26" x14ac:dyDescent="0.2">
      <c r="A26" s="62">
        <v>43466</v>
      </c>
      <c r="B26" s="63">
        <v>5.9239999999999996E-3</v>
      </c>
      <c r="F26" s="208"/>
      <c r="I26">
        <v>1223</v>
      </c>
      <c r="J26">
        <v>0</v>
      </c>
      <c r="K26">
        <f>SUM(J15:J26)</f>
        <v>1309</v>
      </c>
      <c r="L26" s="120">
        <f t="shared" si="5"/>
        <v>31</v>
      </c>
      <c r="M26" s="68">
        <f t="shared" ca="1" si="0"/>
        <v>43313</v>
      </c>
      <c r="N26">
        <f t="shared" ca="1" si="1"/>
        <v>0</v>
      </c>
      <c r="O26">
        <f t="shared" ca="1" si="2"/>
        <v>370</v>
      </c>
      <c r="Q26" s="140">
        <v>39897</v>
      </c>
      <c r="R26" s="77">
        <v>19</v>
      </c>
      <c r="S26" s="77">
        <v>0</v>
      </c>
      <c r="W26" s="117">
        <f t="shared" si="6"/>
        <v>1135.5263157894738</v>
      </c>
      <c r="X26" s="117">
        <f t="shared" si="6"/>
        <v>0</v>
      </c>
      <c r="Y26" s="117"/>
      <c r="Z26" s="117"/>
    </row>
    <row r="27" spans="1:26" x14ac:dyDescent="0.2">
      <c r="A27" s="62">
        <v>43435</v>
      </c>
      <c r="B27" s="63">
        <v>1.0581E-2</v>
      </c>
      <c r="F27" s="208"/>
      <c r="I27">
        <v>932</v>
      </c>
      <c r="J27">
        <v>0</v>
      </c>
      <c r="L27" s="120">
        <f t="shared" si="5"/>
        <v>32</v>
      </c>
      <c r="M27" s="68">
        <f t="shared" ca="1" si="0"/>
        <v>43282</v>
      </c>
      <c r="N27">
        <f t="shared" ca="1" si="1"/>
        <v>0</v>
      </c>
      <c r="O27">
        <f t="shared" ca="1" si="2"/>
        <v>352</v>
      </c>
      <c r="Q27" s="140">
        <v>39898</v>
      </c>
      <c r="R27" s="77">
        <v>14</v>
      </c>
      <c r="S27" s="77">
        <v>0</v>
      </c>
      <c r="W27" s="117">
        <f t="shared" si="6"/>
        <v>988.22222222222217</v>
      </c>
      <c r="X27" s="117">
        <f t="shared" si="6"/>
        <v>5.5555555555555552E-2</v>
      </c>
      <c r="Y27" s="117"/>
      <c r="Z27" s="117"/>
    </row>
    <row r="28" spans="1:26" x14ac:dyDescent="0.2">
      <c r="A28" s="62">
        <v>43405</v>
      </c>
      <c r="B28" s="63">
        <v>3.9630000000000004E-3</v>
      </c>
      <c r="F28" s="208"/>
      <c r="I28">
        <v>888</v>
      </c>
      <c r="J28">
        <v>0</v>
      </c>
      <c r="L28" s="120">
        <f t="shared" si="5"/>
        <v>33</v>
      </c>
      <c r="M28" s="68">
        <f t="shared" ca="1" si="0"/>
        <v>43252</v>
      </c>
      <c r="N28">
        <f t="shared" ca="1" si="1"/>
        <v>0</v>
      </c>
      <c r="O28">
        <f t="shared" ca="1" si="2"/>
        <v>370</v>
      </c>
      <c r="Q28" s="140">
        <v>39899</v>
      </c>
      <c r="R28" s="77">
        <v>20</v>
      </c>
      <c r="S28" s="77">
        <v>0</v>
      </c>
      <c r="W28" s="117">
        <f t="shared" si="6"/>
        <v>640.61111111111109</v>
      </c>
      <c r="X28" s="117">
        <f t="shared" si="6"/>
        <v>1.1666666666666667</v>
      </c>
      <c r="Y28" s="117"/>
      <c r="Z28" s="117"/>
    </row>
    <row r="29" spans="1:26" x14ac:dyDescent="0.2">
      <c r="A29" s="62">
        <v>43374</v>
      </c>
      <c r="B29" s="63">
        <v>-5.9849999999999999E-3</v>
      </c>
      <c r="F29" s="148"/>
      <c r="I29">
        <v>378</v>
      </c>
      <c r="J29">
        <v>76</v>
      </c>
      <c r="L29" s="120">
        <f t="shared" si="5"/>
        <v>34</v>
      </c>
      <c r="M29" s="68">
        <f t="shared" ca="1" si="0"/>
        <v>43221</v>
      </c>
      <c r="N29">
        <f t="shared" ca="1" si="1"/>
        <v>0</v>
      </c>
      <c r="O29">
        <f t="shared" ca="1" si="2"/>
        <v>301</v>
      </c>
      <c r="Q29" s="140">
        <v>39900</v>
      </c>
      <c r="R29" s="77">
        <v>26</v>
      </c>
      <c r="S29" s="77">
        <v>0</v>
      </c>
      <c r="W29" s="117">
        <f t="shared" si="6"/>
        <v>318.5</v>
      </c>
      <c r="X29" s="117">
        <f t="shared" si="6"/>
        <v>35.333333333333336</v>
      </c>
      <c r="Y29" s="117"/>
      <c r="Z29" s="117"/>
    </row>
    <row r="30" spans="1:26" x14ac:dyDescent="0.2">
      <c r="A30" s="62">
        <v>43344</v>
      </c>
      <c r="B30" s="63">
        <v>-2.745E-3</v>
      </c>
      <c r="C30" s="66">
        <f>+(AVERAGE(B30,B34)+SUM(B31:B33))/COUNT(B31:B34)</f>
        <v>4.9862500000000002E-3</v>
      </c>
      <c r="D30" t="str">
        <f>+"Summer "&amp;TEXT(YEAR(A30)-2000,0)</f>
        <v>Summer 18</v>
      </c>
      <c r="F30" s="148"/>
      <c r="I30">
        <v>31</v>
      </c>
      <c r="J30">
        <v>252</v>
      </c>
      <c r="L30" s="120">
        <f t="shared" si="5"/>
        <v>35</v>
      </c>
      <c r="M30" s="68">
        <f t="shared" ca="1" si="0"/>
        <v>43191</v>
      </c>
      <c r="N30">
        <f t="shared" ca="1" si="1"/>
        <v>517</v>
      </c>
      <c r="O30">
        <f t="shared" ca="1" si="2"/>
        <v>10</v>
      </c>
      <c r="Q30" s="140">
        <v>39901</v>
      </c>
      <c r="R30" s="77">
        <v>26</v>
      </c>
      <c r="S30" s="77">
        <v>0</v>
      </c>
      <c r="W30" s="117">
        <f t="shared" si="6"/>
        <v>47.777777777777779</v>
      </c>
      <c r="X30" s="117">
        <f t="shared" si="6"/>
        <v>163.72222222222223</v>
      </c>
      <c r="Y30" s="117"/>
      <c r="Z30" s="117"/>
    </row>
    <row r="31" spans="1:26" x14ac:dyDescent="0.2">
      <c r="A31" s="62">
        <v>43313</v>
      </c>
      <c r="B31" s="63">
        <v>2.5899999999999999E-3</v>
      </c>
      <c r="C31" s="61"/>
      <c r="F31" s="148"/>
      <c r="I31">
        <v>0</v>
      </c>
      <c r="J31">
        <v>370</v>
      </c>
      <c r="L31" s="120">
        <f t="shared" si="5"/>
        <v>36</v>
      </c>
      <c r="M31" s="68">
        <f t="shared" ca="1" si="0"/>
        <v>43160</v>
      </c>
      <c r="N31">
        <f t="shared" ca="1" si="1"/>
        <v>750</v>
      </c>
      <c r="O31">
        <f t="shared" ca="1" si="2"/>
        <v>0</v>
      </c>
      <c r="Q31" s="140">
        <v>39902</v>
      </c>
      <c r="R31" s="77">
        <v>21</v>
      </c>
      <c r="S31" s="77">
        <v>0</v>
      </c>
      <c r="W31" s="117">
        <f t="shared" ref="W31:X46" si="7">+W19</f>
        <v>2.8888888888888888</v>
      </c>
      <c r="X31" s="117">
        <f t="shared" si="7"/>
        <v>311.66666666666669</v>
      </c>
      <c r="Y31" s="117"/>
      <c r="Z31" s="117"/>
    </row>
    <row r="32" spans="1:26" x14ac:dyDescent="0.2">
      <c r="A32" s="62">
        <v>43282</v>
      </c>
      <c r="B32" s="63">
        <v>6.9890000000000004E-3</v>
      </c>
      <c r="C32" s="61"/>
      <c r="F32" s="209"/>
      <c r="H32">
        <f>SUM(I21:I32)</f>
        <v>5695</v>
      </c>
      <c r="I32">
        <v>0</v>
      </c>
      <c r="J32">
        <v>352</v>
      </c>
      <c r="L32" s="120">
        <f t="shared" si="5"/>
        <v>37</v>
      </c>
      <c r="M32" s="68">
        <f t="shared" ca="1" si="0"/>
        <v>43132</v>
      </c>
      <c r="N32">
        <f t="shared" ca="1" si="1"/>
        <v>862</v>
      </c>
      <c r="O32">
        <f t="shared" ca="1" si="2"/>
        <v>0</v>
      </c>
      <c r="Q32" s="140">
        <v>39903</v>
      </c>
      <c r="R32" s="77">
        <v>15</v>
      </c>
      <c r="S32" s="77">
        <v>0</v>
      </c>
      <c r="W32" s="117">
        <f t="shared" si="7"/>
        <v>0.77777777777777779</v>
      </c>
      <c r="X32" s="117">
        <f t="shared" si="7"/>
        <v>360.94444444444446</v>
      </c>
      <c r="Y32" s="117"/>
      <c r="Z32" s="117"/>
    </row>
    <row r="33" spans="1:26" x14ac:dyDescent="0.2">
      <c r="A33" s="62">
        <v>43252</v>
      </c>
      <c r="B33" s="63">
        <v>8.0490000000000006E-3</v>
      </c>
      <c r="C33" s="61"/>
      <c r="F33" s="148"/>
      <c r="I33">
        <v>0</v>
      </c>
      <c r="J33">
        <v>370</v>
      </c>
      <c r="L33" s="120">
        <f t="shared" si="5"/>
        <v>38</v>
      </c>
      <c r="M33" s="68">
        <f t="shared" ca="1" si="0"/>
        <v>43101</v>
      </c>
      <c r="N33">
        <f t="shared" ca="1" si="1"/>
        <v>1192</v>
      </c>
      <c r="O33">
        <f t="shared" ca="1" si="2"/>
        <v>0</v>
      </c>
      <c r="Q33" s="140">
        <v>39904</v>
      </c>
      <c r="R33" s="77">
        <v>16.7</v>
      </c>
      <c r="S33" s="77">
        <v>0</v>
      </c>
      <c r="W33" s="117">
        <f t="shared" si="7"/>
        <v>5.9444444444444446</v>
      </c>
      <c r="X33" s="117">
        <f t="shared" si="7"/>
        <v>277.38888888888891</v>
      </c>
      <c r="Y33" s="117"/>
      <c r="Z33" s="117"/>
    </row>
    <row r="34" spans="1:26" x14ac:dyDescent="0.2">
      <c r="A34" s="62">
        <v>43221</v>
      </c>
      <c r="B34" s="63">
        <v>7.3790000000000001E-3</v>
      </c>
      <c r="F34" s="209"/>
      <c r="I34">
        <v>0</v>
      </c>
      <c r="J34">
        <v>301</v>
      </c>
      <c r="L34" s="120">
        <f t="shared" si="5"/>
        <v>39</v>
      </c>
      <c r="M34" s="68">
        <f t="shared" ca="1" si="0"/>
        <v>43070</v>
      </c>
      <c r="N34">
        <f t="shared" ca="1" si="1"/>
        <v>1059</v>
      </c>
      <c r="O34">
        <f t="shared" ca="1" si="2"/>
        <v>0</v>
      </c>
      <c r="Q34" s="140">
        <v>39905</v>
      </c>
      <c r="R34" s="77">
        <v>12.1</v>
      </c>
      <c r="S34" s="77">
        <v>0</v>
      </c>
      <c r="W34" s="117">
        <f t="shared" si="7"/>
        <v>116.94736842105263</v>
      </c>
      <c r="X34" s="117">
        <f t="shared" si="7"/>
        <v>120.15789473684211</v>
      </c>
      <c r="Y34" s="117"/>
      <c r="Z34" s="117"/>
    </row>
    <row r="35" spans="1:26" x14ac:dyDescent="0.2">
      <c r="A35" s="62">
        <v>43191</v>
      </c>
      <c r="B35" s="63">
        <v>8.3040000000000006E-3</v>
      </c>
      <c r="C35" s="212">
        <f>+(AVERAGE(B34,B42)+SUM(B35:B41))/COUNT(B35:B42)</f>
        <v>5.4893125000000003E-3</v>
      </c>
      <c r="D35" t="str">
        <f>+"Winter "&amp;TEXT(YEAR(A35)-2001,0)&amp;"-"&amp;TEXT(YEAR(A35)-2000,0)</f>
        <v>Winter 17-18</v>
      </c>
      <c r="F35" s="209"/>
      <c r="I35">
        <v>517</v>
      </c>
      <c r="J35">
        <v>10</v>
      </c>
      <c r="L35" s="120">
        <f t="shared" si="5"/>
        <v>40</v>
      </c>
      <c r="M35" s="68">
        <f t="shared" ca="1" si="0"/>
        <v>43040</v>
      </c>
      <c r="N35">
        <f t="shared" ca="1" si="1"/>
        <v>604</v>
      </c>
      <c r="O35">
        <f t="shared" ca="1" si="2"/>
        <v>0</v>
      </c>
      <c r="Q35" s="140">
        <v>39906</v>
      </c>
      <c r="R35" s="77">
        <v>18.8</v>
      </c>
      <c r="S35" s="77">
        <v>0</v>
      </c>
      <c r="W35" s="117">
        <f t="shared" si="7"/>
        <v>324.78947368421052</v>
      </c>
      <c r="X35" s="117">
        <f t="shared" si="7"/>
        <v>21.631578947368421</v>
      </c>
      <c r="Y35" s="117"/>
      <c r="Z35" s="117"/>
    </row>
    <row r="36" spans="1:26" x14ac:dyDescent="0.2">
      <c r="A36" s="62">
        <v>43160</v>
      </c>
      <c r="B36" s="63">
        <v>5.8690000000000001E-3</v>
      </c>
      <c r="F36" s="148"/>
      <c r="I36">
        <v>750</v>
      </c>
      <c r="J36">
        <v>0</v>
      </c>
      <c r="L36" s="120">
        <f t="shared" si="5"/>
        <v>41</v>
      </c>
      <c r="M36" s="68">
        <f t="shared" ca="1" si="0"/>
        <v>43009</v>
      </c>
      <c r="N36">
        <f t="shared" ca="1" si="1"/>
        <v>225</v>
      </c>
      <c r="O36">
        <f t="shared" ca="1" si="2"/>
        <v>80</v>
      </c>
      <c r="Q36" s="140">
        <v>39907</v>
      </c>
      <c r="R36" s="77">
        <v>16.100000000000001</v>
      </c>
      <c r="S36" s="77">
        <v>0</v>
      </c>
      <c r="W36" s="117">
        <f t="shared" si="7"/>
        <v>664.63157894736844</v>
      </c>
      <c r="X36" s="117">
        <f t="shared" si="7"/>
        <v>3.7894736842105261</v>
      </c>
      <c r="Y36" s="117"/>
      <c r="Z36" s="117"/>
    </row>
    <row r="37" spans="1:26" x14ac:dyDescent="0.2">
      <c r="A37" s="62">
        <v>43132</v>
      </c>
      <c r="B37" s="63">
        <v>-3.0299999999999999E-4</v>
      </c>
      <c r="F37" s="148"/>
      <c r="I37">
        <v>862</v>
      </c>
      <c r="J37">
        <v>0</v>
      </c>
      <c r="L37" s="120">
        <f t="shared" si="5"/>
        <v>42</v>
      </c>
      <c r="M37" s="68">
        <f t="shared" ca="1" si="0"/>
        <v>42979</v>
      </c>
      <c r="N37">
        <f t="shared" ca="1" si="1"/>
        <v>36</v>
      </c>
      <c r="O37">
        <f t="shared" ca="1" si="2"/>
        <v>209</v>
      </c>
      <c r="Q37" s="140">
        <v>39908</v>
      </c>
      <c r="R37" s="77">
        <v>15.3</v>
      </c>
      <c r="S37" s="77">
        <v>0</v>
      </c>
      <c r="W37" s="117">
        <f t="shared" si="7"/>
        <v>959.52631578947364</v>
      </c>
      <c r="X37" s="117">
        <f t="shared" si="7"/>
        <v>0</v>
      </c>
      <c r="Y37" s="117"/>
      <c r="Z37" s="117"/>
    </row>
    <row r="38" spans="1:26" x14ac:dyDescent="0.2">
      <c r="A38" s="62">
        <v>43101</v>
      </c>
      <c r="B38" s="63">
        <v>1.5755999999999999E-2</v>
      </c>
      <c r="F38" s="148"/>
      <c r="I38">
        <v>1192</v>
      </c>
      <c r="J38">
        <v>0</v>
      </c>
      <c r="K38">
        <f>SUM(J27:J38)</f>
        <v>1731</v>
      </c>
      <c r="L38" s="120">
        <f t="shared" si="5"/>
        <v>43</v>
      </c>
      <c r="M38" s="68">
        <f t="shared" ca="1" si="0"/>
        <v>42948</v>
      </c>
      <c r="N38">
        <f t="shared" ca="1" si="1"/>
        <v>0</v>
      </c>
      <c r="O38">
        <f t="shared" ca="1" si="2"/>
        <v>220</v>
      </c>
      <c r="Q38" s="140">
        <v>39909</v>
      </c>
      <c r="R38" s="77">
        <v>27.7</v>
      </c>
      <c r="S38" s="77">
        <v>0</v>
      </c>
      <c r="W38" s="117">
        <f t="shared" si="7"/>
        <v>1135.5263157894738</v>
      </c>
      <c r="X38" s="117">
        <f t="shared" si="7"/>
        <v>0</v>
      </c>
      <c r="Y38" s="117"/>
      <c r="Z38" s="117"/>
    </row>
    <row r="39" spans="1:26" x14ac:dyDescent="0.2">
      <c r="A39" s="62">
        <v>43070</v>
      </c>
      <c r="B39" s="63">
        <v>8.482E-3</v>
      </c>
      <c r="F39" s="148"/>
      <c r="I39">
        <v>1059</v>
      </c>
      <c r="J39">
        <v>0</v>
      </c>
      <c r="L39" s="120">
        <f t="shared" si="5"/>
        <v>44</v>
      </c>
      <c r="M39" s="68">
        <f t="shared" ca="1" si="0"/>
        <v>42917</v>
      </c>
      <c r="N39">
        <f t="shared" ca="1" si="1"/>
        <v>0</v>
      </c>
      <c r="O39">
        <f t="shared" ca="1" si="2"/>
        <v>429</v>
      </c>
      <c r="Q39" s="140">
        <v>39910</v>
      </c>
      <c r="R39" s="77">
        <v>24.8</v>
      </c>
      <c r="S39" s="77">
        <v>0</v>
      </c>
      <c r="W39" s="117">
        <f t="shared" si="7"/>
        <v>988.22222222222217</v>
      </c>
      <c r="X39" s="117">
        <f t="shared" si="7"/>
        <v>5.5555555555555552E-2</v>
      </c>
      <c r="Y39" s="117"/>
      <c r="Z39" s="117"/>
    </row>
    <row r="40" spans="1:26" x14ac:dyDescent="0.2">
      <c r="A40" s="62">
        <v>43040</v>
      </c>
      <c r="B40" s="63">
        <v>7.9710000000000007E-3</v>
      </c>
      <c r="F40" s="148"/>
      <c r="I40">
        <v>604</v>
      </c>
      <c r="J40">
        <v>0</v>
      </c>
      <c r="L40" s="120">
        <f t="shared" si="5"/>
        <v>45</v>
      </c>
      <c r="M40" s="68">
        <f t="shared" ca="1" si="0"/>
        <v>42887</v>
      </c>
      <c r="N40">
        <f t="shared" ca="1" si="1"/>
        <v>2</v>
      </c>
      <c r="O40">
        <f t="shared" ca="1" si="2"/>
        <v>319</v>
      </c>
      <c r="Q40" s="140">
        <v>39911</v>
      </c>
      <c r="R40" s="77">
        <v>19.5</v>
      </c>
      <c r="S40" s="77">
        <v>0</v>
      </c>
      <c r="W40" s="117">
        <f t="shared" si="7"/>
        <v>640.61111111111109</v>
      </c>
      <c r="X40" s="117">
        <f t="shared" si="7"/>
        <v>1.1666666666666667</v>
      </c>
      <c r="Y40" s="117"/>
      <c r="Z40" s="117"/>
    </row>
    <row r="41" spans="1:26" x14ac:dyDescent="0.2">
      <c r="A41" s="62">
        <v>43009</v>
      </c>
      <c r="B41" s="63">
        <v>-3.7789999999999998E-3</v>
      </c>
      <c r="F41" s="148"/>
      <c r="I41">
        <v>225</v>
      </c>
      <c r="J41">
        <v>80</v>
      </c>
      <c r="L41" s="120">
        <f t="shared" si="5"/>
        <v>46</v>
      </c>
      <c r="M41" s="68">
        <f t="shared" ca="1" si="0"/>
        <v>42856</v>
      </c>
      <c r="N41">
        <f t="shared" ca="1" si="1"/>
        <v>110</v>
      </c>
      <c r="O41">
        <f t="shared" ca="1" si="2"/>
        <v>107</v>
      </c>
      <c r="Q41" s="140">
        <v>39912</v>
      </c>
      <c r="R41" s="77">
        <v>17.7</v>
      </c>
      <c r="S41" s="77">
        <v>0</v>
      </c>
      <c r="W41" s="117">
        <f t="shared" si="7"/>
        <v>318.5</v>
      </c>
      <c r="X41" s="117">
        <f t="shared" si="7"/>
        <v>35.333333333333336</v>
      </c>
      <c r="Y41" s="117"/>
      <c r="Z41" s="117"/>
    </row>
    <row r="42" spans="1:26" x14ac:dyDescent="0.2">
      <c r="A42" s="62">
        <v>42979</v>
      </c>
      <c r="B42" s="63">
        <v>-4.15E-3</v>
      </c>
      <c r="C42" s="66">
        <f>+((B42+B46)/2+SUM(B43:B45))/4</f>
        <v>5.0881249999999998E-3</v>
      </c>
      <c r="D42" t="str">
        <f>+"Summer "&amp;TEXT(YEAR(A42)-2000,0)</f>
        <v>Summer 17</v>
      </c>
      <c r="F42" s="148"/>
      <c r="I42">
        <v>36</v>
      </c>
      <c r="J42">
        <v>209</v>
      </c>
      <c r="L42" s="120">
        <f t="shared" si="5"/>
        <v>47</v>
      </c>
      <c r="Q42" s="140">
        <v>39913</v>
      </c>
      <c r="R42" s="77">
        <v>20.2</v>
      </c>
      <c r="S42" s="77">
        <v>0</v>
      </c>
      <c r="W42" s="117">
        <f t="shared" si="7"/>
        <v>47.777777777777779</v>
      </c>
      <c r="X42" s="117">
        <f t="shared" si="7"/>
        <v>163.72222222222223</v>
      </c>
    </row>
    <row r="43" spans="1:26" x14ac:dyDescent="0.2">
      <c r="A43" s="62">
        <v>42948</v>
      </c>
      <c r="B43" s="63">
        <v>3.2789999999999998E-3</v>
      </c>
      <c r="C43" s="61"/>
      <c r="F43" s="148"/>
      <c r="I43">
        <v>0</v>
      </c>
      <c r="J43">
        <v>220</v>
      </c>
      <c r="L43" s="120">
        <f t="shared" si="5"/>
        <v>48</v>
      </c>
      <c r="Q43" s="140">
        <v>39914</v>
      </c>
      <c r="R43" s="77">
        <v>19.7</v>
      </c>
      <c r="S43" s="77">
        <v>0</v>
      </c>
      <c r="W43" s="117">
        <f t="shared" si="7"/>
        <v>2.8888888888888888</v>
      </c>
      <c r="X43" s="117">
        <f t="shared" si="7"/>
        <v>311.66666666666669</v>
      </c>
    </row>
    <row r="44" spans="1:26" x14ac:dyDescent="0.2">
      <c r="A44" s="62">
        <v>42917</v>
      </c>
      <c r="B44" s="63">
        <v>5.2440000000000004E-3</v>
      </c>
      <c r="C44" s="61"/>
      <c r="F44" s="148"/>
      <c r="H44">
        <f>SUM(I33:I44)</f>
        <v>5245</v>
      </c>
      <c r="I44">
        <v>0</v>
      </c>
      <c r="J44">
        <v>429</v>
      </c>
      <c r="L44" s="120">
        <f t="shared" si="5"/>
        <v>49</v>
      </c>
      <c r="Q44" s="140">
        <v>39915</v>
      </c>
      <c r="R44" s="77">
        <v>18.7</v>
      </c>
      <c r="S44" s="77">
        <v>0</v>
      </c>
      <c r="W44" s="117">
        <f t="shared" si="7"/>
        <v>0.77777777777777779</v>
      </c>
      <c r="X44" s="117">
        <f t="shared" si="7"/>
        <v>360.94444444444446</v>
      </c>
    </row>
    <row r="45" spans="1:26" x14ac:dyDescent="0.2">
      <c r="A45" s="62">
        <v>42887</v>
      </c>
      <c r="B45" s="63">
        <v>8.064E-3</v>
      </c>
      <c r="C45" s="61"/>
      <c r="F45" s="148"/>
      <c r="I45">
        <v>2</v>
      </c>
      <c r="J45">
        <v>319</v>
      </c>
      <c r="L45" s="120">
        <f t="shared" si="5"/>
        <v>50</v>
      </c>
      <c r="Q45" s="140">
        <v>39916</v>
      </c>
      <c r="R45" s="77">
        <v>19.7</v>
      </c>
      <c r="S45" s="77">
        <v>0</v>
      </c>
      <c r="W45" s="117">
        <f t="shared" si="7"/>
        <v>5.9444444444444446</v>
      </c>
      <c r="X45" s="117">
        <f t="shared" si="7"/>
        <v>277.38888888888891</v>
      </c>
    </row>
    <row r="46" spans="1:26" x14ac:dyDescent="0.2">
      <c r="A46" s="62">
        <v>42856</v>
      </c>
      <c r="B46" s="63">
        <v>1.1681E-2</v>
      </c>
      <c r="C46" s="61"/>
      <c r="F46" s="148"/>
      <c r="I46">
        <v>110</v>
      </c>
      <c r="J46">
        <v>107</v>
      </c>
      <c r="L46" s="120">
        <f t="shared" si="5"/>
        <v>51</v>
      </c>
      <c r="Q46" s="140">
        <v>39917</v>
      </c>
      <c r="R46" s="77">
        <v>21.6</v>
      </c>
      <c r="S46" s="77">
        <v>0</v>
      </c>
      <c r="W46" s="117">
        <f t="shared" si="7"/>
        <v>116.94736842105263</v>
      </c>
      <c r="X46" s="117">
        <f t="shared" si="7"/>
        <v>120.15789473684211</v>
      </c>
    </row>
    <row r="47" spans="1:26" x14ac:dyDescent="0.2">
      <c r="A47" s="62">
        <v>42826</v>
      </c>
      <c r="B47" s="63">
        <v>9.9059999999999999E-3</v>
      </c>
      <c r="C47" s="66">
        <f>+((B46+B54)/2+SUM(B47:B53))/8</f>
        <v>6.8412500000000001E-3</v>
      </c>
      <c r="D47" t="str">
        <f>+"Winter "&amp;TEXT(YEAR(A47)-2001,0)&amp;"-"&amp;TEXT(YEAR(A47)-2000,0)</f>
        <v>Winter 16-17</v>
      </c>
      <c r="F47" s="148"/>
      <c r="I47">
        <v>202</v>
      </c>
      <c r="J47">
        <v>37</v>
      </c>
      <c r="L47" s="120">
        <f t="shared" si="5"/>
        <v>52</v>
      </c>
      <c r="Q47" s="140">
        <v>39918</v>
      </c>
      <c r="R47" s="77">
        <v>16.8</v>
      </c>
      <c r="S47" s="77">
        <v>0</v>
      </c>
      <c r="W47" s="117">
        <f t="shared" ref="W47:X61" si="8">+W35</f>
        <v>324.78947368421052</v>
      </c>
      <c r="X47" s="117">
        <f t="shared" si="8"/>
        <v>21.631578947368421</v>
      </c>
    </row>
    <row r="48" spans="1:26" x14ac:dyDescent="0.2">
      <c r="A48" s="62">
        <v>42795</v>
      </c>
      <c r="B48" s="63">
        <v>5.1469999999999997E-3</v>
      </c>
      <c r="F48" s="148"/>
      <c r="I48">
        <v>597</v>
      </c>
      <c r="J48">
        <v>0</v>
      </c>
      <c r="L48" s="120">
        <f t="shared" si="5"/>
        <v>53</v>
      </c>
      <c r="Q48" s="140">
        <v>39919</v>
      </c>
      <c r="R48" s="77">
        <v>12.5</v>
      </c>
      <c r="S48" s="77">
        <v>0</v>
      </c>
      <c r="W48" s="117">
        <f t="shared" si="8"/>
        <v>664.63157894736844</v>
      </c>
      <c r="X48" s="117">
        <f t="shared" si="8"/>
        <v>3.7894736842105261</v>
      </c>
    </row>
    <row r="49" spans="1:24" x14ac:dyDescent="0.2">
      <c r="A49" s="62">
        <v>42767</v>
      </c>
      <c r="B49" s="63">
        <v>6.0850000000000001E-3</v>
      </c>
      <c r="F49" s="148"/>
      <c r="I49">
        <v>609</v>
      </c>
      <c r="J49">
        <v>0</v>
      </c>
      <c r="L49" s="120">
        <f t="shared" si="5"/>
        <v>54</v>
      </c>
      <c r="Q49" s="140">
        <v>39920</v>
      </c>
      <c r="R49" s="77">
        <v>8.1</v>
      </c>
      <c r="S49" s="77">
        <v>1.9</v>
      </c>
      <c r="W49" s="117">
        <f t="shared" si="8"/>
        <v>959.52631578947364</v>
      </c>
      <c r="X49" s="117">
        <f t="shared" si="8"/>
        <v>0</v>
      </c>
    </row>
    <row r="50" spans="1:24" x14ac:dyDescent="0.2">
      <c r="A50" s="62">
        <v>42736</v>
      </c>
      <c r="B50" s="63">
        <v>1.3073E-2</v>
      </c>
      <c r="F50" s="148"/>
      <c r="I50">
        <v>947</v>
      </c>
      <c r="J50">
        <v>0</v>
      </c>
      <c r="K50">
        <f t="shared" ref="K50" si="9">SUM(J39:J50)</f>
        <v>1401</v>
      </c>
      <c r="Q50" s="140">
        <v>39921</v>
      </c>
      <c r="R50" s="77">
        <v>5</v>
      </c>
      <c r="S50" s="77">
        <v>1.1000000000000001</v>
      </c>
      <c r="W50" s="117">
        <f t="shared" si="8"/>
        <v>1135.5263157894738</v>
      </c>
      <c r="X50" s="117">
        <f t="shared" si="8"/>
        <v>0</v>
      </c>
    </row>
    <row r="51" spans="1:24" x14ac:dyDescent="0.2">
      <c r="A51" s="62">
        <v>42705</v>
      </c>
      <c r="B51" s="63">
        <v>9.6460000000000001E-3</v>
      </c>
      <c r="F51" s="148"/>
      <c r="I51">
        <v>1048</v>
      </c>
      <c r="J51">
        <v>0</v>
      </c>
      <c r="Q51" s="140">
        <v>39922</v>
      </c>
      <c r="R51" s="77">
        <v>7.3</v>
      </c>
      <c r="S51" s="77">
        <v>0</v>
      </c>
      <c r="W51" s="117">
        <f t="shared" si="8"/>
        <v>988.22222222222217</v>
      </c>
      <c r="X51" s="117">
        <f t="shared" si="8"/>
        <v>5.5555555555555552E-2</v>
      </c>
    </row>
    <row r="52" spans="1:24" x14ac:dyDescent="0.2">
      <c r="A52" s="62">
        <v>42675</v>
      </c>
      <c r="B52" s="63">
        <v>7.0029999999999997E-3</v>
      </c>
      <c r="F52" s="148"/>
      <c r="I52">
        <v>477</v>
      </c>
      <c r="J52">
        <v>18</v>
      </c>
      <c r="Q52" s="140">
        <v>39923</v>
      </c>
      <c r="R52" s="77">
        <v>14.2</v>
      </c>
      <c r="S52" s="77">
        <v>0</v>
      </c>
      <c r="W52" s="117">
        <f t="shared" si="8"/>
        <v>640.61111111111109</v>
      </c>
      <c r="X52" s="117">
        <f t="shared" si="8"/>
        <v>1.1666666666666667</v>
      </c>
    </row>
    <row r="53" spans="1:24" x14ac:dyDescent="0.2">
      <c r="A53" s="62">
        <v>42644</v>
      </c>
      <c r="B53" s="63">
        <v>-3.7500000000000001E-4</v>
      </c>
      <c r="F53" s="148"/>
      <c r="I53">
        <v>161</v>
      </c>
      <c r="J53">
        <v>74</v>
      </c>
      <c r="Q53" s="140">
        <v>39924</v>
      </c>
      <c r="R53" s="77">
        <v>17.399999999999999</v>
      </c>
      <c r="S53" s="77">
        <v>0</v>
      </c>
      <c r="W53" s="117">
        <f t="shared" si="8"/>
        <v>318.5</v>
      </c>
      <c r="X53" s="117">
        <f t="shared" si="8"/>
        <v>35.333333333333336</v>
      </c>
    </row>
    <row r="54" spans="1:24" x14ac:dyDescent="0.2">
      <c r="A54" s="62">
        <v>42614</v>
      </c>
      <c r="B54" s="63">
        <v>-3.1909999999999998E-3</v>
      </c>
      <c r="C54" s="66">
        <f>+((B54+B58)/2+SUM(B55:B57))/4</f>
        <v>5.4867500000000003E-3</v>
      </c>
      <c r="D54" t="str">
        <f>+"Summer "&amp;TEXT(YEAR(A54)-2000,0)</f>
        <v>Summer 16</v>
      </c>
      <c r="F54" s="148"/>
      <c r="I54">
        <v>12</v>
      </c>
      <c r="J54">
        <v>258</v>
      </c>
      <c r="Q54" s="140">
        <v>39925</v>
      </c>
      <c r="R54" s="77">
        <v>11.2</v>
      </c>
      <c r="S54" s="77">
        <v>1.2</v>
      </c>
      <c r="W54" s="117">
        <f t="shared" si="8"/>
        <v>47.777777777777779</v>
      </c>
      <c r="X54" s="117">
        <f t="shared" si="8"/>
        <v>163.72222222222223</v>
      </c>
    </row>
    <row r="55" spans="1:24" x14ac:dyDescent="0.2">
      <c r="A55" s="62">
        <v>42583</v>
      </c>
      <c r="B55" s="63">
        <v>-2.2179999999999999E-3</v>
      </c>
      <c r="C55" s="61"/>
      <c r="F55" s="148"/>
      <c r="I55">
        <v>0</v>
      </c>
      <c r="J55">
        <v>391</v>
      </c>
      <c r="Q55" s="140">
        <v>39926</v>
      </c>
      <c r="R55" s="77">
        <v>5.9</v>
      </c>
      <c r="S55" s="77">
        <v>2.8</v>
      </c>
      <c r="W55" s="117">
        <f t="shared" si="8"/>
        <v>2.8888888888888888</v>
      </c>
      <c r="X55" s="117">
        <f t="shared" si="8"/>
        <v>311.66666666666669</v>
      </c>
    </row>
    <row r="56" spans="1:24" x14ac:dyDescent="0.2">
      <c r="A56" s="62">
        <v>42552</v>
      </c>
      <c r="B56" s="63">
        <v>6.6559999999999996E-3</v>
      </c>
      <c r="C56" s="61"/>
      <c r="F56" s="148"/>
      <c r="H56">
        <f>SUM(I45:I56)</f>
        <v>4166</v>
      </c>
      <c r="I56">
        <v>1</v>
      </c>
      <c r="J56">
        <v>393</v>
      </c>
      <c r="Q56" s="140">
        <v>39927</v>
      </c>
      <c r="R56" s="77">
        <v>0.9</v>
      </c>
      <c r="S56" s="77">
        <v>7.8</v>
      </c>
      <c r="W56" s="117">
        <f t="shared" si="8"/>
        <v>0.77777777777777779</v>
      </c>
      <c r="X56" s="117">
        <f t="shared" si="8"/>
        <v>360.94444444444446</v>
      </c>
    </row>
    <row r="57" spans="1:24" x14ac:dyDescent="0.2">
      <c r="A57" s="62">
        <v>42522</v>
      </c>
      <c r="B57" s="63">
        <v>1.0043E-2</v>
      </c>
      <c r="C57" s="61"/>
      <c r="F57" s="148"/>
      <c r="I57">
        <v>0</v>
      </c>
      <c r="J57">
        <v>367</v>
      </c>
      <c r="Q57" s="140">
        <v>39928</v>
      </c>
      <c r="R57" s="77">
        <v>0</v>
      </c>
      <c r="S57" s="77">
        <v>10.199999999999999</v>
      </c>
      <c r="W57" s="117">
        <f t="shared" si="8"/>
        <v>5.9444444444444446</v>
      </c>
      <c r="X57" s="117">
        <f t="shared" si="8"/>
        <v>277.38888888888891</v>
      </c>
    </row>
    <row r="58" spans="1:24" x14ac:dyDescent="0.2">
      <c r="A58" s="62">
        <v>42491</v>
      </c>
      <c r="B58" s="63">
        <v>1.8123E-2</v>
      </c>
      <c r="C58" s="61"/>
      <c r="F58" s="148"/>
      <c r="I58">
        <v>119</v>
      </c>
      <c r="J58">
        <v>105</v>
      </c>
      <c r="Q58" s="140">
        <v>39929</v>
      </c>
      <c r="R58" s="77">
        <v>0</v>
      </c>
      <c r="S58" s="77">
        <v>10.6</v>
      </c>
      <c r="W58" s="117">
        <f t="shared" si="8"/>
        <v>116.94736842105263</v>
      </c>
      <c r="X58" s="117">
        <f t="shared" si="8"/>
        <v>120.15789473684211</v>
      </c>
    </row>
    <row r="59" spans="1:24" x14ac:dyDescent="0.2">
      <c r="A59" s="62">
        <v>42461</v>
      </c>
      <c r="B59" s="63">
        <v>1.2407E-2</v>
      </c>
      <c r="C59" s="66">
        <f>+((B58+B66)/2+SUM(B59:B65))/8</f>
        <v>9.2466874999999997E-3</v>
      </c>
      <c r="D59" t="str">
        <f>+"Winter "&amp;TEXT(YEAR(A59)-2001,0)&amp;"-"&amp;TEXT(YEAR(A59)-2000,0)</f>
        <v>Winter 15-16</v>
      </c>
      <c r="F59" s="148"/>
      <c r="I59">
        <v>308</v>
      </c>
      <c r="J59">
        <v>20</v>
      </c>
      <c r="Q59" s="140">
        <v>39930</v>
      </c>
      <c r="R59" s="77">
        <v>0.6</v>
      </c>
      <c r="S59" s="77">
        <v>1.9</v>
      </c>
      <c r="W59" s="117">
        <f t="shared" si="8"/>
        <v>324.78947368421052</v>
      </c>
      <c r="X59" s="117">
        <f t="shared" si="8"/>
        <v>21.631578947368421</v>
      </c>
    </row>
    <row r="60" spans="1:24" x14ac:dyDescent="0.2">
      <c r="A60" s="62">
        <v>42430</v>
      </c>
      <c r="B60" s="63">
        <v>-3.9899999999999999E-4</v>
      </c>
      <c r="F60" s="148"/>
      <c r="I60">
        <v>464</v>
      </c>
      <c r="J60">
        <v>0</v>
      </c>
      <c r="Q60" s="140">
        <v>39931</v>
      </c>
      <c r="R60" s="77">
        <v>9.6999999999999993</v>
      </c>
      <c r="S60" s="77">
        <v>0</v>
      </c>
      <c r="W60" s="117">
        <f t="shared" si="8"/>
        <v>664.63157894736844</v>
      </c>
      <c r="X60" s="117">
        <f t="shared" si="8"/>
        <v>3.7894736842105261</v>
      </c>
    </row>
    <row r="61" spans="1:24" x14ac:dyDescent="0.2">
      <c r="A61" s="62">
        <v>42401</v>
      </c>
      <c r="B61" s="63">
        <v>8.3420000000000005E-3</v>
      </c>
      <c r="F61" s="148"/>
      <c r="I61">
        <v>851</v>
      </c>
      <c r="J61">
        <v>0</v>
      </c>
      <c r="Q61" s="140">
        <v>39932</v>
      </c>
      <c r="R61" s="77">
        <v>5.7</v>
      </c>
      <c r="S61" s="77">
        <v>1.2</v>
      </c>
      <c r="W61" s="117">
        <f t="shared" si="8"/>
        <v>959.52631578947364</v>
      </c>
      <c r="X61" s="117">
        <f t="shared" si="8"/>
        <v>0</v>
      </c>
    </row>
    <row r="62" spans="1:24" x14ac:dyDescent="0.2">
      <c r="A62" s="62">
        <v>42370</v>
      </c>
      <c r="B62" s="63">
        <v>1.8461000000000002E-2</v>
      </c>
      <c r="F62" s="148"/>
      <c r="I62">
        <v>1113</v>
      </c>
      <c r="J62">
        <v>0</v>
      </c>
      <c r="K62">
        <f t="shared" ref="K62" si="10">SUM(J51:J62)</f>
        <v>1626</v>
      </c>
      <c r="Q62" s="140">
        <v>39933</v>
      </c>
      <c r="R62" s="77">
        <v>0.2</v>
      </c>
      <c r="S62" s="77">
        <v>2.5</v>
      </c>
    </row>
    <row r="63" spans="1:24" x14ac:dyDescent="0.2">
      <c r="A63" s="62">
        <v>42339</v>
      </c>
      <c r="B63" s="63">
        <v>1.4218E-2</v>
      </c>
      <c r="F63" s="148"/>
      <c r="I63">
        <v>692</v>
      </c>
      <c r="J63">
        <v>0</v>
      </c>
      <c r="Q63" s="140">
        <v>39934</v>
      </c>
      <c r="R63" s="77">
        <v>9</v>
      </c>
      <c r="S63" s="77">
        <v>0</v>
      </c>
    </row>
    <row r="64" spans="1:24" x14ac:dyDescent="0.2">
      <c r="A64" s="62">
        <v>42309</v>
      </c>
      <c r="B64" s="63">
        <v>5.0289999999999996E-3</v>
      </c>
      <c r="F64" s="148"/>
      <c r="I64">
        <v>490</v>
      </c>
      <c r="J64">
        <v>0</v>
      </c>
      <c r="L64" s="117"/>
      <c r="Q64" s="140">
        <v>39935</v>
      </c>
      <c r="R64" s="77">
        <v>8.6</v>
      </c>
      <c r="S64" s="77">
        <v>0</v>
      </c>
    </row>
    <row r="65" spans="1:19" x14ac:dyDescent="0.2">
      <c r="A65" s="62">
        <v>42278</v>
      </c>
      <c r="B65" s="63">
        <v>6.4120000000000002E-3</v>
      </c>
      <c r="F65" s="148"/>
      <c r="I65">
        <v>252</v>
      </c>
      <c r="J65">
        <v>19</v>
      </c>
      <c r="L65" s="117"/>
      <c r="Q65" s="140">
        <v>39936</v>
      </c>
      <c r="R65" s="77">
        <v>6.6</v>
      </c>
      <c r="S65" s="77">
        <v>0.5</v>
      </c>
    </row>
    <row r="66" spans="1:19" x14ac:dyDescent="0.2">
      <c r="A66" s="62">
        <v>42248</v>
      </c>
      <c r="B66" s="63">
        <v>8.8400000000000002E-4</v>
      </c>
      <c r="C66" s="66">
        <f>+((B66+B70)/2+SUM(B67:B69))/4</f>
        <v>1.0777750000000001E-2</v>
      </c>
      <c r="D66" t="str">
        <f>+"Summer "&amp;TEXT(YEAR(A66)-2000,0)</f>
        <v>Summer 15</v>
      </c>
      <c r="F66" s="148"/>
      <c r="I66">
        <v>22</v>
      </c>
      <c r="J66">
        <v>261</v>
      </c>
      <c r="L66" s="117"/>
      <c r="Q66" s="140">
        <v>39937</v>
      </c>
      <c r="R66" s="77">
        <v>6.2</v>
      </c>
      <c r="S66" s="77">
        <v>1.2</v>
      </c>
    </row>
    <row r="67" spans="1:19" x14ac:dyDescent="0.2">
      <c r="A67" s="62">
        <v>42217</v>
      </c>
      <c r="B67" s="63">
        <v>7.2880000000000002E-3</v>
      </c>
      <c r="C67" s="61"/>
      <c r="E67" s="54"/>
      <c r="F67" s="148"/>
      <c r="I67">
        <v>2</v>
      </c>
      <c r="J67">
        <v>267</v>
      </c>
      <c r="L67" s="117"/>
      <c r="Q67" s="140">
        <v>39938</v>
      </c>
      <c r="R67" s="77">
        <v>3.4</v>
      </c>
      <c r="S67" s="77">
        <v>2.6</v>
      </c>
    </row>
    <row r="68" spans="1:19" x14ac:dyDescent="0.2">
      <c r="A68" s="62">
        <v>42186</v>
      </c>
      <c r="B68" s="63">
        <v>1.6898E-2</v>
      </c>
      <c r="C68" s="61"/>
      <c r="E68" s="63"/>
      <c r="F68" s="148"/>
      <c r="H68">
        <f>SUM(I57:I68)</f>
        <v>4317</v>
      </c>
      <c r="I68">
        <v>4</v>
      </c>
      <c r="J68">
        <v>364</v>
      </c>
      <c r="L68" s="117"/>
      <c r="Q68" s="140">
        <v>39939</v>
      </c>
      <c r="R68" s="77">
        <v>1.1000000000000001</v>
      </c>
      <c r="S68" s="77">
        <v>2.7</v>
      </c>
    </row>
    <row r="69" spans="1:19" x14ac:dyDescent="0.2">
      <c r="A69" s="62">
        <v>42156</v>
      </c>
      <c r="B69" s="63">
        <v>1.1133000000000001E-2</v>
      </c>
      <c r="C69" s="61"/>
      <c r="F69" s="210"/>
      <c r="I69">
        <v>3</v>
      </c>
      <c r="J69">
        <v>298</v>
      </c>
      <c r="L69" s="117"/>
      <c r="Q69" s="140">
        <v>39940</v>
      </c>
      <c r="R69" s="77">
        <v>1.8</v>
      </c>
      <c r="S69" s="77">
        <v>4</v>
      </c>
    </row>
    <row r="70" spans="1:19" x14ac:dyDescent="0.2">
      <c r="A70" s="62">
        <v>42125</v>
      </c>
      <c r="B70" s="63">
        <v>1.47E-2</v>
      </c>
      <c r="C70" s="61"/>
      <c r="F70" s="148"/>
      <c r="I70">
        <v>82</v>
      </c>
      <c r="J70">
        <v>156</v>
      </c>
      <c r="L70" s="117"/>
      <c r="Q70" s="140">
        <v>39941</v>
      </c>
      <c r="R70" s="77">
        <v>1.8</v>
      </c>
      <c r="S70" s="77">
        <v>1.9</v>
      </c>
    </row>
    <row r="71" spans="1:19" x14ac:dyDescent="0.2">
      <c r="A71" s="62">
        <v>42095</v>
      </c>
      <c r="B71" s="63">
        <v>9.8969999999999995E-3</v>
      </c>
      <c r="C71" s="66">
        <f>+((B70+B78)/2+SUM(B71:B77))/8</f>
        <v>8.9687499999999993E-3</v>
      </c>
      <c r="D71" t="str">
        <f>+"Winter "&amp;TEXT(YEAR(A71)-2001,0)&amp;"-"&amp;TEXT(YEAR(A71)-2000,0)</f>
        <v>Winter 14-15</v>
      </c>
      <c r="F71" s="148"/>
      <c r="I71">
        <v>263</v>
      </c>
      <c r="J71">
        <v>10</v>
      </c>
      <c r="L71" s="117"/>
      <c r="Q71" s="140">
        <v>39942</v>
      </c>
      <c r="R71" s="77">
        <v>4.7</v>
      </c>
      <c r="S71" s="77">
        <v>0.4</v>
      </c>
    </row>
    <row r="72" spans="1:19" x14ac:dyDescent="0.2">
      <c r="A72" s="62">
        <v>42064</v>
      </c>
      <c r="B72" s="63">
        <v>8.8789999999999997E-3</v>
      </c>
      <c r="F72" s="210"/>
      <c r="I72">
        <v>752</v>
      </c>
      <c r="J72">
        <v>0</v>
      </c>
      <c r="L72" s="117"/>
      <c r="Q72" s="140">
        <v>39943</v>
      </c>
      <c r="R72" s="77">
        <v>7.9</v>
      </c>
      <c r="S72" s="77">
        <v>0.8</v>
      </c>
    </row>
    <row r="73" spans="1:19" x14ac:dyDescent="0.2">
      <c r="A73" s="62">
        <v>42036</v>
      </c>
      <c r="B73" s="63">
        <v>-3.7729999999999999E-3</v>
      </c>
      <c r="F73" s="210"/>
      <c r="I73">
        <v>1240</v>
      </c>
      <c r="J73">
        <v>0</v>
      </c>
      <c r="L73" s="117"/>
      <c r="Q73" s="140">
        <v>39944</v>
      </c>
      <c r="R73" s="77">
        <v>6.2</v>
      </c>
      <c r="S73" s="77">
        <v>1.1000000000000001</v>
      </c>
    </row>
    <row r="74" spans="1:19" x14ac:dyDescent="0.2">
      <c r="A74" s="62">
        <v>42005</v>
      </c>
      <c r="B74" s="63">
        <v>1.9105E-2</v>
      </c>
      <c r="F74" s="210"/>
      <c r="I74">
        <v>1157</v>
      </c>
      <c r="J74">
        <v>0</v>
      </c>
      <c r="K74">
        <f t="shared" ref="K74" si="11">SUM(J63:J74)</f>
        <v>1375</v>
      </c>
      <c r="L74" s="117"/>
      <c r="Q74" s="140">
        <v>39945</v>
      </c>
      <c r="R74" s="77">
        <v>5.8</v>
      </c>
      <c r="S74" s="77">
        <v>2.2000000000000002</v>
      </c>
    </row>
    <row r="75" spans="1:19" x14ac:dyDescent="0.2">
      <c r="A75" s="62">
        <v>41974</v>
      </c>
      <c r="B75" s="63">
        <v>1.269E-2</v>
      </c>
      <c r="F75" s="210"/>
      <c r="I75">
        <v>936</v>
      </c>
      <c r="J75">
        <v>0</v>
      </c>
      <c r="L75" s="117"/>
      <c r="Q75" s="140">
        <v>39946</v>
      </c>
      <c r="R75" s="77">
        <v>1.5</v>
      </c>
      <c r="S75" s="77">
        <v>3.6</v>
      </c>
    </row>
    <row r="76" spans="1:19" x14ac:dyDescent="0.2">
      <c r="A76" s="62">
        <v>41944</v>
      </c>
      <c r="B76" s="63">
        <v>1.4525E-2</v>
      </c>
      <c r="F76" s="210"/>
      <c r="I76">
        <v>855</v>
      </c>
      <c r="J76">
        <v>0</v>
      </c>
      <c r="L76" s="117"/>
      <c r="Q76" s="140">
        <v>39947</v>
      </c>
      <c r="R76" s="77">
        <v>3.2</v>
      </c>
      <c r="S76" s="77">
        <v>1.7</v>
      </c>
    </row>
    <row r="77" spans="1:19" x14ac:dyDescent="0.2">
      <c r="A77" s="62">
        <v>41913</v>
      </c>
      <c r="B77" s="63">
        <v>-5.44E-4</v>
      </c>
      <c r="F77" s="148"/>
      <c r="I77">
        <v>301</v>
      </c>
      <c r="J77">
        <v>13</v>
      </c>
      <c r="L77" s="117"/>
      <c r="Q77" s="140">
        <v>39948</v>
      </c>
      <c r="R77" s="77">
        <v>2.7</v>
      </c>
      <c r="S77" s="77">
        <v>1.6</v>
      </c>
    </row>
    <row r="78" spans="1:19" x14ac:dyDescent="0.2">
      <c r="A78" s="62">
        <v>41883</v>
      </c>
      <c r="B78" s="63">
        <v>7.2420000000000002E-3</v>
      </c>
      <c r="C78" s="66">
        <f>+((B78+B82)/2+SUM(B79:B81))/4</f>
        <v>1.1084624999999999E-2</v>
      </c>
      <c r="D78" t="str">
        <f>+"Summer "&amp;TEXT(YEAR(A78)-2000,0)</f>
        <v>Summer 14</v>
      </c>
      <c r="F78" s="148"/>
      <c r="I78">
        <v>77</v>
      </c>
      <c r="J78">
        <v>116</v>
      </c>
      <c r="L78" s="117"/>
      <c r="Q78" s="140">
        <v>39949</v>
      </c>
      <c r="R78" s="77">
        <v>6.9</v>
      </c>
      <c r="S78" s="77">
        <v>0</v>
      </c>
    </row>
    <row r="79" spans="1:19" x14ac:dyDescent="0.2">
      <c r="A79" s="62">
        <v>41852</v>
      </c>
      <c r="B79" s="63">
        <v>9.1570000000000002E-3</v>
      </c>
      <c r="C79" s="61"/>
      <c r="F79" s="148"/>
      <c r="I79">
        <v>0</v>
      </c>
      <c r="J79">
        <v>339</v>
      </c>
      <c r="L79" s="117"/>
      <c r="Q79" s="140">
        <v>39950</v>
      </c>
      <c r="R79" s="77">
        <v>11.5</v>
      </c>
      <c r="S79" s="77">
        <v>0</v>
      </c>
    </row>
    <row r="80" spans="1:19" x14ac:dyDescent="0.2">
      <c r="A80" s="62">
        <v>41821</v>
      </c>
      <c r="B80" s="63">
        <v>1.8159999999999999E-3</v>
      </c>
      <c r="C80" s="61"/>
      <c r="F80" s="148"/>
      <c r="H80">
        <f>SUM(I69:I80)</f>
        <v>5669</v>
      </c>
      <c r="I80">
        <v>3</v>
      </c>
      <c r="J80">
        <v>212</v>
      </c>
      <c r="L80" s="117"/>
      <c r="Q80" s="140">
        <v>39951</v>
      </c>
      <c r="R80" s="77">
        <v>7.7</v>
      </c>
      <c r="S80" s="77">
        <v>0.6</v>
      </c>
    </row>
    <row r="81" spans="1:19" x14ac:dyDescent="0.2">
      <c r="A81" s="62">
        <v>41791</v>
      </c>
      <c r="B81" s="63">
        <v>2.5211999999999998E-2</v>
      </c>
      <c r="C81" s="61"/>
      <c r="F81" s="148"/>
      <c r="I81">
        <v>0</v>
      </c>
      <c r="J81">
        <v>306</v>
      </c>
      <c r="L81" s="117"/>
      <c r="Q81" s="140">
        <v>39952</v>
      </c>
      <c r="R81" s="77">
        <v>3.4</v>
      </c>
      <c r="S81" s="77">
        <v>5.5</v>
      </c>
    </row>
    <row r="82" spans="1:19" x14ac:dyDescent="0.2">
      <c r="A82" s="62">
        <v>41760</v>
      </c>
      <c r="B82" s="63">
        <v>9.0650000000000001E-3</v>
      </c>
      <c r="C82" s="61"/>
      <c r="F82" s="148"/>
      <c r="I82">
        <v>115</v>
      </c>
      <c r="J82">
        <v>166</v>
      </c>
      <c r="L82" s="117"/>
      <c r="Q82" s="140">
        <v>39953</v>
      </c>
      <c r="R82" s="77">
        <v>1.5</v>
      </c>
      <c r="S82" s="77">
        <v>7.1</v>
      </c>
    </row>
    <row r="83" spans="1:19" x14ac:dyDescent="0.2">
      <c r="A83" s="62">
        <v>41730</v>
      </c>
      <c r="B83" s="63">
        <v>3.869E-3</v>
      </c>
      <c r="C83" s="66">
        <f>+((B82+B90)/2+SUM(B83:B89))/8</f>
        <v>5.3665000000000006E-3</v>
      </c>
      <c r="D83" t="str">
        <f>+"Winter "&amp;TEXT(YEAR(A83)-2001,0)&amp;"-"&amp;TEXT(YEAR(A83)-2000,0)</f>
        <v>Winter 13-14</v>
      </c>
      <c r="F83" s="148"/>
      <c r="G83" s="68"/>
      <c r="I83">
        <v>289</v>
      </c>
      <c r="J83">
        <v>10</v>
      </c>
      <c r="L83" s="117"/>
      <c r="Q83" s="140">
        <v>39954</v>
      </c>
      <c r="R83" s="77">
        <v>0.8</v>
      </c>
      <c r="S83" s="77">
        <v>8.5</v>
      </c>
    </row>
    <row r="84" spans="1:19" x14ac:dyDescent="0.2">
      <c r="A84" s="62">
        <v>41699</v>
      </c>
      <c r="B84" s="63">
        <v>7.1450000000000003E-3</v>
      </c>
      <c r="F84" s="148"/>
      <c r="I84">
        <v>855</v>
      </c>
      <c r="J84">
        <v>0</v>
      </c>
      <c r="L84" s="117"/>
      <c r="Q84" s="140">
        <v>39955</v>
      </c>
      <c r="R84" s="77">
        <v>0.6</v>
      </c>
      <c r="S84" s="77">
        <v>9.8000000000000007</v>
      </c>
    </row>
    <row r="85" spans="1:19" x14ac:dyDescent="0.2">
      <c r="A85" s="62">
        <v>41671</v>
      </c>
      <c r="B85" s="63">
        <v>3.6359999999999999E-3</v>
      </c>
      <c r="F85" s="148"/>
      <c r="I85">
        <v>1251</v>
      </c>
      <c r="J85">
        <v>0</v>
      </c>
      <c r="L85" s="117"/>
      <c r="Q85" s="140">
        <v>39956</v>
      </c>
      <c r="R85" s="77">
        <v>0.2</v>
      </c>
      <c r="S85" s="77">
        <v>9.9</v>
      </c>
    </row>
    <row r="86" spans="1:19" x14ac:dyDescent="0.2">
      <c r="A86" s="62">
        <v>41640</v>
      </c>
      <c r="B86" s="63">
        <v>1.5782999999999998E-2</v>
      </c>
      <c r="F86" s="148"/>
      <c r="I86">
        <v>1350</v>
      </c>
      <c r="J86">
        <v>0</v>
      </c>
      <c r="K86">
        <f t="shared" ref="K86" si="12">SUM(J75:J86)</f>
        <v>1162</v>
      </c>
      <c r="L86" s="117"/>
      <c r="Q86" s="140">
        <v>39957</v>
      </c>
      <c r="R86" s="77">
        <v>0.3</v>
      </c>
      <c r="S86" s="77">
        <v>9.5</v>
      </c>
    </row>
    <row r="87" spans="1:19" x14ac:dyDescent="0.2">
      <c r="A87" s="62">
        <v>41609</v>
      </c>
      <c r="B87" s="63">
        <v>1.128E-2</v>
      </c>
      <c r="F87" s="211"/>
      <c r="I87">
        <v>1164</v>
      </c>
      <c r="J87">
        <v>0</v>
      </c>
      <c r="L87" s="117"/>
      <c r="Q87" s="140">
        <v>39958</v>
      </c>
      <c r="R87" s="77">
        <v>1.7</v>
      </c>
      <c r="S87" s="77">
        <v>2.6</v>
      </c>
    </row>
    <row r="88" spans="1:19" x14ac:dyDescent="0.2">
      <c r="A88" s="62">
        <v>41579</v>
      </c>
      <c r="B88" s="63">
        <v>1.55E-4</v>
      </c>
      <c r="F88" s="211"/>
      <c r="G88" s="67"/>
      <c r="I88">
        <v>775</v>
      </c>
      <c r="J88">
        <v>0</v>
      </c>
      <c r="L88" s="117"/>
      <c r="Q88" s="140">
        <v>39959</v>
      </c>
      <c r="R88" s="77">
        <v>0</v>
      </c>
      <c r="S88" s="77">
        <v>6.5</v>
      </c>
    </row>
    <row r="89" spans="1:19" x14ac:dyDescent="0.2">
      <c r="A89" s="62">
        <v>41548</v>
      </c>
      <c r="B89" s="63">
        <v>-3.823E-3</v>
      </c>
      <c r="F89" s="211"/>
      <c r="G89" s="67"/>
      <c r="I89">
        <v>357</v>
      </c>
      <c r="J89">
        <v>45</v>
      </c>
      <c r="L89" s="117"/>
      <c r="Q89" s="140">
        <v>39960</v>
      </c>
      <c r="R89" s="77">
        <v>0</v>
      </c>
      <c r="S89" s="77">
        <v>5.6</v>
      </c>
    </row>
    <row r="90" spans="1:19" x14ac:dyDescent="0.2">
      <c r="A90" s="62">
        <v>41518</v>
      </c>
      <c r="B90" s="63">
        <v>7.0899999999999999E-4</v>
      </c>
      <c r="C90" s="66">
        <f>+((B90+B94)/2+SUM(B91:B93))/4</f>
        <v>5.7566250000000005E-3</v>
      </c>
      <c r="D90" t="str">
        <f>+"Summer "&amp;TEXT(YEAR(A90)-2000,0)</f>
        <v>Summer 13</v>
      </c>
      <c r="F90" s="211"/>
      <c r="I90">
        <v>39</v>
      </c>
      <c r="J90">
        <v>160</v>
      </c>
      <c r="L90" s="117"/>
      <c r="Q90" s="140">
        <v>39961</v>
      </c>
      <c r="R90" s="77">
        <v>3.7</v>
      </c>
      <c r="S90" s="77">
        <v>0</v>
      </c>
    </row>
    <row r="91" spans="1:19" x14ac:dyDescent="0.2">
      <c r="A91" s="62">
        <v>41487</v>
      </c>
      <c r="B91" s="63">
        <v>3.0300000000000001E-3</v>
      </c>
      <c r="C91" s="61"/>
      <c r="F91" s="211"/>
      <c r="I91">
        <v>5</v>
      </c>
      <c r="J91">
        <v>266</v>
      </c>
      <c r="L91" s="117"/>
      <c r="Q91" s="140">
        <v>39962</v>
      </c>
      <c r="R91" s="77">
        <v>1.4</v>
      </c>
      <c r="S91" s="77">
        <v>5.9</v>
      </c>
    </row>
    <row r="92" spans="1:19" x14ac:dyDescent="0.2">
      <c r="A92" s="62">
        <v>41456</v>
      </c>
      <c r="B92" s="63">
        <v>7.1380000000000002E-3</v>
      </c>
      <c r="C92" s="61"/>
      <c r="F92" s="211"/>
      <c r="H92">
        <f>SUM(I81:I92)</f>
        <v>6206</v>
      </c>
      <c r="I92">
        <v>6</v>
      </c>
      <c r="J92">
        <v>290</v>
      </c>
      <c r="L92" s="117"/>
      <c r="Q92" s="140">
        <v>39963</v>
      </c>
      <c r="R92" s="77">
        <v>2.2000000000000002</v>
      </c>
      <c r="S92" s="77">
        <v>6.4</v>
      </c>
    </row>
    <row r="93" spans="1:19" x14ac:dyDescent="0.2">
      <c r="A93" s="62">
        <v>41426</v>
      </c>
      <c r="B93" s="63">
        <v>9.0449999999999992E-3</v>
      </c>
      <c r="C93" s="61"/>
      <c r="F93" s="211"/>
      <c r="I93">
        <v>12</v>
      </c>
      <c r="J93">
        <v>258</v>
      </c>
      <c r="L93" s="117"/>
      <c r="Q93" s="140">
        <v>39964</v>
      </c>
      <c r="R93" s="77">
        <v>2.7</v>
      </c>
      <c r="S93" s="77">
        <v>5.4</v>
      </c>
    </row>
    <row r="94" spans="1:19" x14ac:dyDescent="0.2">
      <c r="A94" s="62">
        <v>41395</v>
      </c>
      <c r="B94" s="63">
        <v>6.9179999999999997E-3</v>
      </c>
      <c r="C94" s="61"/>
      <c r="F94" s="211"/>
      <c r="I94">
        <v>127</v>
      </c>
      <c r="J94">
        <v>112</v>
      </c>
      <c r="L94" s="117"/>
      <c r="Q94" s="140">
        <v>39965</v>
      </c>
      <c r="R94" s="77">
        <v>0</v>
      </c>
      <c r="S94" s="77">
        <v>13.4</v>
      </c>
    </row>
    <row r="95" spans="1:19" x14ac:dyDescent="0.2">
      <c r="A95" s="62">
        <v>41365</v>
      </c>
      <c r="B95" s="63">
        <v>5.0619999999999997E-3</v>
      </c>
      <c r="C95" s="66">
        <f>+((B94+B102)/2+SUM(B95:B101))/8</f>
        <v>3.5806874999999997E-3</v>
      </c>
      <c r="D95" t="str">
        <f>+"Winter "&amp;TEXT(YEAR(A95)-2001,0)&amp;"-"&amp;TEXT(YEAR(A95)-2000,0)</f>
        <v>Winter 12-13</v>
      </c>
      <c r="F95" s="211"/>
      <c r="I95">
        <v>413</v>
      </c>
      <c r="J95">
        <v>14</v>
      </c>
      <c r="L95" s="117"/>
      <c r="Q95" s="140">
        <v>39966</v>
      </c>
      <c r="R95" s="77">
        <v>0.1</v>
      </c>
      <c r="S95" s="77">
        <v>6.3</v>
      </c>
    </row>
    <row r="96" spans="1:19" x14ac:dyDescent="0.2">
      <c r="A96" s="62">
        <v>41334</v>
      </c>
      <c r="B96" s="63">
        <v>1.0165E-2</v>
      </c>
      <c r="F96" s="211"/>
      <c r="I96">
        <v>908</v>
      </c>
      <c r="J96">
        <v>0</v>
      </c>
      <c r="L96" s="117"/>
      <c r="Q96" s="140">
        <v>39967</v>
      </c>
      <c r="R96" s="77">
        <v>4.2</v>
      </c>
      <c r="S96" s="77">
        <v>0.2</v>
      </c>
    </row>
    <row r="97" spans="1:19" x14ac:dyDescent="0.2">
      <c r="A97" s="62">
        <v>41306</v>
      </c>
      <c r="B97" s="63">
        <v>2.2079999999999999E-3</v>
      </c>
      <c r="F97" s="211"/>
      <c r="I97">
        <v>946</v>
      </c>
      <c r="J97">
        <v>0</v>
      </c>
      <c r="L97" s="117"/>
      <c r="Q97" s="140">
        <v>39968</v>
      </c>
      <c r="R97" s="77">
        <v>6.2</v>
      </c>
      <c r="S97" s="77">
        <v>1.7</v>
      </c>
    </row>
    <row r="98" spans="1:19" x14ac:dyDescent="0.2">
      <c r="A98" s="62">
        <v>41275</v>
      </c>
      <c r="B98" s="63">
        <v>9.1009999999999997E-3</v>
      </c>
      <c r="F98" s="211"/>
      <c r="I98">
        <v>1083</v>
      </c>
      <c r="J98">
        <v>0</v>
      </c>
      <c r="K98">
        <f t="shared" ref="K98" si="13">SUM(J87:J98)</f>
        <v>1145</v>
      </c>
      <c r="L98" s="117"/>
      <c r="Q98" s="140">
        <v>39969</v>
      </c>
      <c r="R98" s="77">
        <v>4.5</v>
      </c>
      <c r="S98" s="77">
        <v>5.6</v>
      </c>
    </row>
    <row r="99" spans="1:19" x14ac:dyDescent="0.2">
      <c r="A99" s="62">
        <v>41244</v>
      </c>
      <c r="B99" s="63">
        <v>5.156E-3</v>
      </c>
      <c r="E99" s="68"/>
      <c r="F99" s="211"/>
      <c r="I99">
        <v>819</v>
      </c>
      <c r="J99">
        <v>1</v>
      </c>
      <c r="L99" s="117"/>
      <c r="Q99" s="140">
        <v>39970</v>
      </c>
      <c r="R99" s="77">
        <v>1.1000000000000001</v>
      </c>
      <c r="S99" s="77">
        <v>7.9</v>
      </c>
    </row>
    <row r="100" spans="1:19" x14ac:dyDescent="0.2">
      <c r="A100" s="62">
        <v>41214</v>
      </c>
      <c r="B100" s="63">
        <v>1.7489999999999999E-3</v>
      </c>
      <c r="F100" s="211"/>
      <c r="I100">
        <v>619</v>
      </c>
      <c r="J100">
        <v>1</v>
      </c>
      <c r="L100" s="117"/>
      <c r="Q100" s="140">
        <v>39971</v>
      </c>
      <c r="R100" s="77">
        <v>0</v>
      </c>
      <c r="S100" s="77">
        <v>6.6</v>
      </c>
    </row>
    <row r="101" spans="1:19" x14ac:dyDescent="0.2">
      <c r="A101" s="62">
        <v>41183</v>
      </c>
      <c r="B101" s="63">
        <v>-5.2969999999999996E-3</v>
      </c>
      <c r="F101" s="211"/>
      <c r="I101">
        <v>358</v>
      </c>
      <c r="J101">
        <v>13</v>
      </c>
      <c r="L101" s="117"/>
      <c r="Q101" s="140">
        <v>39972</v>
      </c>
      <c r="R101" s="77">
        <v>0</v>
      </c>
      <c r="S101" s="77">
        <v>9.4</v>
      </c>
    </row>
    <row r="102" spans="1:19" x14ac:dyDescent="0.2">
      <c r="A102" s="62">
        <v>41153</v>
      </c>
      <c r="B102" s="63">
        <v>-5.9150000000000001E-3</v>
      </c>
      <c r="C102" s="66">
        <f>+((B102+B106)/2+SUM(B103:B105))/4</f>
        <v>3.6011250000000002E-3</v>
      </c>
      <c r="D102" t="str">
        <f>+"Summer "&amp;TEXT(YEAR(A102)-2000,0)</f>
        <v>Summer 12</v>
      </c>
      <c r="F102" s="211"/>
      <c r="I102" s="122">
        <v>84</v>
      </c>
      <c r="J102" s="122">
        <v>119</v>
      </c>
      <c r="L102" s="117"/>
      <c r="Q102" s="140">
        <v>39973</v>
      </c>
      <c r="R102" s="77">
        <v>1.6</v>
      </c>
      <c r="S102" s="77">
        <v>3.2</v>
      </c>
    </row>
    <row r="103" spans="1:19" x14ac:dyDescent="0.2">
      <c r="A103" s="62">
        <v>41122</v>
      </c>
      <c r="B103" s="63">
        <v>-1.2409999999999999E-3</v>
      </c>
      <c r="C103" s="61"/>
      <c r="E103" s="68"/>
      <c r="F103" s="148"/>
      <c r="I103" s="122">
        <v>0</v>
      </c>
      <c r="J103" s="122">
        <v>324</v>
      </c>
      <c r="L103" s="117"/>
      <c r="Q103" s="140">
        <v>39974</v>
      </c>
      <c r="R103" s="77">
        <v>0.3</v>
      </c>
      <c r="S103" s="77">
        <v>6.9</v>
      </c>
    </row>
    <row r="104" spans="1:19" x14ac:dyDescent="0.2">
      <c r="A104" s="62">
        <v>41091</v>
      </c>
      <c r="B104" s="63">
        <v>4.4400000000000004E-3</v>
      </c>
      <c r="C104" s="61"/>
      <c r="F104" s="148"/>
      <c r="H104">
        <f>SUM(I93:I104)</f>
        <v>5369</v>
      </c>
      <c r="I104" s="122">
        <v>0</v>
      </c>
      <c r="J104" s="122">
        <v>563</v>
      </c>
      <c r="L104" s="117"/>
      <c r="Q104" s="140">
        <v>39975</v>
      </c>
      <c r="R104" s="77">
        <v>0.3</v>
      </c>
      <c r="S104" s="77">
        <v>2.2999999999999998</v>
      </c>
    </row>
    <row r="105" spans="1:19" x14ac:dyDescent="0.2">
      <c r="A105" s="62">
        <v>41061</v>
      </c>
      <c r="B105" s="63">
        <v>1.0486000000000001E-2</v>
      </c>
      <c r="C105" s="61"/>
      <c r="F105" s="148"/>
      <c r="I105" s="122">
        <v>10</v>
      </c>
      <c r="J105" s="122">
        <v>257</v>
      </c>
      <c r="L105" s="117"/>
      <c r="Q105" s="140">
        <v>39976</v>
      </c>
      <c r="R105" s="77">
        <v>1.8</v>
      </c>
      <c r="S105" s="77">
        <v>4.5</v>
      </c>
    </row>
    <row r="106" spans="1:19" x14ac:dyDescent="0.2">
      <c r="A106" s="62">
        <v>41030</v>
      </c>
      <c r="B106" s="63">
        <v>7.3540000000000003E-3</v>
      </c>
      <c r="C106" s="61"/>
      <c r="F106" s="148"/>
      <c r="I106" s="122">
        <v>34</v>
      </c>
      <c r="J106" s="122">
        <v>180</v>
      </c>
      <c r="L106" s="117"/>
      <c r="Q106" s="140">
        <v>39977</v>
      </c>
      <c r="R106" s="77">
        <v>0.3</v>
      </c>
      <c r="S106" s="77">
        <v>7</v>
      </c>
    </row>
    <row r="107" spans="1:19" x14ac:dyDescent="0.2">
      <c r="A107" s="62">
        <v>41000</v>
      </c>
      <c r="B107" s="63">
        <v>7.9979999999999999E-3</v>
      </c>
      <c r="C107" s="66">
        <f>+((B106+B114)/2+SUM(B107:B113))/8</f>
        <v>1.7750249999999999E-2</v>
      </c>
      <c r="D107" t="str">
        <f>+"Winter "&amp;TEXT(YEAR(A107)-2001,0)&amp;"-"&amp;TEXT(YEAR(A107)-2000,0)</f>
        <v>Winter 11-12</v>
      </c>
      <c r="F107" s="148"/>
      <c r="I107" s="122">
        <v>266</v>
      </c>
      <c r="J107" s="122">
        <v>26</v>
      </c>
      <c r="L107" s="117"/>
      <c r="Q107" s="140">
        <v>39978</v>
      </c>
      <c r="R107" s="77">
        <v>0.5</v>
      </c>
      <c r="S107" s="77">
        <v>5.6</v>
      </c>
    </row>
    <row r="108" spans="1:19" x14ac:dyDescent="0.2">
      <c r="A108" s="62">
        <v>40969</v>
      </c>
      <c r="B108" s="63">
        <v>0</v>
      </c>
      <c r="C108" s="108" t="s">
        <v>157</v>
      </c>
      <c r="F108" s="148"/>
      <c r="I108" s="122">
        <v>283</v>
      </c>
      <c r="J108" s="122">
        <v>51</v>
      </c>
      <c r="L108" s="117"/>
      <c r="Q108" s="140">
        <v>39979</v>
      </c>
      <c r="R108" s="77">
        <v>0.2</v>
      </c>
      <c r="S108" s="77">
        <v>4.5999999999999996</v>
      </c>
    </row>
    <row r="109" spans="1:19" x14ac:dyDescent="0.2">
      <c r="A109" s="62">
        <v>40940</v>
      </c>
      <c r="B109" s="63">
        <v>2.8230000000000002E-2</v>
      </c>
      <c r="F109" s="148"/>
      <c r="I109">
        <v>806</v>
      </c>
      <c r="J109" s="116">
        <v>0</v>
      </c>
      <c r="L109" s="117"/>
      <c r="Q109" s="140">
        <v>39980</v>
      </c>
      <c r="R109" s="77">
        <v>0</v>
      </c>
      <c r="S109" s="77">
        <v>7.7</v>
      </c>
    </row>
    <row r="110" spans="1:19" x14ac:dyDescent="0.2">
      <c r="A110" s="62">
        <v>40909</v>
      </c>
      <c r="B110" s="63">
        <v>2.9184999999999999E-2</v>
      </c>
      <c r="F110" s="148"/>
      <c r="I110">
        <v>963</v>
      </c>
      <c r="J110">
        <v>0</v>
      </c>
      <c r="K110">
        <f t="shared" ref="K110" si="14">SUM(J99:J110)</f>
        <v>1535</v>
      </c>
      <c r="L110" s="117"/>
      <c r="Q110" s="140">
        <v>39981</v>
      </c>
      <c r="R110" s="77">
        <v>0</v>
      </c>
      <c r="S110" s="77">
        <v>13.1</v>
      </c>
    </row>
    <row r="111" spans="1:19" x14ac:dyDescent="0.2">
      <c r="A111" s="62">
        <v>40878</v>
      </c>
      <c r="B111" s="63">
        <v>2.6654000000000001E-2</v>
      </c>
      <c r="F111" s="148"/>
      <c r="I111">
        <v>843</v>
      </c>
      <c r="J111">
        <v>0</v>
      </c>
      <c r="L111" s="117"/>
      <c r="Q111" s="140">
        <v>39982</v>
      </c>
      <c r="R111" s="77">
        <v>0</v>
      </c>
      <c r="S111" s="77">
        <v>15.5</v>
      </c>
    </row>
    <row r="112" spans="1:19" x14ac:dyDescent="0.2">
      <c r="A112" s="62">
        <v>40848</v>
      </c>
      <c r="B112" s="63">
        <v>1.9918999999999999E-2</v>
      </c>
      <c r="F112" s="148"/>
      <c r="I112">
        <v>504</v>
      </c>
      <c r="J112">
        <v>0</v>
      </c>
      <c r="L112" s="117"/>
      <c r="Q112" s="140">
        <v>39983</v>
      </c>
      <c r="R112" s="77">
        <v>0</v>
      </c>
      <c r="S112" s="77">
        <v>16.399999999999999</v>
      </c>
    </row>
    <row r="113" spans="1:19" x14ac:dyDescent="0.2">
      <c r="A113" s="62">
        <v>40817</v>
      </c>
      <c r="B113" s="63">
        <v>1.8835999999999999E-2</v>
      </c>
      <c r="F113" s="148"/>
      <c r="I113">
        <v>290</v>
      </c>
      <c r="J113">
        <v>26</v>
      </c>
      <c r="L113" s="117"/>
      <c r="Q113" s="140">
        <v>39984</v>
      </c>
      <c r="R113" s="77">
        <v>0</v>
      </c>
      <c r="S113" s="77">
        <v>13</v>
      </c>
    </row>
    <row r="114" spans="1:19" x14ac:dyDescent="0.2">
      <c r="A114" s="62">
        <v>40787</v>
      </c>
      <c r="B114" s="63">
        <v>1.5006E-2</v>
      </c>
      <c r="C114" s="66">
        <f>+((B114+B118)/2+SUM(B115:B117))/4</f>
        <v>2.4997874999999999E-2</v>
      </c>
      <c r="D114" t="str">
        <f>+"Summer "&amp;TEXT(YEAR(A114)-2000,0)</f>
        <v>Summer 11</v>
      </c>
      <c r="E114" s="68"/>
      <c r="F114" s="148"/>
      <c r="I114">
        <v>116</v>
      </c>
      <c r="J114">
        <v>105</v>
      </c>
      <c r="L114" s="117"/>
      <c r="Q114" s="140">
        <v>39985</v>
      </c>
      <c r="R114" s="77">
        <v>0</v>
      </c>
      <c r="S114" s="77">
        <v>15.7</v>
      </c>
    </row>
    <row r="115" spans="1:19" x14ac:dyDescent="0.2">
      <c r="A115" s="62">
        <v>40756</v>
      </c>
      <c r="B115" s="63">
        <v>2.3616000000000002E-2</v>
      </c>
      <c r="C115" s="61"/>
      <c r="F115" s="148"/>
      <c r="I115">
        <v>0</v>
      </c>
      <c r="J115">
        <v>373</v>
      </c>
      <c r="L115" s="117"/>
      <c r="Q115" s="140">
        <v>39986</v>
      </c>
      <c r="R115" s="77">
        <v>0</v>
      </c>
      <c r="S115" s="77">
        <v>19.7</v>
      </c>
    </row>
    <row r="116" spans="1:19" x14ac:dyDescent="0.2">
      <c r="A116" s="62">
        <v>40725</v>
      </c>
      <c r="B116" s="63">
        <v>2.5853999999999999E-2</v>
      </c>
      <c r="C116" s="61"/>
      <c r="F116" s="148"/>
      <c r="H116">
        <f>SUM(I105:I116)</f>
        <v>4115</v>
      </c>
      <c r="I116">
        <v>0</v>
      </c>
      <c r="J116">
        <v>517</v>
      </c>
      <c r="L116" s="117"/>
      <c r="Q116" s="140">
        <v>39987</v>
      </c>
      <c r="R116" s="77">
        <v>0</v>
      </c>
      <c r="S116" s="77">
        <v>20.7</v>
      </c>
    </row>
    <row r="117" spans="1:19" x14ac:dyDescent="0.2">
      <c r="A117" s="62">
        <v>40695</v>
      </c>
      <c r="B117" s="63">
        <v>3.1786000000000002E-2</v>
      </c>
      <c r="C117" s="61"/>
      <c r="F117" s="148"/>
      <c r="I117">
        <v>0</v>
      </c>
      <c r="J117">
        <v>267</v>
      </c>
      <c r="L117" s="117"/>
      <c r="Q117" s="140">
        <v>39988</v>
      </c>
      <c r="R117" s="77">
        <v>0</v>
      </c>
      <c r="S117" s="77">
        <v>16.899999999999999</v>
      </c>
    </row>
    <row r="118" spans="1:19" x14ac:dyDescent="0.2">
      <c r="A118" s="62">
        <v>40664</v>
      </c>
      <c r="B118" s="63">
        <v>2.2464999999999999E-2</v>
      </c>
      <c r="C118" s="61"/>
      <c r="F118" s="148"/>
      <c r="I118">
        <v>163</v>
      </c>
      <c r="J118">
        <v>144</v>
      </c>
      <c r="L118" s="117"/>
      <c r="Q118" s="140">
        <v>39989</v>
      </c>
      <c r="R118" s="77">
        <v>0</v>
      </c>
      <c r="S118" s="77">
        <v>18.7</v>
      </c>
    </row>
    <row r="119" spans="1:19" x14ac:dyDescent="0.2">
      <c r="A119" s="62">
        <v>40634</v>
      </c>
      <c r="B119" s="63">
        <v>2.5079000000000001E-2</v>
      </c>
      <c r="C119" s="66">
        <f>+((B118+B126)/2+SUM(B119:B125))/8</f>
        <v>2.1497875E-2</v>
      </c>
      <c r="D119" t="str">
        <f>+"Winter "&amp;TEXT(YEAR(A119)-2001,0)&amp;"-"&amp;TEXT(YEAR(A119)-2000,0)</f>
        <v>Winter 10-11</v>
      </c>
      <c r="F119" s="148"/>
      <c r="I119">
        <v>286</v>
      </c>
      <c r="J119">
        <v>15</v>
      </c>
      <c r="L119" s="117"/>
      <c r="Q119" s="140">
        <v>39990</v>
      </c>
      <c r="R119" s="77">
        <v>0</v>
      </c>
      <c r="S119" s="77">
        <v>17.399999999999999</v>
      </c>
    </row>
    <row r="120" spans="1:19" x14ac:dyDescent="0.2">
      <c r="A120" s="62">
        <v>40603</v>
      </c>
      <c r="B120" s="63">
        <v>2.2297999999999998E-2</v>
      </c>
      <c r="F120" s="148"/>
      <c r="I120">
        <v>654</v>
      </c>
      <c r="J120">
        <v>0</v>
      </c>
      <c r="L120" s="117"/>
      <c r="Q120" s="140">
        <v>39991</v>
      </c>
      <c r="R120" s="77">
        <v>0</v>
      </c>
      <c r="S120" s="77">
        <v>15.5</v>
      </c>
    </row>
    <row r="121" spans="1:19" x14ac:dyDescent="0.2">
      <c r="A121" s="62">
        <v>40575</v>
      </c>
      <c r="B121" s="63">
        <v>2.1186E-2</v>
      </c>
      <c r="F121" s="148"/>
      <c r="I121">
        <v>936</v>
      </c>
      <c r="J121">
        <v>0</v>
      </c>
      <c r="L121" s="117"/>
      <c r="Q121" s="140">
        <v>39992</v>
      </c>
      <c r="R121" s="77">
        <v>0</v>
      </c>
      <c r="S121" s="77">
        <v>10.1</v>
      </c>
    </row>
    <row r="122" spans="1:19" x14ac:dyDescent="0.2">
      <c r="A122" s="62">
        <v>40544</v>
      </c>
      <c r="B122" s="63">
        <v>2.4736999999999999E-2</v>
      </c>
      <c r="F122" s="148"/>
      <c r="I122">
        <v>1301</v>
      </c>
      <c r="J122">
        <v>0</v>
      </c>
      <c r="K122">
        <f t="shared" ref="K122" si="15">SUM(J111:J122)</f>
        <v>1447</v>
      </c>
      <c r="L122" s="117"/>
      <c r="Q122" s="140">
        <v>39993</v>
      </c>
      <c r="R122" s="77">
        <v>0.2</v>
      </c>
      <c r="S122" s="77">
        <v>8.6</v>
      </c>
    </row>
    <row r="123" spans="1:19" x14ac:dyDescent="0.2">
      <c r="A123" s="62">
        <v>40513</v>
      </c>
      <c r="B123" s="63">
        <v>2.1982000000000002E-2</v>
      </c>
      <c r="F123" s="148"/>
      <c r="I123">
        <v>1175</v>
      </c>
      <c r="J123">
        <v>0</v>
      </c>
      <c r="L123" s="117"/>
      <c r="Q123" s="140">
        <v>39994</v>
      </c>
      <c r="R123" s="77">
        <v>0.7</v>
      </c>
      <c r="S123" s="77">
        <v>5</v>
      </c>
    </row>
    <row r="124" spans="1:19" x14ac:dyDescent="0.2">
      <c r="A124" s="62">
        <v>40483</v>
      </c>
      <c r="B124" s="63">
        <v>1.9179000000000002E-2</v>
      </c>
      <c r="F124" s="148"/>
      <c r="I124">
        <v>586</v>
      </c>
      <c r="J124">
        <v>0</v>
      </c>
      <c r="L124" s="117"/>
      <c r="Q124" s="140">
        <v>39995</v>
      </c>
      <c r="R124" s="77">
        <v>0.3</v>
      </c>
      <c r="S124" s="77">
        <v>2.8</v>
      </c>
    </row>
    <row r="125" spans="1:19" x14ac:dyDescent="0.2">
      <c r="A125" s="62">
        <v>40452</v>
      </c>
      <c r="B125" s="63">
        <v>1.6233999999999998E-2</v>
      </c>
      <c r="F125" s="148"/>
      <c r="I125">
        <v>255</v>
      </c>
      <c r="J125">
        <v>24</v>
      </c>
      <c r="L125" s="117"/>
      <c r="Q125" s="140">
        <v>39996</v>
      </c>
      <c r="R125" s="77">
        <v>0.4</v>
      </c>
      <c r="S125" s="77">
        <v>4.2</v>
      </c>
    </row>
    <row r="126" spans="1:19" x14ac:dyDescent="0.2">
      <c r="A126" s="62">
        <v>40422</v>
      </c>
      <c r="B126" s="63">
        <v>2.0111E-2</v>
      </c>
      <c r="C126" s="66">
        <f>+((B126+B130)/2+SUM(B127:B129))/4</f>
        <v>1.9254500000000001E-2</v>
      </c>
      <c r="D126" t="str">
        <f>+"Summer "&amp;TEXT(YEAR(A126)-2000,0)</f>
        <v>Summer 10</v>
      </c>
      <c r="F126" s="148"/>
      <c r="I126">
        <v>33</v>
      </c>
      <c r="J126">
        <v>148</v>
      </c>
      <c r="L126" s="117"/>
      <c r="Q126" s="140">
        <v>39997</v>
      </c>
      <c r="R126" s="77">
        <v>1.8</v>
      </c>
      <c r="S126" s="77">
        <v>7.3</v>
      </c>
    </row>
    <row r="127" spans="1:19" x14ac:dyDescent="0.2">
      <c r="A127" s="62">
        <v>40391</v>
      </c>
      <c r="B127" s="63">
        <v>2.103E-2</v>
      </c>
      <c r="C127" s="61"/>
      <c r="F127" s="148"/>
      <c r="I127">
        <v>0</v>
      </c>
      <c r="J127">
        <v>421</v>
      </c>
      <c r="L127" s="117"/>
      <c r="Q127" s="140">
        <v>39998</v>
      </c>
      <c r="R127" s="77">
        <v>0</v>
      </c>
      <c r="S127" s="77">
        <v>3.6</v>
      </c>
    </row>
    <row r="128" spans="1:19" x14ac:dyDescent="0.2">
      <c r="A128" s="62">
        <v>40360</v>
      </c>
      <c r="B128" s="63">
        <v>2.2734000000000001E-2</v>
      </c>
      <c r="C128" s="61"/>
      <c r="F128" s="148"/>
      <c r="H128">
        <f>SUM(I117:I128)</f>
        <v>5389</v>
      </c>
      <c r="I128">
        <v>0</v>
      </c>
      <c r="J128">
        <v>439</v>
      </c>
      <c r="L128" s="117"/>
      <c r="Q128" s="140">
        <v>39999</v>
      </c>
      <c r="R128" s="77">
        <v>0.1</v>
      </c>
      <c r="S128" s="77">
        <v>5.5</v>
      </c>
    </row>
    <row r="129" spans="1:19" x14ac:dyDescent="0.2">
      <c r="A129" s="62">
        <v>40330</v>
      </c>
      <c r="B129" s="63">
        <v>1.6003E-2</v>
      </c>
      <c r="C129" s="61"/>
      <c r="F129" s="148"/>
      <c r="I129">
        <v>0</v>
      </c>
      <c r="J129">
        <v>355</v>
      </c>
      <c r="L129" s="117"/>
      <c r="Q129" s="140">
        <v>40000</v>
      </c>
      <c r="R129" s="77">
        <v>0.7</v>
      </c>
      <c r="S129" s="77">
        <v>9</v>
      </c>
    </row>
    <row r="130" spans="1:19" x14ac:dyDescent="0.2">
      <c r="A130" s="62">
        <v>40299</v>
      </c>
      <c r="B130" s="63">
        <v>1.4390999999999999E-2</v>
      </c>
      <c r="C130" s="61"/>
      <c r="F130" s="148"/>
      <c r="I130">
        <v>107</v>
      </c>
      <c r="J130">
        <v>122</v>
      </c>
      <c r="L130" s="117"/>
      <c r="Q130" s="140">
        <v>40001</v>
      </c>
      <c r="R130" s="77">
        <v>0.2</v>
      </c>
      <c r="S130" s="77">
        <v>10</v>
      </c>
    </row>
    <row r="131" spans="1:19" x14ac:dyDescent="0.2">
      <c r="A131" s="62">
        <v>40269</v>
      </c>
      <c r="B131" s="63">
        <v>1.7505E-2</v>
      </c>
      <c r="C131" s="66">
        <f>+((B130+B138)/2+SUM(B131:B137))/8</f>
        <v>1.7875375000000002E-2</v>
      </c>
      <c r="D131" t="str">
        <f>+"Winter 0"&amp;TEXT(YEAR(A131)-2001,0)&amp;"-"&amp;TEXT(YEAR(A131)-2000,0)</f>
        <v>Winter 09-10</v>
      </c>
      <c r="F131" s="148"/>
      <c r="I131">
        <v>156</v>
      </c>
      <c r="J131">
        <v>43</v>
      </c>
      <c r="L131" s="117"/>
      <c r="Q131" s="140">
        <v>40002</v>
      </c>
      <c r="R131" s="77">
        <v>0</v>
      </c>
      <c r="S131" s="77">
        <v>8.6</v>
      </c>
    </row>
    <row r="132" spans="1:19" x14ac:dyDescent="0.2">
      <c r="A132" s="62">
        <v>40238</v>
      </c>
      <c r="B132" s="63">
        <v>1.1379E-2</v>
      </c>
      <c r="F132" s="148"/>
      <c r="I132">
        <v>584</v>
      </c>
      <c r="J132">
        <v>2</v>
      </c>
      <c r="L132" s="117"/>
      <c r="Q132" s="140">
        <v>40003</v>
      </c>
      <c r="R132" s="77">
        <v>0.2</v>
      </c>
      <c r="S132" s="77">
        <v>7.4</v>
      </c>
    </row>
    <row r="133" spans="1:19" x14ac:dyDescent="0.2">
      <c r="A133" s="62">
        <v>40210</v>
      </c>
      <c r="B133" s="63">
        <v>1.7226999999999999E-2</v>
      </c>
      <c r="F133" s="148"/>
      <c r="I133">
        <v>1082</v>
      </c>
      <c r="J133">
        <v>0</v>
      </c>
      <c r="L133" s="117"/>
      <c r="Q133" s="140">
        <v>40004</v>
      </c>
      <c r="R133" s="77">
        <v>0</v>
      </c>
      <c r="S133" s="77">
        <v>12.5</v>
      </c>
    </row>
    <row r="134" spans="1:19" x14ac:dyDescent="0.2">
      <c r="A134" s="62">
        <v>40179</v>
      </c>
      <c r="B134" s="63">
        <v>1.6615999999999999E-2</v>
      </c>
      <c r="F134" s="148"/>
      <c r="I134">
        <v>1341</v>
      </c>
      <c r="J134">
        <v>0</v>
      </c>
      <c r="K134">
        <f t="shared" ref="K134" si="16">SUM(J123:J134)</f>
        <v>1554</v>
      </c>
      <c r="L134" s="117"/>
      <c r="Q134" s="140">
        <v>40005</v>
      </c>
      <c r="R134" s="77">
        <v>0</v>
      </c>
      <c r="S134" s="77">
        <v>12.6</v>
      </c>
    </row>
    <row r="135" spans="1:19" x14ac:dyDescent="0.2">
      <c r="A135" s="62">
        <v>40148</v>
      </c>
      <c r="B135" s="63">
        <v>2.1027000000000001E-2</v>
      </c>
      <c r="F135" s="148"/>
      <c r="I135">
        <v>1073</v>
      </c>
      <c r="J135">
        <v>0</v>
      </c>
      <c r="L135" s="117"/>
      <c r="Q135" s="140">
        <v>40006</v>
      </c>
      <c r="R135" s="77">
        <v>0.6</v>
      </c>
      <c r="S135" s="77">
        <v>6</v>
      </c>
    </row>
    <row r="136" spans="1:19" x14ac:dyDescent="0.2">
      <c r="A136" s="62">
        <v>40118</v>
      </c>
      <c r="B136" s="63">
        <v>1.7554E-2</v>
      </c>
      <c r="F136" s="148"/>
      <c r="I136">
        <v>476</v>
      </c>
      <c r="J136">
        <v>0</v>
      </c>
      <c r="L136" s="117"/>
      <c r="Q136" s="140">
        <v>40007</v>
      </c>
      <c r="R136" s="77">
        <v>1.4</v>
      </c>
      <c r="S136" s="77">
        <v>9.8000000000000007</v>
      </c>
    </row>
    <row r="137" spans="1:19" x14ac:dyDescent="0.2">
      <c r="A137" s="62">
        <v>40087</v>
      </c>
      <c r="B137" s="63">
        <v>2.2262000000000001E-2</v>
      </c>
      <c r="F137" s="148"/>
      <c r="I137">
        <v>413</v>
      </c>
      <c r="J137">
        <v>0</v>
      </c>
      <c r="L137" s="117"/>
      <c r="Q137" s="140">
        <v>40008</v>
      </c>
      <c r="R137" s="77">
        <v>0</v>
      </c>
      <c r="S137" s="77">
        <v>8.8000000000000007</v>
      </c>
    </row>
    <row r="138" spans="1:19" x14ac:dyDescent="0.2">
      <c r="A138" s="62">
        <v>40057</v>
      </c>
      <c r="B138" s="63">
        <v>2.4475E-2</v>
      </c>
      <c r="C138" s="66">
        <f>+((B138+B142)/2+SUM(B139:B141))/4</f>
        <v>2.3197750000000003E-2</v>
      </c>
      <c r="D138" t="str">
        <f>+"Summer 0"&amp;TEXT(YEAR(A138)-2000,0)</f>
        <v>Summer 09</v>
      </c>
      <c r="F138" s="148"/>
      <c r="I138">
        <v>38</v>
      </c>
      <c r="J138">
        <v>93</v>
      </c>
      <c r="L138" s="117"/>
      <c r="Q138" s="140">
        <v>40009</v>
      </c>
      <c r="R138" s="77">
        <v>0</v>
      </c>
      <c r="S138" s="77">
        <v>11.5</v>
      </c>
    </row>
    <row r="139" spans="1:19" x14ac:dyDescent="0.2">
      <c r="A139" s="62">
        <v>40026</v>
      </c>
      <c r="B139" s="63">
        <v>1.8745999999999999E-2</v>
      </c>
      <c r="C139" s="61"/>
      <c r="F139" s="148"/>
      <c r="I139">
        <v>12</v>
      </c>
      <c r="J139">
        <v>226</v>
      </c>
      <c r="L139" s="117"/>
      <c r="Q139" s="140">
        <v>40010</v>
      </c>
      <c r="R139" s="77">
        <v>0.2</v>
      </c>
      <c r="S139" s="77">
        <v>8.8000000000000007</v>
      </c>
    </row>
    <row r="140" spans="1:19" x14ac:dyDescent="0.2">
      <c r="A140" s="62">
        <v>39995</v>
      </c>
      <c r="B140" s="63">
        <v>2.3789000000000001E-2</v>
      </c>
      <c r="C140" s="61"/>
      <c r="F140" s="148"/>
      <c r="H140">
        <f>SUM(I129:I140)</f>
        <v>5282</v>
      </c>
      <c r="I140">
        <v>0</v>
      </c>
      <c r="J140">
        <v>199</v>
      </c>
      <c r="L140" s="117"/>
      <c r="Q140" s="140">
        <v>40011</v>
      </c>
      <c r="R140" s="77">
        <v>1.2</v>
      </c>
      <c r="S140" s="77">
        <v>3.1</v>
      </c>
    </row>
    <row r="141" spans="1:19" x14ac:dyDescent="0.2">
      <c r="A141" s="62">
        <v>39965</v>
      </c>
      <c r="B141" s="63">
        <v>2.852E-2</v>
      </c>
      <c r="C141" s="61"/>
      <c r="F141" s="148"/>
      <c r="I141">
        <v>9</v>
      </c>
      <c r="J141">
        <v>294</v>
      </c>
      <c r="L141" s="117"/>
      <c r="Q141" s="140">
        <v>40012</v>
      </c>
      <c r="R141" s="77">
        <v>1.6</v>
      </c>
      <c r="S141" s="77">
        <v>1.5</v>
      </c>
    </row>
    <row r="142" spans="1:19" x14ac:dyDescent="0.2">
      <c r="A142" s="62">
        <v>39934</v>
      </c>
      <c r="B142" s="63">
        <v>1.8997E-2</v>
      </c>
      <c r="C142" s="61"/>
      <c r="F142" s="148"/>
      <c r="I142">
        <v>93</v>
      </c>
      <c r="J142">
        <v>80</v>
      </c>
      <c r="L142" s="117"/>
      <c r="Q142" s="140">
        <v>40013</v>
      </c>
      <c r="R142" s="77">
        <v>2.2000000000000002</v>
      </c>
      <c r="S142" s="77">
        <v>3.3</v>
      </c>
    </row>
    <row r="143" spans="1:19" x14ac:dyDescent="0.2">
      <c r="A143" s="62">
        <v>39904</v>
      </c>
      <c r="B143" s="63">
        <v>1.9810999999999999E-2</v>
      </c>
      <c r="C143" s="66">
        <f>+((B142+B150)/2+SUM(B143:B149))/8</f>
        <v>1.4686937499999999E-2</v>
      </c>
      <c r="D143" t="str">
        <f>+"Winter 0"&amp;TEXT(YEAR(A143)-2001,0)&amp;"-0"&amp;TEXT(YEAR(A143)-2000,0)</f>
        <v>Winter 08-09</v>
      </c>
      <c r="F143" s="148"/>
      <c r="I143">
        <v>378</v>
      </c>
      <c r="J143">
        <v>36</v>
      </c>
      <c r="L143" s="117"/>
      <c r="Q143" s="140">
        <v>40014</v>
      </c>
      <c r="R143" s="77">
        <v>3</v>
      </c>
      <c r="S143" s="77">
        <v>6</v>
      </c>
    </row>
    <row r="144" spans="1:19" x14ac:dyDescent="0.2">
      <c r="A144" s="62">
        <v>39873</v>
      </c>
      <c r="B144" s="63">
        <v>1.8107999999999999E-2</v>
      </c>
      <c r="C144" s="67"/>
      <c r="F144" s="148"/>
      <c r="I144">
        <v>599</v>
      </c>
      <c r="J144">
        <v>0</v>
      </c>
      <c r="L144" s="117"/>
      <c r="Q144" s="140">
        <v>40015</v>
      </c>
      <c r="R144" s="77">
        <v>0</v>
      </c>
      <c r="S144" s="77">
        <v>6.6</v>
      </c>
    </row>
    <row r="145" spans="1:19" x14ac:dyDescent="0.2">
      <c r="A145" s="62">
        <v>39845</v>
      </c>
      <c r="B145" s="63">
        <v>1.478E-2</v>
      </c>
      <c r="F145" s="148"/>
      <c r="I145">
        <v>842</v>
      </c>
      <c r="J145">
        <v>0</v>
      </c>
      <c r="L145" s="117"/>
      <c r="Q145" s="140">
        <v>40016</v>
      </c>
      <c r="R145" s="77">
        <v>1.5</v>
      </c>
      <c r="S145" s="77">
        <v>5.8</v>
      </c>
    </row>
    <row r="146" spans="1:19" x14ac:dyDescent="0.2">
      <c r="A146" s="62">
        <v>39814</v>
      </c>
      <c r="B146" s="63">
        <v>8.3459999999999993E-3</v>
      </c>
      <c r="F146" s="148"/>
      <c r="I146">
        <v>1293</v>
      </c>
      <c r="J146">
        <v>0</v>
      </c>
      <c r="K146">
        <f t="shared" ref="K146" si="17">SUM(J135:J146)</f>
        <v>928</v>
      </c>
      <c r="L146" s="117"/>
      <c r="Q146" s="140">
        <v>40017</v>
      </c>
      <c r="R146" s="77">
        <v>1.1000000000000001</v>
      </c>
      <c r="S146" s="77">
        <v>7.2</v>
      </c>
    </row>
    <row r="147" spans="1:19" x14ac:dyDescent="0.2">
      <c r="A147" s="62">
        <v>39783</v>
      </c>
      <c r="B147" s="63">
        <v>1.1105E-2</v>
      </c>
      <c r="F147" s="148"/>
      <c r="I147">
        <v>1122</v>
      </c>
      <c r="J147">
        <v>0</v>
      </c>
      <c r="L147" s="117"/>
      <c r="Q147" s="140">
        <v>40018</v>
      </c>
      <c r="R147" s="77">
        <v>0.9</v>
      </c>
      <c r="S147" s="77">
        <v>11.3</v>
      </c>
    </row>
    <row r="148" spans="1:19" x14ac:dyDescent="0.2">
      <c r="A148" s="62">
        <v>39753</v>
      </c>
      <c r="B148" s="63">
        <v>1.4791E-2</v>
      </c>
      <c r="F148" s="148"/>
      <c r="I148">
        <v>694</v>
      </c>
      <c r="J148">
        <v>0</v>
      </c>
      <c r="L148" s="117"/>
      <c r="Q148" s="140">
        <v>40019</v>
      </c>
      <c r="R148" s="77">
        <v>0</v>
      </c>
      <c r="S148" s="77">
        <v>8.5</v>
      </c>
    </row>
    <row r="149" spans="1:19" x14ac:dyDescent="0.2">
      <c r="A149" s="62">
        <v>39722</v>
      </c>
      <c r="B149" s="63">
        <v>1.2629E-2</v>
      </c>
      <c r="F149" s="148"/>
      <c r="I149">
        <v>316</v>
      </c>
      <c r="J149">
        <v>17</v>
      </c>
      <c r="L149" s="117"/>
      <c r="Q149" s="140">
        <v>40020</v>
      </c>
      <c r="R149" s="77">
        <v>0.5</v>
      </c>
      <c r="S149" s="77">
        <v>7.1</v>
      </c>
    </row>
    <row r="150" spans="1:19" x14ac:dyDescent="0.2">
      <c r="A150" s="62">
        <v>39692</v>
      </c>
      <c r="B150" s="63">
        <v>1.6854000000000001E-2</v>
      </c>
      <c r="C150" s="66">
        <f>+((B150+B154)/2+SUM(B151:B153))/4</f>
        <v>2.2165500000000001E-2</v>
      </c>
      <c r="D150" t="str">
        <f>+"Summer 0"&amp;TEXT(YEAR(A150)-2000,0)</f>
        <v>Summer 08</v>
      </c>
      <c r="F150" s="148"/>
      <c r="I150">
        <v>39</v>
      </c>
      <c r="J150">
        <v>99</v>
      </c>
      <c r="L150" s="117"/>
      <c r="Q150" s="140">
        <v>40021</v>
      </c>
      <c r="R150" s="77">
        <v>0.5</v>
      </c>
      <c r="S150" s="77">
        <v>9.1999999999999993</v>
      </c>
    </row>
    <row r="151" spans="1:19" x14ac:dyDescent="0.2">
      <c r="A151" s="62">
        <v>39661</v>
      </c>
      <c r="B151" s="63">
        <v>2.2119E-2</v>
      </c>
      <c r="C151" s="61"/>
      <c r="F151" s="148"/>
      <c r="I151">
        <v>0</v>
      </c>
      <c r="J151">
        <v>211</v>
      </c>
      <c r="L151" s="117"/>
      <c r="Q151" s="140">
        <v>40022</v>
      </c>
      <c r="R151" s="77">
        <v>0</v>
      </c>
      <c r="S151" s="77">
        <v>8.9</v>
      </c>
    </row>
    <row r="152" spans="1:19" x14ac:dyDescent="0.2">
      <c r="A152" s="62">
        <v>39630</v>
      </c>
      <c r="B152" s="63">
        <v>2.1669000000000001E-2</v>
      </c>
      <c r="C152" s="61"/>
      <c r="F152" s="148"/>
      <c r="H152">
        <f>SUM(I141:I152)</f>
        <v>5385</v>
      </c>
      <c r="I152">
        <v>0</v>
      </c>
      <c r="J152">
        <v>295</v>
      </c>
      <c r="L152" s="117"/>
      <c r="Q152" s="140">
        <v>40023</v>
      </c>
      <c r="R152" s="77">
        <v>0.1</v>
      </c>
      <c r="S152" s="77">
        <v>6.9</v>
      </c>
    </row>
    <row r="153" spans="1:19" x14ac:dyDescent="0.2">
      <c r="A153" s="62">
        <v>39600</v>
      </c>
      <c r="B153" s="63">
        <v>3.3562000000000002E-2</v>
      </c>
      <c r="C153" s="61"/>
      <c r="F153" s="148"/>
      <c r="I153">
        <v>0</v>
      </c>
      <c r="J153">
        <v>280</v>
      </c>
      <c r="L153" s="117"/>
      <c r="Q153" s="140">
        <v>40024</v>
      </c>
      <c r="R153" s="77">
        <v>0.7</v>
      </c>
      <c r="S153" s="77">
        <v>6.7</v>
      </c>
    </row>
    <row r="154" spans="1:19" x14ac:dyDescent="0.2">
      <c r="A154" s="62">
        <v>39569</v>
      </c>
      <c r="B154" s="63">
        <v>5.77E-3</v>
      </c>
      <c r="C154" s="61"/>
      <c r="F154" s="148"/>
      <c r="I154">
        <v>182</v>
      </c>
      <c r="J154">
        <v>41</v>
      </c>
      <c r="L154" s="117"/>
      <c r="Q154" s="140">
        <v>40025</v>
      </c>
      <c r="R154" s="77">
        <v>1</v>
      </c>
      <c r="S154" s="77">
        <v>5.7</v>
      </c>
    </row>
    <row r="155" spans="1:19" x14ac:dyDescent="0.2">
      <c r="A155" s="62">
        <v>39539</v>
      </c>
      <c r="B155" s="63">
        <v>9.8230000000000001E-3</v>
      </c>
      <c r="C155" s="66">
        <f>+((B154+B162)/2+SUM(B155:B161))/8</f>
        <v>1.3381250000000001E-2</v>
      </c>
      <c r="D155" t="str">
        <f>+"Winter 0"&amp;TEXT(YEAR(A155)-2001,0)&amp;"-0"&amp;TEXT(YEAR(A155)-2000,0)</f>
        <v>Winter 07-08</v>
      </c>
      <c r="F155" s="148"/>
      <c r="I155">
        <v>416</v>
      </c>
      <c r="J155">
        <v>7</v>
      </c>
      <c r="L155" s="117"/>
      <c r="Q155" s="140">
        <v>40026</v>
      </c>
      <c r="R155" s="77">
        <v>1.1000000000000001</v>
      </c>
      <c r="S155" s="77">
        <v>3</v>
      </c>
    </row>
    <row r="156" spans="1:19" x14ac:dyDescent="0.2">
      <c r="A156" s="62">
        <v>39508</v>
      </c>
      <c r="B156" s="63">
        <v>8.5450000000000005E-3</v>
      </c>
      <c r="F156" s="148"/>
      <c r="I156">
        <v>759</v>
      </c>
      <c r="J156">
        <v>0</v>
      </c>
      <c r="L156" s="117"/>
      <c r="Q156" s="140">
        <v>40027</v>
      </c>
      <c r="R156" s="77">
        <v>2.4</v>
      </c>
      <c r="S156" s="77">
        <v>5.3</v>
      </c>
    </row>
    <row r="157" spans="1:19" x14ac:dyDescent="0.2">
      <c r="A157" s="62">
        <v>39479</v>
      </c>
      <c r="B157" s="63">
        <v>9.9959999999999997E-3</v>
      </c>
      <c r="F157" s="148"/>
      <c r="I157">
        <v>1105</v>
      </c>
      <c r="J157">
        <v>0</v>
      </c>
      <c r="L157" s="117"/>
      <c r="Q157" s="140">
        <v>40028</v>
      </c>
      <c r="R157" s="77">
        <v>0</v>
      </c>
      <c r="S157" s="77">
        <v>8.3000000000000007</v>
      </c>
    </row>
    <row r="158" spans="1:19" x14ac:dyDescent="0.2">
      <c r="A158" s="62">
        <v>39448</v>
      </c>
      <c r="B158" s="63">
        <v>2.0126000000000002E-2</v>
      </c>
      <c r="F158" s="148"/>
      <c r="I158">
        <v>1124</v>
      </c>
      <c r="J158">
        <v>0</v>
      </c>
      <c r="K158">
        <f t="shared" ref="K158" si="18">SUM(J147:J158)</f>
        <v>950</v>
      </c>
      <c r="L158" s="117"/>
      <c r="Q158" s="140">
        <v>40029</v>
      </c>
      <c r="R158" s="77">
        <v>0</v>
      </c>
      <c r="S158" s="77">
        <v>9.6</v>
      </c>
    </row>
    <row r="159" spans="1:19" x14ac:dyDescent="0.2">
      <c r="A159" s="62">
        <v>39417</v>
      </c>
      <c r="B159" s="63">
        <v>1.5155E-2</v>
      </c>
      <c r="F159" s="148"/>
      <c r="I159">
        <v>1042</v>
      </c>
      <c r="J159">
        <v>0</v>
      </c>
      <c r="L159" s="117"/>
      <c r="Q159" s="140">
        <v>40030</v>
      </c>
      <c r="R159" s="77">
        <v>0</v>
      </c>
      <c r="S159" s="77">
        <v>7.3</v>
      </c>
    </row>
    <row r="160" spans="1:19" x14ac:dyDescent="0.2">
      <c r="A160" s="62">
        <v>39387</v>
      </c>
      <c r="B160" s="63">
        <v>1.5946999999999999E-2</v>
      </c>
      <c r="F160" s="148"/>
      <c r="I160">
        <v>646</v>
      </c>
      <c r="J160">
        <v>0</v>
      </c>
      <c r="L160" s="117"/>
      <c r="Q160" s="140">
        <v>40031</v>
      </c>
      <c r="R160" s="77">
        <v>0.8</v>
      </c>
      <c r="S160" s="77">
        <v>7</v>
      </c>
    </row>
    <row r="161" spans="1:19" x14ac:dyDescent="0.2">
      <c r="A161" s="62">
        <v>39356</v>
      </c>
      <c r="B161" s="63">
        <v>1.8145999999999999E-2</v>
      </c>
      <c r="F161" s="148"/>
      <c r="I161">
        <v>220</v>
      </c>
      <c r="J161">
        <v>78</v>
      </c>
      <c r="L161" s="117"/>
      <c r="Q161" s="140">
        <v>40032</v>
      </c>
      <c r="R161" s="77">
        <v>0.1</v>
      </c>
      <c r="S161" s="77">
        <v>7.7</v>
      </c>
    </row>
    <row r="162" spans="1:19" x14ac:dyDescent="0.2">
      <c r="A162" s="62">
        <v>39326</v>
      </c>
      <c r="B162" s="63">
        <v>1.2854000000000001E-2</v>
      </c>
      <c r="C162" s="66">
        <f>+((B162+B166)/2+SUM(B163:B165))/4</f>
        <v>9.8633750000000006E-3</v>
      </c>
      <c r="D162" t="str">
        <f>+"Summer 0"&amp;TEXT(YEAR(A162)-2000,0)</f>
        <v>Summer 07</v>
      </c>
      <c r="F162" s="148"/>
      <c r="I162">
        <v>30</v>
      </c>
      <c r="J162">
        <v>221</v>
      </c>
      <c r="L162" s="117"/>
      <c r="Q162" s="140">
        <v>40033</v>
      </c>
      <c r="R162" s="77">
        <v>0</v>
      </c>
      <c r="S162" s="77">
        <v>17.399999999999999</v>
      </c>
    </row>
    <row r="163" spans="1:19" x14ac:dyDescent="0.2">
      <c r="A163" s="62">
        <v>39295</v>
      </c>
      <c r="B163" s="63">
        <v>1.0415000000000001E-2</v>
      </c>
      <c r="C163" s="61"/>
      <c r="F163" s="148"/>
      <c r="I163">
        <v>0</v>
      </c>
      <c r="J163">
        <v>451</v>
      </c>
      <c r="L163" s="117"/>
      <c r="Q163" s="140">
        <v>40034</v>
      </c>
      <c r="R163" s="77">
        <v>0</v>
      </c>
      <c r="S163" s="77">
        <v>18.7</v>
      </c>
    </row>
    <row r="164" spans="1:19" x14ac:dyDescent="0.2">
      <c r="A164" s="62">
        <v>39264</v>
      </c>
      <c r="B164" s="63">
        <v>4.9670000000000001E-3</v>
      </c>
      <c r="C164" s="61"/>
      <c r="F164" s="148"/>
      <c r="H164">
        <f>SUM(I153:I164)</f>
        <v>5524</v>
      </c>
      <c r="I164">
        <v>0</v>
      </c>
      <c r="J164">
        <v>256</v>
      </c>
      <c r="L164" s="117"/>
      <c r="Q164" s="140">
        <v>40035</v>
      </c>
      <c r="R164" s="77">
        <v>0</v>
      </c>
      <c r="S164" s="77">
        <v>10.8</v>
      </c>
    </row>
    <row r="165" spans="1:19" x14ac:dyDescent="0.2">
      <c r="A165" s="62">
        <v>39234</v>
      </c>
      <c r="B165" s="63">
        <v>1.4439E-2</v>
      </c>
      <c r="C165" s="61"/>
      <c r="F165" s="148"/>
      <c r="I165">
        <v>0</v>
      </c>
      <c r="J165">
        <v>242</v>
      </c>
      <c r="L165" s="117"/>
      <c r="Q165" s="140">
        <v>40036</v>
      </c>
      <c r="R165" s="77">
        <v>0</v>
      </c>
      <c r="S165" s="77">
        <v>11</v>
      </c>
    </row>
    <row r="166" spans="1:19" x14ac:dyDescent="0.2">
      <c r="A166" s="62">
        <v>39203</v>
      </c>
      <c r="B166" s="63">
        <v>6.411E-3</v>
      </c>
      <c r="C166" s="61"/>
      <c r="F166" s="148"/>
      <c r="I166">
        <v>35</v>
      </c>
      <c r="J166">
        <v>158</v>
      </c>
      <c r="L166" s="117"/>
      <c r="Q166" s="140">
        <v>40037</v>
      </c>
      <c r="R166" s="77">
        <v>0.4</v>
      </c>
      <c r="S166" s="77">
        <v>8.1</v>
      </c>
    </row>
    <row r="167" spans="1:19" x14ac:dyDescent="0.2">
      <c r="A167" s="62">
        <v>39173</v>
      </c>
      <c r="B167" s="63">
        <v>2.643E-3</v>
      </c>
      <c r="C167" s="66">
        <f>+((B166+B174)/2+SUM(B167:B173))/8</f>
        <v>5.1485625000000004E-3</v>
      </c>
      <c r="D167" t="str">
        <f>+"Winter 0"&amp;TEXT(YEAR(A167)-2001,0)&amp;"-0"&amp;TEXT(YEAR(A167)-2000,0)</f>
        <v>Winter 06-07</v>
      </c>
      <c r="F167" s="148"/>
      <c r="I167">
        <v>427</v>
      </c>
      <c r="J167">
        <v>14</v>
      </c>
      <c r="Q167" s="140">
        <v>40038</v>
      </c>
      <c r="R167" s="77">
        <v>1.3</v>
      </c>
      <c r="S167" s="77">
        <v>8.6999999999999993</v>
      </c>
    </row>
    <row r="168" spans="1:19" x14ac:dyDescent="0.2">
      <c r="A168" s="62">
        <v>39142</v>
      </c>
      <c r="B168" s="63">
        <v>5.4819999999999999E-3</v>
      </c>
      <c r="F168" s="148"/>
      <c r="I168">
        <v>484</v>
      </c>
      <c r="J168">
        <v>19</v>
      </c>
      <c r="Q168" s="140">
        <v>40039</v>
      </c>
      <c r="R168" s="77">
        <v>0.3</v>
      </c>
      <c r="S168" s="77">
        <v>10</v>
      </c>
    </row>
    <row r="169" spans="1:19" x14ac:dyDescent="0.2">
      <c r="A169" s="62">
        <v>39114</v>
      </c>
      <c r="B169" s="63">
        <v>3.6389999999999999E-3</v>
      </c>
      <c r="F169" s="148"/>
      <c r="I169">
        <v>1183</v>
      </c>
      <c r="J169">
        <v>0</v>
      </c>
      <c r="Q169" s="140">
        <v>40040</v>
      </c>
      <c r="R169" s="77">
        <v>0</v>
      </c>
      <c r="S169" s="77">
        <v>12.3</v>
      </c>
    </row>
    <row r="170" spans="1:19" x14ac:dyDescent="0.2">
      <c r="A170" s="62">
        <v>39083</v>
      </c>
      <c r="B170" s="63">
        <v>3.2529999999999998E-3</v>
      </c>
      <c r="F170" s="148"/>
      <c r="I170">
        <v>1062</v>
      </c>
      <c r="J170">
        <v>0</v>
      </c>
      <c r="K170">
        <f t="shared" ref="K170" si="19">SUM(J159:J170)</f>
        <v>1439</v>
      </c>
      <c r="Q170" s="140">
        <v>40041</v>
      </c>
      <c r="R170" s="77">
        <v>0</v>
      </c>
      <c r="S170" s="77">
        <v>11.7</v>
      </c>
    </row>
    <row r="171" spans="1:19" x14ac:dyDescent="0.2">
      <c r="A171" s="62">
        <v>39052</v>
      </c>
      <c r="B171" s="63">
        <v>5.3239999999999997E-3</v>
      </c>
      <c r="C171" s="61"/>
      <c r="F171" s="148"/>
      <c r="I171">
        <v>908</v>
      </c>
      <c r="J171">
        <v>0</v>
      </c>
      <c r="Q171" s="140">
        <v>40042</v>
      </c>
      <c r="R171" s="77">
        <v>0</v>
      </c>
      <c r="S171" s="77">
        <v>8</v>
      </c>
    </row>
    <row r="172" spans="1:19" x14ac:dyDescent="0.2">
      <c r="A172" s="62">
        <v>39022</v>
      </c>
      <c r="B172" s="63">
        <v>4.0629999999999998E-3</v>
      </c>
      <c r="C172" s="61"/>
      <c r="F172" s="148"/>
      <c r="I172">
        <v>577</v>
      </c>
      <c r="J172">
        <v>0</v>
      </c>
      <c r="Q172" s="140">
        <v>40043</v>
      </c>
      <c r="R172" s="77">
        <v>0</v>
      </c>
      <c r="S172" s="77">
        <v>8.4</v>
      </c>
    </row>
    <row r="173" spans="1:19" x14ac:dyDescent="0.2">
      <c r="A173" s="62">
        <v>38991</v>
      </c>
      <c r="B173" s="63">
        <v>8.3090000000000004E-3</v>
      </c>
      <c r="C173" s="61"/>
      <c r="F173" s="148"/>
      <c r="I173">
        <v>459</v>
      </c>
      <c r="J173">
        <v>40</v>
      </c>
      <c r="Q173" s="140">
        <v>40044</v>
      </c>
      <c r="R173" s="77">
        <v>0</v>
      </c>
      <c r="S173" s="77">
        <v>9.6</v>
      </c>
    </row>
    <row r="174" spans="1:19" x14ac:dyDescent="0.2">
      <c r="A174" s="62">
        <v>38961</v>
      </c>
      <c r="B174" s="63">
        <v>1.0540000000000001E-2</v>
      </c>
      <c r="C174" s="66">
        <f>+((B174+B178)/2+SUM(B175:B177))/4</f>
        <v>8.8225000000000005E-3</v>
      </c>
      <c r="D174" t="str">
        <f>+"Summer 0"&amp;TEXT(YEAR(A174)-2000,0)</f>
        <v>Summer 06</v>
      </c>
      <c r="F174" s="148"/>
      <c r="I174">
        <v>89</v>
      </c>
      <c r="J174">
        <v>82</v>
      </c>
      <c r="Q174" s="140">
        <v>40045</v>
      </c>
      <c r="R174" s="77">
        <v>0.1</v>
      </c>
      <c r="S174" s="77">
        <v>6.1</v>
      </c>
    </row>
    <row r="175" spans="1:19" x14ac:dyDescent="0.2">
      <c r="A175" s="62">
        <v>38930</v>
      </c>
      <c r="B175" s="63">
        <v>8.3330000000000001E-3</v>
      </c>
      <c r="C175" s="61"/>
      <c r="F175" s="148"/>
      <c r="I175">
        <v>0</v>
      </c>
      <c r="J175">
        <v>313</v>
      </c>
      <c r="Q175" s="140">
        <v>40046</v>
      </c>
      <c r="R175" s="77">
        <v>1.5</v>
      </c>
      <c r="S175" s="77">
        <v>2.9</v>
      </c>
    </row>
    <row r="176" spans="1:19" x14ac:dyDescent="0.2">
      <c r="A176" s="62">
        <v>38899</v>
      </c>
      <c r="B176" s="63">
        <v>1.0333999999999999E-2</v>
      </c>
      <c r="C176" s="61"/>
      <c r="F176" s="148"/>
      <c r="H176">
        <f>SUM(I165:I176)</f>
        <v>5224</v>
      </c>
      <c r="I176">
        <v>0</v>
      </c>
      <c r="J176">
        <v>412</v>
      </c>
      <c r="Q176" s="140">
        <v>40047</v>
      </c>
      <c r="R176" s="77">
        <v>3.2</v>
      </c>
      <c r="S176" s="77">
        <v>2.5</v>
      </c>
    </row>
    <row r="177" spans="1:19" x14ac:dyDescent="0.2">
      <c r="A177" s="62">
        <v>38869</v>
      </c>
      <c r="B177" s="63">
        <v>7.7159999999999998E-3</v>
      </c>
      <c r="C177" s="61"/>
      <c r="F177" s="148"/>
      <c r="I177">
        <v>2</v>
      </c>
      <c r="J177">
        <v>214</v>
      </c>
      <c r="Q177" s="140">
        <v>40048</v>
      </c>
      <c r="R177" s="77">
        <v>4</v>
      </c>
      <c r="S177" s="77">
        <v>4</v>
      </c>
    </row>
    <row r="178" spans="1:19" x14ac:dyDescent="0.2">
      <c r="A178" s="62">
        <v>38838</v>
      </c>
      <c r="B178" s="63">
        <v>7.2740000000000001E-3</v>
      </c>
      <c r="C178" s="61"/>
      <c r="F178" s="148"/>
      <c r="I178">
        <v>137</v>
      </c>
      <c r="J178">
        <v>114</v>
      </c>
      <c r="Q178" s="140">
        <v>40049</v>
      </c>
      <c r="R178" s="77">
        <v>3</v>
      </c>
      <c r="S178" s="77">
        <v>4.7</v>
      </c>
    </row>
    <row r="179" spans="1:19" x14ac:dyDescent="0.2">
      <c r="A179" s="62">
        <v>38808</v>
      </c>
      <c r="B179" s="63">
        <v>3.8059999999999999E-3</v>
      </c>
      <c r="C179" s="66">
        <f>+((B178+B186)/2+SUM(B179:B185))/8</f>
        <v>4.3354999999999999E-3</v>
      </c>
      <c r="D179" t="str">
        <f>+"Winter 0"&amp;TEXT(YEAR(A179)-2001,0)&amp;"-0"&amp;TEXT(YEAR(A179)-2000,0)</f>
        <v>Winter 05-06</v>
      </c>
      <c r="F179" s="148"/>
      <c r="I179">
        <v>224</v>
      </c>
      <c r="J179">
        <v>29</v>
      </c>
      <c r="Q179" s="140">
        <v>40050</v>
      </c>
      <c r="R179" s="77">
        <v>1.1000000000000001</v>
      </c>
      <c r="S179" s="77">
        <v>7</v>
      </c>
    </row>
    <row r="180" spans="1:19" x14ac:dyDescent="0.2">
      <c r="A180" s="62">
        <v>38777</v>
      </c>
      <c r="B180" s="63">
        <v>2.7780000000000001E-3</v>
      </c>
      <c r="C180" s="61"/>
      <c r="F180" s="148"/>
      <c r="I180">
        <v>675</v>
      </c>
      <c r="J180">
        <v>0</v>
      </c>
      <c r="Q180" s="140">
        <v>40051</v>
      </c>
      <c r="R180" s="77">
        <v>0.1</v>
      </c>
      <c r="S180" s="77">
        <v>9</v>
      </c>
    </row>
    <row r="181" spans="1:19" x14ac:dyDescent="0.2">
      <c r="A181" s="62">
        <v>38749</v>
      </c>
      <c r="B181" s="63">
        <v>2.5460000000000001E-3</v>
      </c>
      <c r="C181" s="61"/>
      <c r="F181" s="148"/>
      <c r="I181">
        <v>938</v>
      </c>
      <c r="J181">
        <v>0</v>
      </c>
      <c r="Q181" s="140">
        <v>40052</v>
      </c>
      <c r="R181" s="77">
        <v>0</v>
      </c>
      <c r="S181" s="77">
        <v>12.6</v>
      </c>
    </row>
    <row r="182" spans="1:19" x14ac:dyDescent="0.2">
      <c r="A182" s="62">
        <v>38718</v>
      </c>
      <c r="B182" s="63">
        <v>3.2859999999999999E-3</v>
      </c>
      <c r="C182" s="61"/>
      <c r="F182" s="148"/>
      <c r="I182">
        <v>796</v>
      </c>
      <c r="J182">
        <v>0</v>
      </c>
      <c r="K182">
        <f t="shared" ref="K182" si="20">SUM(J171:J182)</f>
        <v>1204</v>
      </c>
      <c r="Q182" s="140">
        <v>40053</v>
      </c>
      <c r="R182" s="77">
        <v>0</v>
      </c>
      <c r="S182" s="77">
        <v>4.5999999999999996</v>
      </c>
    </row>
    <row r="183" spans="1:19" x14ac:dyDescent="0.2">
      <c r="A183" s="62">
        <v>38687</v>
      </c>
      <c r="B183" s="63">
        <v>8.7259999999999994E-3</v>
      </c>
      <c r="C183" s="61"/>
      <c r="F183" s="148"/>
      <c r="I183">
        <v>1185</v>
      </c>
      <c r="J183">
        <v>0</v>
      </c>
      <c r="Q183" s="140">
        <v>40054</v>
      </c>
      <c r="R183" s="77">
        <v>2.4</v>
      </c>
      <c r="S183" s="77">
        <v>2.5</v>
      </c>
    </row>
    <row r="184" spans="1:19" x14ac:dyDescent="0.2">
      <c r="A184" s="62">
        <v>38657</v>
      </c>
      <c r="B184" s="63">
        <v>3.9329999999999999E-3</v>
      </c>
      <c r="C184" s="61"/>
      <c r="F184" s="148"/>
      <c r="I184">
        <v>592</v>
      </c>
      <c r="J184">
        <v>1</v>
      </c>
      <c r="Q184" s="140">
        <v>40055</v>
      </c>
      <c r="R184" s="77">
        <v>6.5</v>
      </c>
      <c r="S184" s="77">
        <v>0</v>
      </c>
    </row>
    <row r="185" spans="1:19" x14ac:dyDescent="0.2">
      <c r="A185" s="62">
        <v>38626</v>
      </c>
      <c r="B185" s="63">
        <v>4.0369999999999998E-3</v>
      </c>
      <c r="C185" s="61"/>
      <c r="F185" s="148"/>
      <c r="I185">
        <v>310</v>
      </c>
      <c r="J185">
        <v>48</v>
      </c>
      <c r="Q185" s="140">
        <v>40056</v>
      </c>
      <c r="R185" s="77">
        <v>6.6</v>
      </c>
      <c r="S185" s="77">
        <v>1.3</v>
      </c>
    </row>
    <row r="186" spans="1:19" x14ac:dyDescent="0.2">
      <c r="A186" s="62">
        <v>38596</v>
      </c>
      <c r="B186" s="63">
        <v>3.8700000000000002E-3</v>
      </c>
      <c r="C186" s="66">
        <f>+((B186+B190)/2+SUM(B187:B189))/4</f>
        <v>3.92275E-3</v>
      </c>
      <c r="D186" t="str">
        <f>+"Summer 0"&amp;TEXT(YEAR(A186)-2000,0)</f>
        <v>Summer 05</v>
      </c>
      <c r="F186" s="148"/>
      <c r="I186">
        <v>35</v>
      </c>
      <c r="J186">
        <v>231</v>
      </c>
      <c r="Q186" s="140">
        <v>40057</v>
      </c>
      <c r="R186" s="77">
        <v>6.6</v>
      </c>
      <c r="S186" s="77">
        <v>2.4</v>
      </c>
    </row>
    <row r="187" spans="1:19" x14ac:dyDescent="0.2">
      <c r="A187" s="62">
        <v>38565</v>
      </c>
      <c r="B187" s="63">
        <v>4.4869999999999997E-3</v>
      </c>
      <c r="C187" s="61"/>
      <c r="F187" s="148"/>
      <c r="I187">
        <v>0</v>
      </c>
      <c r="J187">
        <v>366</v>
      </c>
      <c r="Q187" s="140">
        <v>40058</v>
      </c>
      <c r="R187" s="77">
        <v>6.3</v>
      </c>
      <c r="S187" s="77">
        <v>3.3</v>
      </c>
    </row>
    <row r="188" spans="1:19" x14ac:dyDescent="0.2">
      <c r="A188" s="62">
        <v>38534</v>
      </c>
      <c r="B188" s="63">
        <v>-3.3199999999999999E-4</v>
      </c>
      <c r="C188" s="61"/>
      <c r="F188" s="148"/>
      <c r="H188">
        <f>SUM(I177:I188)</f>
        <v>4894</v>
      </c>
      <c r="I188">
        <v>0</v>
      </c>
      <c r="J188">
        <v>371</v>
      </c>
      <c r="Q188" s="140">
        <v>40059</v>
      </c>
      <c r="R188" s="77">
        <v>3.6</v>
      </c>
      <c r="S188" s="77">
        <v>5.0999999999999996</v>
      </c>
    </row>
    <row r="189" spans="1:19" x14ac:dyDescent="0.2">
      <c r="A189" s="62">
        <v>38504</v>
      </c>
      <c r="B189" s="63">
        <v>7.3899999999999999E-3</v>
      </c>
      <c r="C189" s="61"/>
      <c r="F189" s="148"/>
      <c r="I189">
        <v>0</v>
      </c>
      <c r="J189">
        <v>320</v>
      </c>
      <c r="Q189" s="140">
        <v>40060</v>
      </c>
      <c r="R189" s="77">
        <v>1.2</v>
      </c>
      <c r="S189" s="77">
        <v>5.7</v>
      </c>
    </row>
    <row r="190" spans="1:19" x14ac:dyDescent="0.2">
      <c r="A190" s="62">
        <v>38473</v>
      </c>
      <c r="B190" s="63">
        <v>4.4219999999999997E-3</v>
      </c>
      <c r="C190" s="61"/>
      <c r="F190" s="148"/>
      <c r="I190">
        <v>140</v>
      </c>
      <c r="J190">
        <v>74</v>
      </c>
      <c r="Q190" s="140">
        <v>40061</v>
      </c>
      <c r="R190" s="77">
        <v>0.5</v>
      </c>
      <c r="S190" s="77">
        <v>1.6</v>
      </c>
    </row>
    <row r="191" spans="1:19" x14ac:dyDescent="0.2">
      <c r="A191" s="62">
        <v>38443</v>
      </c>
      <c r="B191" s="63">
        <v>1.6590000000000001E-3</v>
      </c>
      <c r="C191" s="66">
        <f>+((B190+B198)/2+SUM(B191:B197))/8</f>
        <v>1.7032187499999999E-3</v>
      </c>
      <c r="D191" t="str">
        <f>+"Winter 0"&amp;TEXT(YEAR(A191)-2001,0)&amp;"-0"&amp;TEXT(YEAR(A191)-2000,0)</f>
        <v>Winter 04-05</v>
      </c>
      <c r="F191" s="148"/>
      <c r="I191">
        <v>268</v>
      </c>
      <c r="J191">
        <v>21</v>
      </c>
      <c r="Q191" s="140">
        <v>40062</v>
      </c>
      <c r="R191" s="77">
        <v>0.1</v>
      </c>
      <c r="S191" s="77">
        <v>4.3</v>
      </c>
    </row>
    <row r="192" spans="1:19" x14ac:dyDescent="0.2">
      <c r="A192" s="62">
        <v>38412</v>
      </c>
      <c r="B192" s="63">
        <v>3.7100000000000002E-4</v>
      </c>
      <c r="F192" s="148"/>
      <c r="I192">
        <v>751</v>
      </c>
      <c r="J192">
        <v>0</v>
      </c>
      <c r="Q192" s="140">
        <v>40063</v>
      </c>
      <c r="R192" s="77">
        <v>0.8</v>
      </c>
      <c r="S192" s="77">
        <v>5.6</v>
      </c>
    </row>
    <row r="193" spans="1:19" x14ac:dyDescent="0.2">
      <c r="A193" s="62">
        <v>38384</v>
      </c>
      <c r="B193" s="63">
        <v>9.2800000000000001E-4</v>
      </c>
      <c r="F193" s="148"/>
      <c r="I193">
        <v>785</v>
      </c>
      <c r="J193">
        <v>0</v>
      </c>
      <c r="Q193" s="140">
        <v>40064</v>
      </c>
      <c r="R193" s="77">
        <v>1.5</v>
      </c>
      <c r="S193" s="77">
        <v>5.5</v>
      </c>
    </row>
    <row r="194" spans="1:19" x14ac:dyDescent="0.2">
      <c r="A194" s="62">
        <v>38353</v>
      </c>
      <c r="B194" s="63">
        <v>1.1559999999999999E-3</v>
      </c>
      <c r="F194" s="148"/>
      <c r="I194">
        <v>1106</v>
      </c>
      <c r="J194">
        <v>0</v>
      </c>
      <c r="K194">
        <f t="shared" ref="K194" si="21">SUM(J183:J194)</f>
        <v>1432</v>
      </c>
      <c r="Q194" s="140">
        <v>40065</v>
      </c>
      <c r="R194" s="77">
        <v>1.5</v>
      </c>
      <c r="S194" s="77">
        <v>4.2</v>
      </c>
    </row>
    <row r="195" spans="1:19" x14ac:dyDescent="0.2">
      <c r="A195" s="62">
        <v>38322</v>
      </c>
      <c r="B195" s="63">
        <v>3.441E-3</v>
      </c>
      <c r="F195" s="148"/>
      <c r="I195">
        <v>979</v>
      </c>
      <c r="J195">
        <v>0</v>
      </c>
      <c r="Q195" s="140">
        <v>40066</v>
      </c>
      <c r="R195" s="77">
        <v>0.9</v>
      </c>
      <c r="S195" s="77">
        <v>5.3</v>
      </c>
    </row>
    <row r="196" spans="1:19" x14ac:dyDescent="0.2">
      <c r="A196" s="62">
        <v>38292</v>
      </c>
      <c r="B196" s="63">
        <v>7.0899999999999999E-4</v>
      </c>
      <c r="F196" s="148"/>
      <c r="I196">
        <v>572</v>
      </c>
      <c r="J196">
        <v>0</v>
      </c>
      <c r="Q196" s="140">
        <v>40067</v>
      </c>
      <c r="R196" s="77">
        <v>1.3</v>
      </c>
      <c r="S196" s="77">
        <v>6.2</v>
      </c>
    </row>
    <row r="197" spans="1:19" x14ac:dyDescent="0.2">
      <c r="A197" s="62">
        <v>38261</v>
      </c>
      <c r="B197" s="63">
        <v>2.2539999999999999E-3</v>
      </c>
      <c r="F197" s="148"/>
      <c r="I197">
        <v>296</v>
      </c>
      <c r="J197">
        <v>9</v>
      </c>
      <c r="Q197" s="140">
        <v>40068</v>
      </c>
      <c r="R197" s="77">
        <v>2</v>
      </c>
      <c r="S197" s="77">
        <v>5.8</v>
      </c>
    </row>
    <row r="198" spans="1:19" x14ac:dyDescent="0.2">
      <c r="A198" s="62">
        <v>38231</v>
      </c>
      <c r="B198" s="63">
        <v>1.7935E-3</v>
      </c>
      <c r="C198" s="66">
        <f>+((B198+B202)/2+SUM(B199:B201))/4</f>
        <v>2.0404374999999997E-3</v>
      </c>
      <c r="D198" t="str">
        <f>+"Summer 0"&amp;TEXT(YEAR(A198)-2000,0)</f>
        <v>Summer 04</v>
      </c>
      <c r="F198" s="148"/>
      <c r="I198">
        <v>29</v>
      </c>
      <c r="J198">
        <v>133</v>
      </c>
      <c r="Q198" s="140">
        <v>40069</v>
      </c>
      <c r="R198" s="77">
        <v>2.8</v>
      </c>
      <c r="S198" s="77">
        <v>4.4000000000000004</v>
      </c>
    </row>
    <row r="199" spans="1:19" x14ac:dyDescent="0.2">
      <c r="A199" s="62">
        <v>38200</v>
      </c>
      <c r="B199" s="63">
        <v>2.1175E-3</v>
      </c>
      <c r="C199" s="61"/>
      <c r="F199" s="148"/>
      <c r="I199">
        <v>33</v>
      </c>
      <c r="J199">
        <v>157</v>
      </c>
      <c r="Q199" s="140">
        <v>40070</v>
      </c>
      <c r="R199" s="77">
        <v>4.5</v>
      </c>
      <c r="S199" s="77">
        <v>5.3</v>
      </c>
    </row>
    <row r="200" spans="1:19" x14ac:dyDescent="0.2">
      <c r="A200" s="62">
        <v>38169</v>
      </c>
      <c r="B200" s="63">
        <v>1.4450000000000001E-3</v>
      </c>
      <c r="C200" s="61"/>
      <c r="F200" s="148"/>
      <c r="H200">
        <f>SUM(I189:I200)</f>
        <v>4959</v>
      </c>
      <c r="I200">
        <v>0</v>
      </c>
      <c r="J200">
        <v>257</v>
      </c>
      <c r="Q200" s="140">
        <v>40071</v>
      </c>
      <c r="R200" s="77">
        <v>2.7</v>
      </c>
      <c r="S200" s="77">
        <v>6.9</v>
      </c>
    </row>
    <row r="201" spans="1:19" x14ac:dyDescent="0.2">
      <c r="A201" s="62">
        <v>38139</v>
      </c>
      <c r="B201" s="63">
        <v>4.2810000000000001E-3</v>
      </c>
      <c r="C201" s="61"/>
      <c r="F201" s="148"/>
      <c r="I201">
        <v>20</v>
      </c>
      <c r="J201">
        <v>161</v>
      </c>
      <c r="Q201" s="140">
        <v>40072</v>
      </c>
      <c r="R201" s="77">
        <v>1.6</v>
      </c>
      <c r="S201" s="77">
        <v>5.9</v>
      </c>
    </row>
    <row r="202" spans="1:19" x14ac:dyDescent="0.2">
      <c r="A202" s="62">
        <v>38108</v>
      </c>
      <c r="B202" s="63">
        <v>-1.157E-3</v>
      </c>
      <c r="C202" s="61"/>
      <c r="F202" s="148"/>
      <c r="I202">
        <v>93</v>
      </c>
      <c r="J202">
        <v>165</v>
      </c>
      <c r="Q202" s="140">
        <v>40073</v>
      </c>
      <c r="R202" s="77">
        <v>5</v>
      </c>
      <c r="S202" s="77">
        <v>3.2</v>
      </c>
    </row>
    <row r="203" spans="1:19" x14ac:dyDescent="0.2">
      <c r="A203" s="62">
        <v>38078</v>
      </c>
      <c r="B203" s="63">
        <v>1.5449999999999999E-3</v>
      </c>
      <c r="C203" s="66">
        <f>+((B202+B210)/2+SUM(B203:B209))/8</f>
        <v>8.4199999999999998E-4</v>
      </c>
      <c r="D203" t="str">
        <f>+"Winter 0"&amp;TEXT(YEAR(A203)-2001,0)&amp;"-0"&amp;TEXT(YEAR(A203)-2000,0)</f>
        <v>Winter 03-04</v>
      </c>
      <c r="F203" s="148"/>
      <c r="I203">
        <v>313</v>
      </c>
      <c r="J203">
        <v>28</v>
      </c>
      <c r="Q203" s="140">
        <v>40074</v>
      </c>
      <c r="R203" s="77">
        <v>7.4</v>
      </c>
      <c r="S203" s="77">
        <v>3.6</v>
      </c>
    </row>
    <row r="204" spans="1:19" x14ac:dyDescent="0.2">
      <c r="A204" s="62">
        <v>38047</v>
      </c>
      <c r="B204" s="63">
        <v>2.9700000000000001E-4</v>
      </c>
      <c r="F204" s="148"/>
      <c r="I204">
        <v>604</v>
      </c>
      <c r="J204">
        <v>0</v>
      </c>
      <c r="Q204" s="140">
        <v>40075</v>
      </c>
      <c r="R204" s="77">
        <v>3.3</v>
      </c>
      <c r="S204" s="77">
        <v>5.2</v>
      </c>
    </row>
    <row r="205" spans="1:19" x14ac:dyDescent="0.2">
      <c r="A205" s="62">
        <v>38018</v>
      </c>
      <c r="B205" s="63">
        <v>6.4899999999999995E-4</v>
      </c>
      <c r="F205" s="148"/>
      <c r="I205">
        <v>973</v>
      </c>
      <c r="J205">
        <v>0</v>
      </c>
      <c r="Q205" s="140">
        <v>40076</v>
      </c>
      <c r="R205" s="77">
        <v>2.5</v>
      </c>
      <c r="S205" s="77">
        <v>0</v>
      </c>
    </row>
    <row r="206" spans="1:19" x14ac:dyDescent="0.2">
      <c r="A206" s="62">
        <v>37987</v>
      </c>
      <c r="B206" s="63">
        <v>5.4000000000000001E-4</v>
      </c>
      <c r="F206" s="148"/>
      <c r="I206">
        <v>1241</v>
      </c>
      <c r="J206">
        <v>0</v>
      </c>
      <c r="K206">
        <f t="shared" ref="K206" si="22">SUM(J195:J206)</f>
        <v>910</v>
      </c>
      <c r="Q206" s="140">
        <v>40077</v>
      </c>
      <c r="R206" s="77">
        <v>0.8</v>
      </c>
      <c r="S206" s="77">
        <v>4.2</v>
      </c>
    </row>
    <row r="207" spans="1:19" x14ac:dyDescent="0.2">
      <c r="A207" s="62">
        <v>37956</v>
      </c>
      <c r="B207" s="63">
        <v>1.939E-3</v>
      </c>
      <c r="F207" s="148"/>
      <c r="I207">
        <v>932</v>
      </c>
      <c r="J207">
        <v>0</v>
      </c>
      <c r="Q207" s="140">
        <v>40078</v>
      </c>
      <c r="R207" s="77">
        <v>0</v>
      </c>
      <c r="S207" s="77">
        <v>7.4</v>
      </c>
    </row>
    <row r="208" spans="1:19" x14ac:dyDescent="0.2">
      <c r="A208" s="62">
        <v>37926</v>
      </c>
      <c r="B208" s="63">
        <v>8.2200000000000003E-4</v>
      </c>
      <c r="F208" s="148"/>
      <c r="I208">
        <v>599</v>
      </c>
      <c r="J208">
        <v>1</v>
      </c>
      <c r="Q208" s="140">
        <v>40079</v>
      </c>
      <c r="R208" s="77">
        <v>0.3</v>
      </c>
      <c r="S208" s="77">
        <v>5.5</v>
      </c>
    </row>
    <row r="209" spans="1:19" x14ac:dyDescent="0.2">
      <c r="A209" s="62">
        <v>37895</v>
      </c>
      <c r="B209" s="63">
        <v>3.8699999999999997E-4</v>
      </c>
      <c r="F209" s="148"/>
      <c r="I209">
        <v>315</v>
      </c>
      <c r="J209">
        <v>8</v>
      </c>
      <c r="Q209" s="140">
        <v>40080</v>
      </c>
      <c r="R209" s="77">
        <v>0</v>
      </c>
      <c r="S209" s="77">
        <v>3.8</v>
      </c>
    </row>
    <row r="210" spans="1:19" x14ac:dyDescent="0.2">
      <c r="A210" s="62">
        <v>37865</v>
      </c>
      <c r="B210" s="63">
        <v>2.271E-3</v>
      </c>
      <c r="C210" s="66">
        <f>+((B210+B214)/2+SUM(B211:B213))/4</f>
        <v>5.1006250000000001E-3</v>
      </c>
      <c r="D210" t="str">
        <f>+"Summer 0"&amp;TEXT(YEAR(A210)-2000,0)</f>
        <v>Summer 03</v>
      </c>
      <c r="F210" s="148"/>
      <c r="I210">
        <v>113</v>
      </c>
      <c r="J210">
        <v>57</v>
      </c>
      <c r="Q210" s="140">
        <v>40081</v>
      </c>
      <c r="R210" s="77">
        <v>1.1000000000000001</v>
      </c>
      <c r="S210" s="77">
        <v>3.5</v>
      </c>
    </row>
    <row r="211" spans="1:19" x14ac:dyDescent="0.2">
      <c r="A211" s="62">
        <v>37834</v>
      </c>
      <c r="B211" s="63">
        <v>2.8509999999999998E-3</v>
      </c>
      <c r="C211" s="61"/>
      <c r="F211" s="148"/>
      <c r="I211">
        <v>0</v>
      </c>
      <c r="J211">
        <v>327</v>
      </c>
      <c r="Q211" s="140">
        <v>40082</v>
      </c>
      <c r="R211" s="77">
        <v>5.9</v>
      </c>
      <c r="S211" s="77">
        <v>0.1</v>
      </c>
    </row>
    <row r="212" spans="1:19" x14ac:dyDescent="0.2">
      <c r="A212" s="62">
        <v>37803</v>
      </c>
      <c r="B212" s="63">
        <v>7.4729999999999996E-3</v>
      </c>
      <c r="C212" s="61"/>
      <c r="F212" s="148"/>
      <c r="H212">
        <f>SUM(I201:I212)</f>
        <v>5203</v>
      </c>
      <c r="I212">
        <v>0</v>
      </c>
      <c r="J212">
        <v>318</v>
      </c>
      <c r="Q212" s="140">
        <v>40083</v>
      </c>
      <c r="R212" s="77">
        <v>4.7</v>
      </c>
      <c r="S212" s="77">
        <v>5.0999999999999996</v>
      </c>
    </row>
    <row r="213" spans="1:19" x14ac:dyDescent="0.2">
      <c r="A213" s="62">
        <v>37773</v>
      </c>
      <c r="B213" s="63">
        <v>7.927E-3</v>
      </c>
      <c r="C213" s="61"/>
      <c r="F213" s="148"/>
      <c r="I213">
        <v>44</v>
      </c>
      <c r="J213">
        <v>156</v>
      </c>
      <c r="Q213" s="140">
        <v>40084</v>
      </c>
      <c r="R213" s="77">
        <v>6</v>
      </c>
      <c r="S213" s="77">
        <v>0.1</v>
      </c>
    </row>
    <row r="214" spans="1:19" x14ac:dyDescent="0.2">
      <c r="A214" s="62">
        <v>37742</v>
      </c>
      <c r="B214" s="63">
        <v>2.032E-3</v>
      </c>
      <c r="C214" s="61"/>
      <c r="F214" s="148"/>
      <c r="I214">
        <v>134</v>
      </c>
      <c r="J214">
        <v>29</v>
      </c>
      <c r="Q214" s="140">
        <v>40085</v>
      </c>
      <c r="R214" s="77">
        <v>10.1</v>
      </c>
      <c r="S214" s="77">
        <v>0</v>
      </c>
    </row>
    <row r="215" spans="1:19" x14ac:dyDescent="0.2">
      <c r="A215" s="62">
        <v>37712</v>
      </c>
      <c r="B215" s="63">
        <v>1.108E-3</v>
      </c>
      <c r="C215" s="66">
        <f>+((B214+B222)/2+SUM(B215:B221))/8</f>
        <v>5.2393749999999999E-4</v>
      </c>
      <c r="D215" t="str">
        <f>+"Winter 0"&amp;TEXT(YEAR(A215)-2001,0)&amp;"-0"&amp;TEXT(YEAR(A215)-2000,0)</f>
        <v>Winter 02-03</v>
      </c>
      <c r="F215" s="148"/>
      <c r="I215">
        <v>336</v>
      </c>
      <c r="J215">
        <v>20</v>
      </c>
      <c r="Q215" s="140">
        <v>40086</v>
      </c>
      <c r="R215" s="77">
        <v>10.7</v>
      </c>
      <c r="S215" s="77">
        <v>0.2</v>
      </c>
    </row>
    <row r="216" spans="1:19" x14ac:dyDescent="0.2">
      <c r="A216" s="62">
        <v>37681</v>
      </c>
      <c r="B216" s="63">
        <v>2.4970000000000001E-3</v>
      </c>
      <c r="F216" s="148"/>
      <c r="I216">
        <v>675</v>
      </c>
      <c r="J216">
        <v>0</v>
      </c>
      <c r="Q216" s="140">
        <v>40087</v>
      </c>
      <c r="R216" s="77">
        <v>7.2</v>
      </c>
      <c r="S216" s="77">
        <v>0</v>
      </c>
    </row>
    <row r="217" spans="1:19" x14ac:dyDescent="0.2">
      <c r="A217" s="62">
        <v>37653</v>
      </c>
      <c r="B217" s="63">
        <v>-1.8599999999999999E-4</v>
      </c>
      <c r="F217" s="148"/>
      <c r="I217">
        <v>1082</v>
      </c>
      <c r="J217">
        <v>0</v>
      </c>
      <c r="Q217" s="140">
        <v>40088</v>
      </c>
      <c r="R217" s="77">
        <v>11.1</v>
      </c>
      <c r="S217" s="77">
        <v>0</v>
      </c>
    </row>
    <row r="218" spans="1:19" x14ac:dyDescent="0.2">
      <c r="A218" s="62">
        <v>37622</v>
      </c>
      <c r="B218" s="63">
        <v>-4.2200000000000001E-4</v>
      </c>
      <c r="F218" s="148"/>
      <c r="I218">
        <v>1321</v>
      </c>
      <c r="J218">
        <v>0</v>
      </c>
      <c r="K218">
        <f t="shared" ref="K218" si="23">SUM(J207:J218)</f>
        <v>916</v>
      </c>
      <c r="Q218" s="140">
        <v>40089</v>
      </c>
      <c r="R218" s="77">
        <v>12.8</v>
      </c>
      <c r="S218" s="77">
        <v>0</v>
      </c>
    </row>
    <row r="219" spans="1:19" x14ac:dyDescent="0.2">
      <c r="A219" s="62">
        <v>37591</v>
      </c>
      <c r="B219" s="63">
        <v>4.8200000000000001E-4</v>
      </c>
      <c r="F219" s="148"/>
      <c r="I219">
        <v>980</v>
      </c>
      <c r="J219">
        <v>0</v>
      </c>
      <c r="Q219" s="140">
        <v>40090</v>
      </c>
      <c r="R219" s="77">
        <v>14.6</v>
      </c>
      <c r="S219" s="77">
        <v>0</v>
      </c>
    </row>
    <row r="220" spans="1:19" x14ac:dyDescent="0.2">
      <c r="A220" s="62">
        <v>37561</v>
      </c>
      <c r="B220" s="63">
        <v>-3.01E-4</v>
      </c>
      <c r="F220" s="148"/>
      <c r="I220">
        <v>751</v>
      </c>
      <c r="J220">
        <v>0</v>
      </c>
      <c r="Q220" s="140">
        <v>40091</v>
      </c>
      <c r="R220" s="77">
        <v>12.7</v>
      </c>
      <c r="S220" s="77">
        <v>0.3</v>
      </c>
    </row>
    <row r="221" spans="1:19" x14ac:dyDescent="0.2">
      <c r="A221" s="62">
        <v>37530</v>
      </c>
      <c r="B221" s="63">
        <v>-1.7E-5</v>
      </c>
      <c r="F221" s="148"/>
      <c r="I221">
        <v>443</v>
      </c>
      <c r="J221">
        <v>34</v>
      </c>
      <c r="Q221" s="140">
        <v>40092</v>
      </c>
      <c r="R221" s="77">
        <v>6</v>
      </c>
      <c r="S221" s="77">
        <v>0.7</v>
      </c>
    </row>
    <row r="222" spans="1:19" x14ac:dyDescent="0.2">
      <c r="A222" s="62">
        <v>37500</v>
      </c>
      <c r="B222" s="63">
        <v>2.9E-5</v>
      </c>
      <c r="C222" s="66">
        <f>+((B222+B226)/2+SUM(B223:B225))/4</f>
        <v>3.4597500000000002E-3</v>
      </c>
      <c r="D222" t="str">
        <f>+"Summer 0"&amp;TEXT(YEAR(A222)-2000,0)</f>
        <v>Summer 02</v>
      </c>
      <c r="F222" s="148"/>
      <c r="I222">
        <v>36</v>
      </c>
      <c r="J222">
        <v>162</v>
      </c>
      <c r="Q222" s="140">
        <v>40093</v>
      </c>
      <c r="R222" s="77">
        <v>10.9</v>
      </c>
      <c r="S222" s="77">
        <v>0</v>
      </c>
    </row>
    <row r="223" spans="1:19" x14ac:dyDescent="0.2">
      <c r="A223" s="62">
        <v>37469</v>
      </c>
      <c r="B223" s="63">
        <v>7.3999999999999999E-4</v>
      </c>
      <c r="F223" s="148"/>
      <c r="I223">
        <v>0</v>
      </c>
      <c r="J223">
        <v>321</v>
      </c>
      <c r="Q223" s="140">
        <v>40094</v>
      </c>
      <c r="R223" s="77">
        <v>10.7</v>
      </c>
      <c r="S223" s="77">
        <v>0</v>
      </c>
    </row>
    <row r="224" spans="1:19" x14ac:dyDescent="0.2">
      <c r="A224" s="62">
        <v>37438</v>
      </c>
      <c r="B224" s="63">
        <v>3.9960000000000004E-3</v>
      </c>
      <c r="F224" s="148"/>
      <c r="H224">
        <f>SUM(I213:I224)</f>
        <v>5802</v>
      </c>
      <c r="I224">
        <v>0</v>
      </c>
      <c r="J224">
        <v>413</v>
      </c>
      <c r="Q224" s="140">
        <v>40095</v>
      </c>
      <c r="R224" s="77">
        <v>16.2</v>
      </c>
      <c r="S224" s="77">
        <v>0</v>
      </c>
    </row>
    <row r="225" spans="1:19" x14ac:dyDescent="0.2">
      <c r="A225" s="62">
        <v>37408</v>
      </c>
      <c r="B225" s="63">
        <v>5.8209999999999998E-3</v>
      </c>
      <c r="F225" s="148"/>
      <c r="I225">
        <v>1</v>
      </c>
      <c r="J225">
        <v>301</v>
      </c>
      <c r="Q225" s="140">
        <v>40096</v>
      </c>
      <c r="R225" s="77">
        <v>23</v>
      </c>
      <c r="S225" s="77">
        <v>0</v>
      </c>
    </row>
    <row r="226" spans="1:19" x14ac:dyDescent="0.2">
      <c r="A226" s="62">
        <v>37377</v>
      </c>
      <c r="B226" s="63">
        <v>6.535E-3</v>
      </c>
      <c r="F226" s="148"/>
      <c r="I226">
        <v>197</v>
      </c>
      <c r="J226">
        <v>51</v>
      </c>
      <c r="Q226" s="140">
        <v>40097</v>
      </c>
      <c r="R226" s="77">
        <v>23.2</v>
      </c>
      <c r="S226" s="77">
        <v>0</v>
      </c>
    </row>
    <row r="227" spans="1:19" x14ac:dyDescent="0.2">
      <c r="A227" s="62">
        <v>37347</v>
      </c>
      <c r="B227" s="63">
        <v>1.4679999999999999E-3</v>
      </c>
      <c r="F227" s="148"/>
      <c r="I227">
        <v>357</v>
      </c>
      <c r="J227">
        <v>50</v>
      </c>
      <c r="Q227" s="140">
        <v>40098</v>
      </c>
      <c r="R227" s="77">
        <v>19.100000000000001</v>
      </c>
      <c r="S227" s="77">
        <v>0</v>
      </c>
    </row>
    <row r="228" spans="1:19" x14ac:dyDescent="0.2">
      <c r="A228" s="62">
        <v>37316</v>
      </c>
      <c r="B228" s="63">
        <v>-1.8200000000000001E-4</v>
      </c>
      <c r="F228" s="148"/>
      <c r="I228">
        <v>820</v>
      </c>
      <c r="J228">
        <v>0</v>
      </c>
      <c r="Q228" s="140">
        <v>40099</v>
      </c>
      <c r="R228" s="77">
        <v>18.8</v>
      </c>
      <c r="S228" s="77">
        <v>0</v>
      </c>
    </row>
    <row r="229" spans="1:19" x14ac:dyDescent="0.2">
      <c r="A229" s="62">
        <v>37288</v>
      </c>
      <c r="B229" s="63">
        <v>-4.86E-4</v>
      </c>
      <c r="F229" s="148"/>
      <c r="I229">
        <v>829</v>
      </c>
      <c r="J229">
        <v>0</v>
      </c>
      <c r="Q229" s="140">
        <v>40100</v>
      </c>
      <c r="R229" s="77">
        <v>20.5</v>
      </c>
      <c r="S229" s="77">
        <v>0</v>
      </c>
    </row>
    <row r="230" spans="1:19" x14ac:dyDescent="0.2">
      <c r="C230"/>
      <c r="F230" s="148"/>
      <c r="H230" s="215" t="s">
        <v>253</v>
      </c>
      <c r="I230">
        <v>954</v>
      </c>
      <c r="J230">
        <v>0</v>
      </c>
      <c r="K230">
        <f t="shared" ref="K230" si="24">SUM(J219:J230)</f>
        <v>1332</v>
      </c>
      <c r="Q230" s="140">
        <v>40101</v>
      </c>
      <c r="R230" s="77">
        <v>20.5</v>
      </c>
      <c r="S230" s="77">
        <v>0</v>
      </c>
    </row>
    <row r="231" spans="1:19" x14ac:dyDescent="0.2">
      <c r="C231"/>
      <c r="F231" s="148"/>
      <c r="Q231" s="140">
        <v>40102</v>
      </c>
      <c r="R231" s="77">
        <v>20.9</v>
      </c>
      <c r="S231" s="77">
        <v>0</v>
      </c>
    </row>
    <row r="232" spans="1:19" x14ac:dyDescent="0.2">
      <c r="C232"/>
      <c r="F232" s="148"/>
      <c r="Q232" s="140">
        <v>40103</v>
      </c>
      <c r="R232" s="77">
        <v>20.5</v>
      </c>
      <c r="S232" s="77">
        <v>0</v>
      </c>
    </row>
    <row r="233" spans="1:19" x14ac:dyDescent="0.2">
      <c r="C233"/>
      <c r="F233" s="148"/>
      <c r="Q233" s="140">
        <v>40104</v>
      </c>
      <c r="R233" s="77">
        <v>20.9</v>
      </c>
      <c r="S233" s="77">
        <v>0</v>
      </c>
    </row>
    <row r="234" spans="1:19" x14ac:dyDescent="0.2">
      <c r="C234"/>
      <c r="F234" s="148"/>
      <c r="Q234" s="140">
        <v>40105</v>
      </c>
      <c r="R234" s="77">
        <v>9.9</v>
      </c>
      <c r="S234" s="77">
        <v>1.2</v>
      </c>
    </row>
    <row r="235" spans="1:19" x14ac:dyDescent="0.2">
      <c r="C235"/>
      <c r="Q235" s="140">
        <v>40106</v>
      </c>
      <c r="R235" s="77">
        <v>5.8</v>
      </c>
      <c r="S235" s="77">
        <v>0.9</v>
      </c>
    </row>
    <row r="236" spans="1:19" x14ac:dyDescent="0.2">
      <c r="C236"/>
      <c r="Q236" s="140">
        <v>40107</v>
      </c>
      <c r="R236" s="77">
        <v>4.5</v>
      </c>
      <c r="S236" s="77">
        <v>0.5</v>
      </c>
    </row>
    <row r="237" spans="1:19" x14ac:dyDescent="0.2">
      <c r="C237"/>
      <c r="Q237" s="140">
        <v>40108</v>
      </c>
      <c r="R237" s="77">
        <v>5.8</v>
      </c>
      <c r="S237" s="77">
        <v>0</v>
      </c>
    </row>
    <row r="238" spans="1:19" x14ac:dyDescent="0.2">
      <c r="C238"/>
      <c r="Q238" s="140">
        <v>40109</v>
      </c>
      <c r="R238" s="77">
        <v>11.8</v>
      </c>
      <c r="S238" s="77">
        <v>0</v>
      </c>
    </row>
    <row r="239" spans="1:19" x14ac:dyDescent="0.2">
      <c r="C239"/>
      <c r="Q239" s="140">
        <v>40110</v>
      </c>
      <c r="R239" s="77">
        <v>16.7</v>
      </c>
      <c r="S239" s="77">
        <v>0</v>
      </c>
    </row>
    <row r="240" spans="1:19" x14ac:dyDescent="0.2">
      <c r="C240"/>
      <c r="Q240" s="140">
        <v>40111</v>
      </c>
      <c r="R240" s="77">
        <v>9.1</v>
      </c>
      <c r="S240" s="77">
        <v>0</v>
      </c>
    </row>
    <row r="241" spans="17:19" customFormat="1" x14ac:dyDescent="0.2">
      <c r="Q241" s="140">
        <v>40112</v>
      </c>
      <c r="R241" s="77">
        <v>12.2</v>
      </c>
      <c r="S241" s="77">
        <v>0</v>
      </c>
    </row>
    <row r="242" spans="17:19" customFormat="1" x14ac:dyDescent="0.2">
      <c r="Q242" s="140">
        <v>40113</v>
      </c>
      <c r="R242" s="77">
        <v>15.8</v>
      </c>
      <c r="S242" s="77">
        <v>0</v>
      </c>
    </row>
    <row r="243" spans="17:19" customFormat="1" x14ac:dyDescent="0.2">
      <c r="Q243" s="140">
        <v>40114</v>
      </c>
      <c r="R243" s="77">
        <v>10.9</v>
      </c>
      <c r="S243" s="77">
        <v>0</v>
      </c>
    </row>
    <row r="244" spans="17:19" customFormat="1" x14ac:dyDescent="0.2">
      <c r="Q244" s="140">
        <v>40115</v>
      </c>
      <c r="R244" s="77">
        <v>9.1999999999999993</v>
      </c>
      <c r="S244" s="77">
        <v>0</v>
      </c>
    </row>
    <row r="245" spans="17:19" customFormat="1" x14ac:dyDescent="0.2">
      <c r="Q245" s="140">
        <v>40116</v>
      </c>
      <c r="R245" s="77">
        <v>6.6</v>
      </c>
      <c r="S245" s="77">
        <v>0.7</v>
      </c>
    </row>
    <row r="246" spans="17:19" customFormat="1" x14ac:dyDescent="0.2">
      <c r="Q246" s="140">
        <v>40117</v>
      </c>
      <c r="R246" s="77">
        <v>20.2</v>
      </c>
      <c r="S246" s="77">
        <v>0</v>
      </c>
    </row>
    <row r="247" spans="17:19" customFormat="1" x14ac:dyDescent="0.2">
      <c r="Q247" s="140">
        <v>40118</v>
      </c>
      <c r="R247" s="77">
        <v>18.8</v>
      </c>
      <c r="S247" s="77">
        <v>0</v>
      </c>
    </row>
    <row r="248" spans="17:19" customFormat="1" x14ac:dyDescent="0.2">
      <c r="Q248" s="140">
        <v>40119</v>
      </c>
      <c r="R248" s="77">
        <v>10.5</v>
      </c>
      <c r="S248" s="77">
        <v>0.4</v>
      </c>
    </row>
    <row r="249" spans="17:19" customFormat="1" x14ac:dyDescent="0.2">
      <c r="Q249" s="140">
        <v>40120</v>
      </c>
      <c r="R249" s="77">
        <v>20</v>
      </c>
      <c r="S249" s="77">
        <v>0</v>
      </c>
    </row>
    <row r="250" spans="17:19" customFormat="1" x14ac:dyDescent="0.2">
      <c r="Q250" s="140">
        <v>40121</v>
      </c>
      <c r="R250" s="77">
        <v>15.4</v>
      </c>
      <c r="S250" s="77">
        <v>0</v>
      </c>
    </row>
    <row r="251" spans="17:19" customFormat="1" x14ac:dyDescent="0.2">
      <c r="Q251" s="140">
        <v>40122</v>
      </c>
      <c r="R251" s="77">
        <v>20.9</v>
      </c>
      <c r="S251" s="77">
        <v>0</v>
      </c>
    </row>
    <row r="252" spans="17:19" customFormat="1" x14ac:dyDescent="0.2">
      <c r="Q252" s="140">
        <v>40123</v>
      </c>
      <c r="R252" s="77">
        <v>7.2</v>
      </c>
      <c r="S252" s="77">
        <v>0.5</v>
      </c>
    </row>
    <row r="253" spans="17:19" customFormat="1" x14ac:dyDescent="0.2">
      <c r="Q253" s="140">
        <v>40124</v>
      </c>
      <c r="R253" s="77">
        <v>5.6</v>
      </c>
      <c r="S253" s="77">
        <v>2.2999999999999998</v>
      </c>
    </row>
    <row r="254" spans="17:19" customFormat="1" x14ac:dyDescent="0.2">
      <c r="Q254" s="140">
        <v>40125</v>
      </c>
      <c r="R254" s="77">
        <v>3.8</v>
      </c>
      <c r="S254" s="77">
        <v>2.5</v>
      </c>
    </row>
    <row r="255" spans="17:19" customFormat="1" x14ac:dyDescent="0.2">
      <c r="Q255" s="140">
        <v>40126</v>
      </c>
      <c r="R255" s="77">
        <v>4.3</v>
      </c>
      <c r="S255" s="77">
        <v>0.3</v>
      </c>
    </row>
    <row r="256" spans="17:19" customFormat="1" x14ac:dyDescent="0.2">
      <c r="Q256" s="140">
        <v>40127</v>
      </c>
      <c r="R256" s="77">
        <v>11.6</v>
      </c>
      <c r="S256" s="77">
        <v>0</v>
      </c>
    </row>
    <row r="257" spans="17:19" customFormat="1" x14ac:dyDescent="0.2">
      <c r="Q257" s="140">
        <v>40128</v>
      </c>
      <c r="R257" s="77">
        <v>18.5</v>
      </c>
      <c r="S257" s="77">
        <v>0</v>
      </c>
    </row>
    <row r="258" spans="17:19" customFormat="1" x14ac:dyDescent="0.2">
      <c r="Q258" s="140">
        <v>40129</v>
      </c>
      <c r="R258" s="77">
        <v>20.100000000000001</v>
      </c>
      <c r="S258" s="77">
        <v>0</v>
      </c>
    </row>
    <row r="259" spans="17:19" customFormat="1" x14ac:dyDescent="0.2">
      <c r="Q259" s="140">
        <v>40130</v>
      </c>
      <c r="R259" s="77">
        <v>13.9</v>
      </c>
      <c r="S259" s="77">
        <v>0</v>
      </c>
    </row>
    <row r="260" spans="17:19" customFormat="1" x14ac:dyDescent="0.2">
      <c r="Q260" s="140">
        <v>40131</v>
      </c>
      <c r="R260" s="77">
        <v>7.8</v>
      </c>
      <c r="S260" s="77">
        <v>0.4</v>
      </c>
    </row>
    <row r="261" spans="17:19" customFormat="1" x14ac:dyDescent="0.2">
      <c r="Q261" s="140">
        <v>40132</v>
      </c>
      <c r="R261" s="77">
        <v>18.2</v>
      </c>
      <c r="S261" s="77">
        <v>0</v>
      </c>
    </row>
    <row r="262" spans="17:19" customFormat="1" x14ac:dyDescent="0.2">
      <c r="Q262" s="140">
        <v>40133</v>
      </c>
      <c r="R262" s="77">
        <v>19.8</v>
      </c>
      <c r="S262" s="77">
        <v>0</v>
      </c>
    </row>
    <row r="263" spans="17:19" customFormat="1" x14ac:dyDescent="0.2">
      <c r="Q263" s="140">
        <v>40134</v>
      </c>
      <c r="R263" s="77">
        <v>20.3</v>
      </c>
      <c r="S263" s="77">
        <v>0</v>
      </c>
    </row>
    <row r="264" spans="17:19" customFormat="1" x14ac:dyDescent="0.2">
      <c r="Q264" s="140">
        <v>40135</v>
      </c>
      <c r="R264" s="77">
        <v>20.399999999999999</v>
      </c>
      <c r="S264" s="77">
        <v>0</v>
      </c>
    </row>
    <row r="265" spans="17:19" customFormat="1" x14ac:dyDescent="0.2">
      <c r="Q265" s="140">
        <v>40136</v>
      </c>
      <c r="R265" s="77">
        <v>21.9</v>
      </c>
      <c r="S265" s="77">
        <v>0</v>
      </c>
    </row>
    <row r="266" spans="17:19" customFormat="1" x14ac:dyDescent="0.2">
      <c r="Q266" s="140">
        <v>40137</v>
      </c>
      <c r="R266" s="77">
        <v>24.2</v>
      </c>
      <c r="S266" s="77">
        <v>0</v>
      </c>
    </row>
    <row r="267" spans="17:19" customFormat="1" x14ac:dyDescent="0.2">
      <c r="Q267" s="140">
        <v>40138</v>
      </c>
      <c r="R267" s="77">
        <v>16.600000000000001</v>
      </c>
      <c r="S267" s="77">
        <v>0</v>
      </c>
    </row>
    <row r="268" spans="17:19" customFormat="1" x14ac:dyDescent="0.2">
      <c r="Q268" s="140">
        <v>40139</v>
      </c>
      <c r="R268" s="77">
        <v>15.5</v>
      </c>
      <c r="S268" s="77">
        <v>0</v>
      </c>
    </row>
    <row r="269" spans="17:19" customFormat="1" x14ac:dyDescent="0.2">
      <c r="Q269" s="140">
        <v>40140</v>
      </c>
      <c r="R269" s="77">
        <v>14.5</v>
      </c>
      <c r="S269" s="77">
        <v>0</v>
      </c>
    </row>
    <row r="270" spans="17:19" customFormat="1" x14ac:dyDescent="0.2">
      <c r="Q270" s="140">
        <v>40141</v>
      </c>
      <c r="R270" s="77">
        <v>13.9</v>
      </c>
      <c r="S270" s="77">
        <v>0</v>
      </c>
    </row>
    <row r="271" spans="17:19" customFormat="1" x14ac:dyDescent="0.2">
      <c r="Q271" s="140">
        <v>40142</v>
      </c>
      <c r="R271" s="77">
        <v>20.399999999999999</v>
      </c>
      <c r="S271" s="77">
        <v>0</v>
      </c>
    </row>
    <row r="272" spans="17:19" customFormat="1" x14ac:dyDescent="0.2">
      <c r="Q272" s="140">
        <v>40143</v>
      </c>
      <c r="R272" s="77">
        <v>28.4</v>
      </c>
      <c r="S272" s="77">
        <v>0</v>
      </c>
    </row>
    <row r="273" spans="17:19" customFormat="1" x14ac:dyDescent="0.2">
      <c r="Q273" s="140">
        <v>40144</v>
      </c>
      <c r="R273" s="77">
        <v>27.3</v>
      </c>
      <c r="S273" s="77">
        <v>0</v>
      </c>
    </row>
    <row r="274" spans="17:19" customFormat="1" x14ac:dyDescent="0.2">
      <c r="Q274" s="140">
        <v>40145</v>
      </c>
      <c r="R274" s="77">
        <v>14.4</v>
      </c>
      <c r="S274" s="77">
        <v>0</v>
      </c>
    </row>
    <row r="275" spans="17:19" customFormat="1" x14ac:dyDescent="0.2">
      <c r="Q275" s="140">
        <v>40146</v>
      </c>
      <c r="R275" s="77">
        <v>17.2</v>
      </c>
      <c r="S275" s="77">
        <v>0</v>
      </c>
    </row>
    <row r="276" spans="17:19" customFormat="1" x14ac:dyDescent="0.2">
      <c r="Q276" s="140">
        <v>40147</v>
      </c>
      <c r="R276" s="77">
        <v>25.3</v>
      </c>
      <c r="S276" s="77">
        <v>0</v>
      </c>
    </row>
    <row r="277" spans="17:19" customFormat="1" x14ac:dyDescent="0.2">
      <c r="Q277" s="140">
        <v>40148</v>
      </c>
      <c r="R277" s="77">
        <v>19.600000000000001</v>
      </c>
      <c r="S277" s="77">
        <v>0</v>
      </c>
    </row>
    <row r="278" spans="17:19" customFormat="1" x14ac:dyDescent="0.2">
      <c r="Q278" s="140">
        <v>40149</v>
      </c>
      <c r="R278" s="77">
        <v>27.9</v>
      </c>
      <c r="S278" s="77">
        <v>0</v>
      </c>
    </row>
    <row r="279" spans="17:19" customFormat="1" x14ac:dyDescent="0.2">
      <c r="Q279" s="140">
        <v>40150</v>
      </c>
      <c r="R279" s="77">
        <v>32.799999999999997</v>
      </c>
      <c r="S279" s="77">
        <v>0</v>
      </c>
    </row>
    <row r="280" spans="17:19" customFormat="1" x14ac:dyDescent="0.2">
      <c r="Q280" s="140">
        <v>40151</v>
      </c>
      <c r="R280" s="77">
        <v>40.700000000000003</v>
      </c>
      <c r="S280" s="77">
        <v>0</v>
      </c>
    </row>
    <row r="281" spans="17:19" customFormat="1" x14ac:dyDescent="0.2">
      <c r="Q281" s="140">
        <v>40152</v>
      </c>
      <c r="R281" s="77">
        <v>37.1</v>
      </c>
      <c r="S281" s="77">
        <v>0</v>
      </c>
    </row>
    <row r="282" spans="17:19" customFormat="1" x14ac:dyDescent="0.2">
      <c r="Q282" s="140">
        <v>40153</v>
      </c>
      <c r="R282" s="77">
        <v>33.1</v>
      </c>
      <c r="S282" s="77">
        <v>0</v>
      </c>
    </row>
    <row r="283" spans="17:19" customFormat="1" x14ac:dyDescent="0.2">
      <c r="Q283" s="140">
        <v>40154</v>
      </c>
      <c r="R283" s="77">
        <v>32.5</v>
      </c>
      <c r="S283" s="77">
        <v>0</v>
      </c>
    </row>
    <row r="284" spans="17:19" customFormat="1" x14ac:dyDescent="0.2">
      <c r="Q284" s="140">
        <v>40155</v>
      </c>
      <c r="R284" s="77">
        <v>30</v>
      </c>
      <c r="S284" s="77">
        <v>0</v>
      </c>
    </row>
    <row r="285" spans="17:19" customFormat="1" x14ac:dyDescent="0.2">
      <c r="Q285" s="140">
        <v>40156</v>
      </c>
      <c r="R285" s="77">
        <v>40.1</v>
      </c>
      <c r="S285" s="77">
        <v>0</v>
      </c>
    </row>
    <row r="286" spans="17:19" customFormat="1" x14ac:dyDescent="0.2">
      <c r="Q286" s="140">
        <v>40157</v>
      </c>
      <c r="R286" s="77">
        <v>49.4</v>
      </c>
      <c r="S286" s="77">
        <v>0</v>
      </c>
    </row>
    <row r="287" spans="17:19" customFormat="1" x14ac:dyDescent="0.2">
      <c r="Q287" s="140">
        <v>40158</v>
      </c>
      <c r="R287" s="77">
        <v>38.5</v>
      </c>
      <c r="S287" s="77">
        <v>0</v>
      </c>
    </row>
    <row r="288" spans="17:19" customFormat="1" x14ac:dyDescent="0.2">
      <c r="Q288" s="140">
        <v>40159</v>
      </c>
      <c r="R288" s="77">
        <v>32</v>
      </c>
      <c r="S288" s="77">
        <v>0</v>
      </c>
    </row>
    <row r="289" spans="17:19" customFormat="1" x14ac:dyDescent="0.2">
      <c r="Q289" s="140">
        <v>40160</v>
      </c>
      <c r="R289" s="77">
        <v>25.8</v>
      </c>
      <c r="S289" s="77">
        <v>0</v>
      </c>
    </row>
    <row r="290" spans="17:19" customFormat="1" x14ac:dyDescent="0.2">
      <c r="Q290" s="140">
        <v>40161</v>
      </c>
      <c r="R290" s="77">
        <v>26.2</v>
      </c>
      <c r="S290" s="77">
        <v>0</v>
      </c>
    </row>
    <row r="291" spans="17:19" customFormat="1" x14ac:dyDescent="0.2">
      <c r="Q291" s="140">
        <v>40162</v>
      </c>
      <c r="R291" s="77">
        <v>46.3</v>
      </c>
      <c r="S291" s="77">
        <v>0</v>
      </c>
    </row>
    <row r="292" spans="17:19" customFormat="1" x14ac:dyDescent="0.2">
      <c r="Q292" s="140">
        <v>40163</v>
      </c>
      <c r="R292" s="77">
        <v>42.9</v>
      </c>
      <c r="S292" s="77">
        <v>0</v>
      </c>
    </row>
    <row r="293" spans="17:19" customFormat="1" x14ac:dyDescent="0.2">
      <c r="Q293" s="140">
        <v>40164</v>
      </c>
      <c r="R293" s="77">
        <v>29</v>
      </c>
      <c r="S293" s="77">
        <v>0</v>
      </c>
    </row>
    <row r="294" spans="17:19" customFormat="1" x14ac:dyDescent="0.2">
      <c r="Q294" s="140">
        <v>40165</v>
      </c>
      <c r="R294" s="77">
        <v>29</v>
      </c>
      <c r="S294" s="77">
        <v>0</v>
      </c>
    </row>
    <row r="295" spans="17:19" customFormat="1" x14ac:dyDescent="0.2">
      <c r="Q295" s="140">
        <v>40166</v>
      </c>
      <c r="R295" s="77">
        <v>34.299999999999997</v>
      </c>
      <c r="S295" s="77">
        <v>0</v>
      </c>
    </row>
    <row r="296" spans="17:19" customFormat="1" x14ac:dyDescent="0.2">
      <c r="Q296" s="140">
        <v>40167</v>
      </c>
      <c r="R296" s="77">
        <v>37.4</v>
      </c>
      <c r="S296" s="77">
        <v>0</v>
      </c>
    </row>
    <row r="297" spans="17:19" customFormat="1" x14ac:dyDescent="0.2">
      <c r="Q297" s="140">
        <v>40168</v>
      </c>
      <c r="R297" s="77">
        <v>33.200000000000003</v>
      </c>
      <c r="S297" s="77">
        <v>0</v>
      </c>
    </row>
    <row r="298" spans="17:19" customFormat="1" x14ac:dyDescent="0.2">
      <c r="Q298" s="140">
        <v>40169</v>
      </c>
      <c r="R298" s="77">
        <v>30.5</v>
      </c>
      <c r="S298" s="77">
        <v>0</v>
      </c>
    </row>
    <row r="299" spans="17:19" customFormat="1" x14ac:dyDescent="0.2">
      <c r="Q299" s="140">
        <v>40170</v>
      </c>
      <c r="R299" s="77">
        <v>23.9</v>
      </c>
      <c r="S299" s="77">
        <v>0</v>
      </c>
    </row>
    <row r="300" spans="17:19" customFormat="1" x14ac:dyDescent="0.2">
      <c r="Q300" s="140">
        <v>40171</v>
      </c>
      <c r="R300" s="77">
        <v>20.100000000000001</v>
      </c>
      <c r="S300" s="77">
        <v>0</v>
      </c>
    </row>
    <row r="301" spans="17:19" customFormat="1" x14ac:dyDescent="0.2">
      <c r="Q301" s="140">
        <v>40172</v>
      </c>
      <c r="R301" s="77">
        <v>32.299999999999997</v>
      </c>
      <c r="S301" s="77">
        <v>0</v>
      </c>
    </row>
    <row r="302" spans="17:19" customFormat="1" x14ac:dyDescent="0.2">
      <c r="Q302" s="140">
        <v>40173</v>
      </c>
      <c r="R302" s="77">
        <v>39.799999999999997</v>
      </c>
      <c r="S302" s="77">
        <v>0</v>
      </c>
    </row>
    <row r="303" spans="17:19" customFormat="1" x14ac:dyDescent="0.2">
      <c r="Q303" s="140">
        <v>40174</v>
      </c>
      <c r="R303" s="77">
        <v>42.5</v>
      </c>
      <c r="S303" s="77">
        <v>0</v>
      </c>
    </row>
    <row r="304" spans="17:19" customFormat="1" x14ac:dyDescent="0.2">
      <c r="Q304" s="140">
        <v>40175</v>
      </c>
      <c r="R304" s="77">
        <v>38.4</v>
      </c>
      <c r="S304" s="77">
        <v>0</v>
      </c>
    </row>
    <row r="305" spans="17:19" customFormat="1" x14ac:dyDescent="0.2">
      <c r="Q305" s="140">
        <v>40176</v>
      </c>
      <c r="R305" s="77">
        <v>46.5</v>
      </c>
      <c r="S305" s="77">
        <v>0</v>
      </c>
    </row>
    <row r="306" spans="17:19" customFormat="1" x14ac:dyDescent="0.2">
      <c r="Q306" s="140">
        <v>40177</v>
      </c>
      <c r="R306" s="77">
        <v>34.1</v>
      </c>
      <c r="S306" s="77">
        <v>0</v>
      </c>
    </row>
    <row r="307" spans="17:19" customFormat="1" x14ac:dyDescent="0.2">
      <c r="Q307" s="140">
        <v>40178</v>
      </c>
      <c r="R307" s="77">
        <v>39.799999999999997</v>
      </c>
      <c r="S307" s="77">
        <v>0</v>
      </c>
    </row>
    <row r="308" spans="17:19" customFormat="1" x14ac:dyDescent="0.2">
      <c r="Q308" s="140">
        <v>40179</v>
      </c>
      <c r="R308" s="77">
        <v>55.9</v>
      </c>
      <c r="S308" s="77">
        <v>0</v>
      </c>
    </row>
    <row r="309" spans="17:19" customFormat="1" x14ac:dyDescent="0.2">
      <c r="Q309" s="140">
        <v>40180</v>
      </c>
      <c r="R309" s="77">
        <v>62</v>
      </c>
      <c r="S309" s="77">
        <v>0</v>
      </c>
    </row>
    <row r="310" spans="17:19" customFormat="1" x14ac:dyDescent="0.2">
      <c r="Q310" s="140">
        <v>40181</v>
      </c>
      <c r="R310" s="77">
        <v>61.2</v>
      </c>
      <c r="S310" s="77">
        <v>0</v>
      </c>
    </row>
    <row r="311" spans="17:19" customFormat="1" x14ac:dyDescent="0.2">
      <c r="Q311" s="140">
        <v>40182</v>
      </c>
      <c r="R311" s="77">
        <v>59.8</v>
      </c>
      <c r="S311" s="77">
        <v>0</v>
      </c>
    </row>
    <row r="312" spans="17:19" customFormat="1" x14ac:dyDescent="0.2">
      <c r="Q312" s="140">
        <v>40183</v>
      </c>
      <c r="R312" s="77">
        <v>59.7</v>
      </c>
      <c r="S312" s="77">
        <v>0</v>
      </c>
    </row>
    <row r="313" spans="17:19" customFormat="1" x14ac:dyDescent="0.2">
      <c r="Q313" s="140">
        <v>40184</v>
      </c>
      <c r="R313" s="77">
        <v>53.4</v>
      </c>
      <c r="S313" s="77">
        <v>0</v>
      </c>
    </row>
    <row r="314" spans="17:19" customFormat="1" x14ac:dyDescent="0.2">
      <c r="Q314" s="140">
        <v>40185</v>
      </c>
      <c r="R314" s="77">
        <v>49.5</v>
      </c>
      <c r="S314" s="77">
        <v>0</v>
      </c>
    </row>
    <row r="315" spans="17:19" customFormat="1" x14ac:dyDescent="0.2">
      <c r="Q315" s="140">
        <v>40186</v>
      </c>
      <c r="R315" s="77">
        <v>53.8</v>
      </c>
      <c r="S315" s="77">
        <v>0</v>
      </c>
    </row>
    <row r="316" spans="17:19" customFormat="1" x14ac:dyDescent="0.2">
      <c r="Q316" s="140">
        <v>40187</v>
      </c>
      <c r="R316" s="77">
        <v>63.6</v>
      </c>
      <c r="S316" s="77">
        <v>0</v>
      </c>
    </row>
    <row r="317" spans="17:19" customFormat="1" x14ac:dyDescent="0.2">
      <c r="Q317" s="140">
        <v>40188</v>
      </c>
      <c r="R317" s="77">
        <v>56.9</v>
      </c>
      <c r="S317" s="77">
        <v>0</v>
      </c>
    </row>
    <row r="318" spans="17:19" customFormat="1" x14ac:dyDescent="0.2">
      <c r="Q318" s="140">
        <v>40189</v>
      </c>
      <c r="R318" s="77">
        <v>42.7</v>
      </c>
      <c r="S318" s="77">
        <v>0</v>
      </c>
    </row>
    <row r="319" spans="17:19" customFormat="1" x14ac:dyDescent="0.2">
      <c r="Q319" s="140">
        <v>40190</v>
      </c>
      <c r="R319" s="77">
        <v>47.1</v>
      </c>
      <c r="S319" s="77">
        <v>0</v>
      </c>
    </row>
    <row r="320" spans="17:19" customFormat="1" x14ac:dyDescent="0.2">
      <c r="Q320" s="140">
        <v>40191</v>
      </c>
      <c r="R320" s="77">
        <v>35.200000000000003</v>
      </c>
      <c r="S320" s="77">
        <v>0</v>
      </c>
    </row>
    <row r="321" spans="17:19" customFormat="1" x14ac:dyDescent="0.2">
      <c r="Q321" s="140">
        <v>40192</v>
      </c>
      <c r="R321" s="77">
        <v>26.6</v>
      </c>
      <c r="S321" s="77">
        <v>0</v>
      </c>
    </row>
    <row r="322" spans="17:19" customFormat="1" x14ac:dyDescent="0.2">
      <c r="Q322" s="140">
        <v>40193</v>
      </c>
      <c r="R322" s="77">
        <v>33.700000000000003</v>
      </c>
      <c r="S322" s="77">
        <v>0</v>
      </c>
    </row>
    <row r="323" spans="17:19" customFormat="1" x14ac:dyDescent="0.2">
      <c r="Q323" s="140">
        <v>40194</v>
      </c>
      <c r="R323" s="77">
        <v>32.4</v>
      </c>
      <c r="S323" s="77">
        <v>0</v>
      </c>
    </row>
    <row r="324" spans="17:19" customFormat="1" x14ac:dyDescent="0.2">
      <c r="Q324" s="140">
        <v>40195</v>
      </c>
      <c r="R324" s="77">
        <v>32.6</v>
      </c>
      <c r="S324" s="77">
        <v>0</v>
      </c>
    </row>
    <row r="325" spans="17:19" customFormat="1" x14ac:dyDescent="0.2">
      <c r="Q325" s="140">
        <v>40196</v>
      </c>
      <c r="R325" s="77">
        <v>30.7</v>
      </c>
      <c r="S325" s="77">
        <v>0</v>
      </c>
    </row>
    <row r="326" spans="17:19" customFormat="1" x14ac:dyDescent="0.2">
      <c r="Q326" s="140">
        <v>40197</v>
      </c>
      <c r="R326" s="77">
        <v>33.299999999999997</v>
      </c>
      <c r="S326" s="77">
        <v>0</v>
      </c>
    </row>
    <row r="327" spans="17:19" customFormat="1" x14ac:dyDescent="0.2">
      <c r="Q327" s="140">
        <v>40198</v>
      </c>
      <c r="R327" s="77">
        <v>31.8</v>
      </c>
      <c r="S327" s="77">
        <v>0</v>
      </c>
    </row>
    <row r="328" spans="17:19" customFormat="1" x14ac:dyDescent="0.2">
      <c r="Q328" s="140">
        <v>40199</v>
      </c>
      <c r="R328" s="77">
        <v>30.1</v>
      </c>
      <c r="S328" s="77">
        <v>0</v>
      </c>
    </row>
    <row r="329" spans="17:19" customFormat="1" x14ac:dyDescent="0.2">
      <c r="Q329" s="140">
        <v>40200</v>
      </c>
      <c r="R329" s="77">
        <v>29.3</v>
      </c>
      <c r="S329" s="77">
        <v>0</v>
      </c>
    </row>
    <row r="330" spans="17:19" customFormat="1" x14ac:dyDescent="0.2">
      <c r="Q330" s="140">
        <v>40201</v>
      </c>
      <c r="R330" s="77">
        <v>21.5</v>
      </c>
      <c r="S330" s="77">
        <v>0</v>
      </c>
    </row>
    <row r="331" spans="17:19" customFormat="1" x14ac:dyDescent="0.2">
      <c r="Q331" s="140">
        <v>40202</v>
      </c>
      <c r="R331" s="77">
        <v>23.3</v>
      </c>
      <c r="S331" s="77">
        <v>0</v>
      </c>
    </row>
    <row r="332" spans="17:19" customFormat="1" x14ac:dyDescent="0.2">
      <c r="Q332" s="140">
        <v>40203</v>
      </c>
      <c r="R332" s="77">
        <v>35.4</v>
      </c>
      <c r="S332" s="77">
        <v>0</v>
      </c>
    </row>
    <row r="333" spans="17:19" customFormat="1" x14ac:dyDescent="0.2">
      <c r="Q333" s="140">
        <v>40204</v>
      </c>
      <c r="R333" s="77">
        <v>46.3</v>
      </c>
      <c r="S333" s="77">
        <v>0</v>
      </c>
    </row>
    <row r="334" spans="17:19" customFormat="1" x14ac:dyDescent="0.2">
      <c r="Q334" s="140">
        <v>40205</v>
      </c>
      <c r="R334" s="77">
        <v>40.299999999999997</v>
      </c>
      <c r="S334" s="77">
        <v>0</v>
      </c>
    </row>
    <row r="335" spans="17:19" customFormat="1" x14ac:dyDescent="0.2">
      <c r="Q335" s="140">
        <v>40206</v>
      </c>
      <c r="R335" s="77">
        <v>49.8</v>
      </c>
      <c r="S335" s="77">
        <v>0</v>
      </c>
    </row>
    <row r="336" spans="17:19" customFormat="1" x14ac:dyDescent="0.2">
      <c r="Q336" s="140">
        <v>40207</v>
      </c>
      <c r="R336" s="77">
        <v>49.7</v>
      </c>
      <c r="S336" s="77">
        <v>0</v>
      </c>
    </row>
    <row r="337" spans="17:19" customFormat="1" x14ac:dyDescent="0.2">
      <c r="Q337" s="140">
        <v>40208</v>
      </c>
      <c r="R337" s="77">
        <v>46.7</v>
      </c>
      <c r="S337" s="77">
        <v>0</v>
      </c>
    </row>
    <row r="338" spans="17:19" customFormat="1" x14ac:dyDescent="0.2">
      <c r="Q338" s="140">
        <v>40209</v>
      </c>
      <c r="R338" s="77">
        <v>45.1</v>
      </c>
      <c r="S338" s="77">
        <v>0</v>
      </c>
    </row>
    <row r="339" spans="17:19" customFormat="1" x14ac:dyDescent="0.2">
      <c r="Q339" s="140">
        <v>40210</v>
      </c>
      <c r="R339" s="77">
        <v>35.299999999999997</v>
      </c>
      <c r="S339" s="77">
        <v>0</v>
      </c>
    </row>
    <row r="340" spans="17:19" customFormat="1" x14ac:dyDescent="0.2">
      <c r="Q340" s="140">
        <v>40211</v>
      </c>
      <c r="R340" s="77">
        <v>32.200000000000003</v>
      </c>
      <c r="S340" s="77">
        <v>0</v>
      </c>
    </row>
    <row r="341" spans="17:19" customFormat="1" x14ac:dyDescent="0.2">
      <c r="Q341" s="140">
        <v>40212</v>
      </c>
      <c r="R341" s="77">
        <v>40.200000000000003</v>
      </c>
      <c r="S341" s="77">
        <v>0</v>
      </c>
    </row>
    <row r="342" spans="17:19" customFormat="1" x14ac:dyDescent="0.2">
      <c r="Q342" s="140">
        <v>40213</v>
      </c>
      <c r="R342" s="77">
        <v>33.700000000000003</v>
      </c>
      <c r="S342" s="77">
        <v>0</v>
      </c>
    </row>
    <row r="343" spans="17:19" customFormat="1" x14ac:dyDescent="0.2">
      <c r="Q343" s="140">
        <v>40214</v>
      </c>
      <c r="R343" s="77">
        <v>31.2</v>
      </c>
      <c r="S343" s="77">
        <v>0</v>
      </c>
    </row>
    <row r="344" spans="17:19" customFormat="1" x14ac:dyDescent="0.2">
      <c r="Q344" s="140">
        <v>40215</v>
      </c>
      <c r="R344" s="77">
        <v>35.700000000000003</v>
      </c>
      <c r="S344" s="77">
        <v>0</v>
      </c>
    </row>
    <row r="345" spans="17:19" customFormat="1" x14ac:dyDescent="0.2">
      <c r="Q345" s="140">
        <v>40216</v>
      </c>
      <c r="R345" s="77">
        <v>41</v>
      </c>
      <c r="S345" s="77">
        <v>0</v>
      </c>
    </row>
    <row r="346" spans="17:19" customFormat="1" x14ac:dyDescent="0.2">
      <c r="Q346" s="140">
        <v>40217</v>
      </c>
      <c r="R346" s="77">
        <v>38</v>
      </c>
      <c r="S346" s="77">
        <v>0</v>
      </c>
    </row>
    <row r="347" spans="17:19" customFormat="1" x14ac:dyDescent="0.2">
      <c r="Q347" s="140">
        <v>40218</v>
      </c>
      <c r="R347" s="77">
        <v>47.8</v>
      </c>
      <c r="S347" s="77">
        <v>0</v>
      </c>
    </row>
    <row r="348" spans="17:19" customFormat="1" x14ac:dyDescent="0.2">
      <c r="Q348" s="140">
        <v>40219</v>
      </c>
      <c r="R348" s="77">
        <v>42.5</v>
      </c>
      <c r="S348" s="77">
        <v>0</v>
      </c>
    </row>
    <row r="349" spans="17:19" customFormat="1" x14ac:dyDescent="0.2">
      <c r="Q349" s="140">
        <v>40220</v>
      </c>
      <c r="R349" s="77">
        <v>48.7</v>
      </c>
      <c r="S349" s="77">
        <v>0</v>
      </c>
    </row>
    <row r="350" spans="17:19" customFormat="1" x14ac:dyDescent="0.2">
      <c r="Q350" s="140">
        <v>40221</v>
      </c>
      <c r="R350" s="77">
        <v>40.1</v>
      </c>
      <c r="S350" s="77">
        <v>0</v>
      </c>
    </row>
    <row r="351" spans="17:19" customFormat="1" x14ac:dyDescent="0.2">
      <c r="Q351" s="140">
        <v>40222</v>
      </c>
      <c r="R351" s="77">
        <v>44.6</v>
      </c>
      <c r="S351" s="77">
        <v>0</v>
      </c>
    </row>
    <row r="352" spans="17:19" customFormat="1" x14ac:dyDescent="0.2">
      <c r="Q352" s="140">
        <v>40223</v>
      </c>
      <c r="R352" s="77">
        <v>39.4</v>
      </c>
      <c r="S352" s="77">
        <v>0</v>
      </c>
    </row>
    <row r="353" spans="17:19" customFormat="1" x14ac:dyDescent="0.2">
      <c r="Q353" s="140">
        <v>40224</v>
      </c>
      <c r="R353" s="77">
        <v>44.5</v>
      </c>
      <c r="S353" s="77">
        <v>0</v>
      </c>
    </row>
    <row r="354" spans="17:19" customFormat="1" x14ac:dyDescent="0.2">
      <c r="Q354" s="140">
        <v>40225</v>
      </c>
      <c r="R354" s="77">
        <v>40</v>
      </c>
      <c r="S354" s="77">
        <v>0</v>
      </c>
    </row>
    <row r="355" spans="17:19" customFormat="1" x14ac:dyDescent="0.2">
      <c r="Q355" s="140">
        <v>40226</v>
      </c>
      <c r="R355" s="77">
        <v>42.6</v>
      </c>
      <c r="S355" s="77">
        <v>0</v>
      </c>
    </row>
    <row r="356" spans="17:19" customFormat="1" x14ac:dyDescent="0.2">
      <c r="Q356" s="140">
        <v>40227</v>
      </c>
      <c r="R356" s="77">
        <v>42</v>
      </c>
      <c r="S356" s="77">
        <v>0</v>
      </c>
    </row>
    <row r="357" spans="17:19" customFormat="1" x14ac:dyDescent="0.2">
      <c r="Q357" s="140">
        <v>40228</v>
      </c>
      <c r="R357" s="77">
        <v>36.299999999999997</v>
      </c>
      <c r="S357" s="77">
        <v>0</v>
      </c>
    </row>
    <row r="358" spans="17:19" customFormat="1" x14ac:dyDescent="0.2">
      <c r="Q358" s="140">
        <v>40229</v>
      </c>
      <c r="R358" s="77">
        <v>27</v>
      </c>
      <c r="S358" s="77">
        <v>0</v>
      </c>
    </row>
    <row r="359" spans="17:19" customFormat="1" x14ac:dyDescent="0.2">
      <c r="Q359" s="140">
        <v>40230</v>
      </c>
      <c r="R359" s="77">
        <v>29.3</v>
      </c>
      <c r="S359" s="77">
        <v>0</v>
      </c>
    </row>
    <row r="360" spans="17:19" customFormat="1" x14ac:dyDescent="0.2">
      <c r="Q360" s="140">
        <v>40231</v>
      </c>
      <c r="R360" s="77">
        <v>33</v>
      </c>
      <c r="S360" s="77">
        <v>0</v>
      </c>
    </row>
    <row r="361" spans="17:19" customFormat="1" x14ac:dyDescent="0.2">
      <c r="Q361" s="140">
        <v>40232</v>
      </c>
      <c r="R361" s="77">
        <v>37.5</v>
      </c>
      <c r="S361" s="77">
        <v>0</v>
      </c>
    </row>
    <row r="362" spans="17:19" customFormat="1" x14ac:dyDescent="0.2">
      <c r="Q362" s="140">
        <v>40233</v>
      </c>
      <c r="R362" s="77">
        <v>45.9</v>
      </c>
      <c r="S362" s="77">
        <v>0</v>
      </c>
    </row>
    <row r="363" spans="17:19" customFormat="1" x14ac:dyDescent="0.2">
      <c r="Q363" s="140">
        <v>40234</v>
      </c>
      <c r="R363" s="77">
        <v>41.2</v>
      </c>
      <c r="S363" s="77">
        <v>0</v>
      </c>
    </row>
    <row r="364" spans="17:19" customFormat="1" x14ac:dyDescent="0.2">
      <c r="Q364" s="140">
        <v>40235</v>
      </c>
      <c r="R364" s="77">
        <v>38.4</v>
      </c>
      <c r="S364" s="77">
        <v>0</v>
      </c>
    </row>
    <row r="365" spans="17:19" customFormat="1" x14ac:dyDescent="0.2">
      <c r="Q365" s="140">
        <v>40236</v>
      </c>
      <c r="R365" s="77">
        <v>37</v>
      </c>
      <c r="S365" s="77">
        <v>0</v>
      </c>
    </row>
    <row r="366" spans="17:19" customFormat="1" x14ac:dyDescent="0.2">
      <c r="Q366" s="140">
        <v>40237</v>
      </c>
      <c r="R366" s="77">
        <v>32.700000000000003</v>
      </c>
      <c r="S366" s="77">
        <v>0</v>
      </c>
    </row>
    <row r="367" spans="17:19" customFormat="1" x14ac:dyDescent="0.2">
      <c r="Q367" s="140">
        <v>40238</v>
      </c>
      <c r="R367" s="77">
        <v>30.7</v>
      </c>
      <c r="S367" s="77">
        <v>0</v>
      </c>
    </row>
    <row r="368" spans="17:19" customFormat="1" x14ac:dyDescent="0.2">
      <c r="Q368" s="140">
        <v>40239</v>
      </c>
      <c r="R368" s="77">
        <v>30.7</v>
      </c>
      <c r="S368" s="77">
        <v>0</v>
      </c>
    </row>
    <row r="369" spans="17:19" customFormat="1" x14ac:dyDescent="0.2">
      <c r="Q369" s="140">
        <v>40240</v>
      </c>
      <c r="R369" s="77">
        <v>32.200000000000003</v>
      </c>
      <c r="S369" s="77">
        <v>0</v>
      </c>
    </row>
    <row r="370" spans="17:19" customFormat="1" x14ac:dyDescent="0.2">
      <c r="Q370" s="140">
        <v>40241</v>
      </c>
      <c r="R370" s="77">
        <v>30.2</v>
      </c>
      <c r="S370" s="77">
        <v>0</v>
      </c>
    </row>
    <row r="371" spans="17:19" customFormat="1" x14ac:dyDescent="0.2">
      <c r="Q371" s="140">
        <v>40242</v>
      </c>
      <c r="R371" s="77">
        <v>29.5</v>
      </c>
      <c r="S371" s="77">
        <v>0</v>
      </c>
    </row>
    <row r="372" spans="17:19" customFormat="1" x14ac:dyDescent="0.2">
      <c r="Q372" s="140">
        <v>40243</v>
      </c>
      <c r="R372" s="77">
        <v>26.4</v>
      </c>
      <c r="S372" s="77">
        <v>0</v>
      </c>
    </row>
    <row r="373" spans="17:19" customFormat="1" x14ac:dyDescent="0.2">
      <c r="Q373" s="140">
        <v>40244</v>
      </c>
      <c r="R373" s="77">
        <v>20.6</v>
      </c>
      <c r="S373" s="77">
        <v>0</v>
      </c>
    </row>
    <row r="374" spans="17:19" customFormat="1" x14ac:dyDescent="0.2">
      <c r="Q374" s="140">
        <v>40245</v>
      </c>
      <c r="R374" s="77">
        <v>25.4</v>
      </c>
      <c r="S374" s="77">
        <v>0</v>
      </c>
    </row>
    <row r="375" spans="17:19" customFormat="1" x14ac:dyDescent="0.2">
      <c r="Q375" s="140">
        <v>40246</v>
      </c>
      <c r="R375" s="77">
        <v>15.9</v>
      </c>
      <c r="S375" s="77">
        <v>0</v>
      </c>
    </row>
    <row r="376" spans="17:19" customFormat="1" x14ac:dyDescent="0.2">
      <c r="Q376" s="140">
        <v>40247</v>
      </c>
      <c r="R376" s="77">
        <v>5.4</v>
      </c>
      <c r="S376" s="77">
        <v>0.8</v>
      </c>
    </row>
    <row r="377" spans="17:19" customFormat="1" x14ac:dyDescent="0.2">
      <c r="Q377" s="140">
        <v>40248</v>
      </c>
      <c r="R377" s="77">
        <v>9</v>
      </c>
      <c r="S377" s="77">
        <v>0</v>
      </c>
    </row>
    <row r="378" spans="17:19" customFormat="1" x14ac:dyDescent="0.2">
      <c r="Q378" s="140">
        <v>40249</v>
      </c>
      <c r="R378" s="77">
        <v>18.7</v>
      </c>
      <c r="S378" s="77">
        <v>0</v>
      </c>
    </row>
    <row r="379" spans="17:19" customFormat="1" x14ac:dyDescent="0.2">
      <c r="Q379" s="140">
        <v>40250</v>
      </c>
      <c r="R379" s="77">
        <v>17.8</v>
      </c>
      <c r="S379" s="77">
        <v>0</v>
      </c>
    </row>
    <row r="380" spans="17:19" customFormat="1" x14ac:dyDescent="0.2">
      <c r="Q380" s="140">
        <v>40251</v>
      </c>
      <c r="R380" s="77">
        <v>18.8</v>
      </c>
      <c r="S380" s="77">
        <v>0</v>
      </c>
    </row>
    <row r="381" spans="17:19" customFormat="1" x14ac:dyDescent="0.2">
      <c r="Q381" s="140">
        <v>40252</v>
      </c>
      <c r="R381" s="77">
        <v>17.399999999999999</v>
      </c>
      <c r="S381" s="77">
        <v>0</v>
      </c>
    </row>
    <row r="382" spans="17:19" customFormat="1" x14ac:dyDescent="0.2">
      <c r="Q382" s="140">
        <v>40253</v>
      </c>
      <c r="R382" s="77">
        <v>19.600000000000001</v>
      </c>
      <c r="S382" s="77">
        <v>0</v>
      </c>
    </row>
    <row r="383" spans="17:19" customFormat="1" x14ac:dyDescent="0.2">
      <c r="Q383" s="140">
        <v>40254</v>
      </c>
      <c r="R383" s="77">
        <v>16</v>
      </c>
      <c r="S383" s="77">
        <v>0</v>
      </c>
    </row>
    <row r="384" spans="17:19" customFormat="1" x14ac:dyDescent="0.2">
      <c r="Q384" s="140">
        <v>40255</v>
      </c>
      <c r="R384" s="77">
        <v>16.600000000000001</v>
      </c>
      <c r="S384" s="77">
        <v>0</v>
      </c>
    </row>
    <row r="385" spans="17:19" customFormat="1" x14ac:dyDescent="0.2">
      <c r="Q385" s="140">
        <v>40256</v>
      </c>
      <c r="R385" s="77">
        <v>12.3</v>
      </c>
      <c r="S385" s="77">
        <v>0</v>
      </c>
    </row>
    <row r="386" spans="17:19" customFormat="1" x14ac:dyDescent="0.2">
      <c r="Q386" s="140">
        <v>40257</v>
      </c>
      <c r="R386" s="77">
        <v>25</v>
      </c>
      <c r="S386" s="77">
        <v>0</v>
      </c>
    </row>
    <row r="387" spans="17:19" customFormat="1" x14ac:dyDescent="0.2">
      <c r="Q387" s="140">
        <v>40258</v>
      </c>
      <c r="R387" s="77">
        <v>24.9</v>
      </c>
      <c r="S387" s="77">
        <v>0</v>
      </c>
    </row>
    <row r="388" spans="17:19" customFormat="1" x14ac:dyDescent="0.2">
      <c r="Q388" s="140">
        <v>40259</v>
      </c>
      <c r="R388" s="77">
        <v>17.3</v>
      </c>
      <c r="S388" s="77">
        <v>0</v>
      </c>
    </row>
    <row r="389" spans="17:19" customFormat="1" x14ac:dyDescent="0.2">
      <c r="Q389" s="140">
        <v>40260</v>
      </c>
      <c r="R389" s="77">
        <v>14.9</v>
      </c>
      <c r="S389" s="77">
        <v>0.2</v>
      </c>
    </row>
    <row r="390" spans="17:19" customFormat="1" x14ac:dyDescent="0.2">
      <c r="Q390" s="140">
        <v>40261</v>
      </c>
      <c r="R390" s="77">
        <v>8.8000000000000007</v>
      </c>
      <c r="S390" s="77">
        <v>0.3</v>
      </c>
    </row>
    <row r="391" spans="17:19" customFormat="1" x14ac:dyDescent="0.2">
      <c r="Q391" s="140">
        <v>40262</v>
      </c>
      <c r="R391" s="77">
        <v>21.9</v>
      </c>
      <c r="S391" s="77">
        <v>0</v>
      </c>
    </row>
    <row r="392" spans="17:19" customFormat="1" x14ac:dyDescent="0.2">
      <c r="Q392" s="140">
        <v>40263</v>
      </c>
      <c r="R392" s="77">
        <v>27.9</v>
      </c>
      <c r="S392" s="77">
        <v>0</v>
      </c>
    </row>
    <row r="393" spans="17:19" customFormat="1" x14ac:dyDescent="0.2">
      <c r="Q393" s="140">
        <v>40264</v>
      </c>
      <c r="R393" s="77">
        <v>19.399999999999999</v>
      </c>
      <c r="S393" s="77">
        <v>0</v>
      </c>
    </row>
    <row r="394" spans="17:19" customFormat="1" x14ac:dyDescent="0.2">
      <c r="Q394" s="140">
        <v>40265</v>
      </c>
      <c r="R394" s="77">
        <v>16.399999999999999</v>
      </c>
      <c r="S394" s="77">
        <v>0</v>
      </c>
    </row>
    <row r="395" spans="17:19" customFormat="1" x14ac:dyDescent="0.2">
      <c r="Q395" s="140">
        <v>40266</v>
      </c>
      <c r="R395" s="77">
        <v>19.100000000000001</v>
      </c>
      <c r="S395" s="77">
        <v>0</v>
      </c>
    </row>
    <row r="396" spans="17:19" customFormat="1" x14ac:dyDescent="0.2">
      <c r="Q396" s="140">
        <v>40267</v>
      </c>
      <c r="R396" s="77">
        <v>11.3</v>
      </c>
      <c r="S396" s="77">
        <v>0.5</v>
      </c>
    </row>
    <row r="397" spans="17:19" customFormat="1" x14ac:dyDescent="0.2">
      <c r="Q397" s="140">
        <v>40268</v>
      </c>
      <c r="R397" s="77">
        <v>4.2</v>
      </c>
      <c r="S397" s="77">
        <v>4.5999999999999996</v>
      </c>
    </row>
    <row r="398" spans="17:19" customFormat="1" x14ac:dyDescent="0.2">
      <c r="Q398" s="140">
        <v>40269</v>
      </c>
      <c r="R398" s="77">
        <v>1.5</v>
      </c>
      <c r="S398" s="77">
        <v>6.6</v>
      </c>
    </row>
    <row r="399" spans="17:19" customFormat="1" x14ac:dyDescent="0.2">
      <c r="Q399" s="140">
        <v>40270</v>
      </c>
      <c r="R399" s="77">
        <v>1.8</v>
      </c>
      <c r="S399" s="77">
        <v>4.3</v>
      </c>
    </row>
    <row r="400" spans="17:19" customFormat="1" x14ac:dyDescent="0.2">
      <c r="Q400" s="140">
        <v>40271</v>
      </c>
      <c r="R400" s="77">
        <v>10.6</v>
      </c>
      <c r="S400" s="77">
        <v>0</v>
      </c>
    </row>
    <row r="401" spans="17:19" customFormat="1" x14ac:dyDescent="0.2">
      <c r="Q401" s="140">
        <v>40272</v>
      </c>
      <c r="R401" s="77">
        <v>5.3</v>
      </c>
      <c r="S401" s="77">
        <v>3.6</v>
      </c>
    </row>
    <row r="402" spans="17:19" customFormat="1" x14ac:dyDescent="0.2">
      <c r="Q402" s="140">
        <v>40273</v>
      </c>
      <c r="R402" s="77">
        <v>3.7</v>
      </c>
      <c r="S402" s="77">
        <v>2.2000000000000002</v>
      </c>
    </row>
    <row r="403" spans="17:19" customFormat="1" x14ac:dyDescent="0.2">
      <c r="Q403" s="140">
        <v>40274</v>
      </c>
      <c r="R403" s="77">
        <v>0.3</v>
      </c>
      <c r="S403" s="77">
        <v>8.1999999999999993</v>
      </c>
    </row>
    <row r="404" spans="17:19" customFormat="1" x14ac:dyDescent="0.2">
      <c r="Q404" s="140">
        <v>40275</v>
      </c>
      <c r="R404" s="77">
        <v>3.4</v>
      </c>
      <c r="S404" s="77">
        <v>2.5</v>
      </c>
    </row>
    <row r="405" spans="17:19" customFormat="1" x14ac:dyDescent="0.2">
      <c r="Q405" s="140">
        <v>40276</v>
      </c>
      <c r="R405" s="77">
        <v>17.2</v>
      </c>
      <c r="S405" s="77">
        <v>0</v>
      </c>
    </row>
    <row r="406" spans="17:19" customFormat="1" x14ac:dyDescent="0.2">
      <c r="Q406" s="140">
        <v>40277</v>
      </c>
      <c r="R406" s="77">
        <v>14.9</v>
      </c>
      <c r="S406" s="77">
        <v>0.1</v>
      </c>
    </row>
    <row r="407" spans="17:19" customFormat="1" x14ac:dyDescent="0.2">
      <c r="Q407" s="140">
        <v>40278</v>
      </c>
      <c r="R407" s="77">
        <v>5.3</v>
      </c>
      <c r="S407" s="77">
        <v>3.1</v>
      </c>
    </row>
    <row r="408" spans="17:19" customFormat="1" x14ac:dyDescent="0.2">
      <c r="Q408" s="140">
        <v>40279</v>
      </c>
      <c r="R408" s="77">
        <v>3.4</v>
      </c>
      <c r="S408" s="77">
        <v>4.5</v>
      </c>
    </row>
    <row r="409" spans="17:19" customFormat="1" x14ac:dyDescent="0.2">
      <c r="Q409" s="140">
        <v>40280</v>
      </c>
      <c r="R409" s="77">
        <v>4.5999999999999996</v>
      </c>
      <c r="S409" s="77">
        <v>4.9000000000000004</v>
      </c>
    </row>
    <row r="410" spans="17:19" customFormat="1" x14ac:dyDescent="0.2">
      <c r="Q410" s="140">
        <v>40281</v>
      </c>
      <c r="R410" s="77">
        <v>1.6</v>
      </c>
      <c r="S410" s="77">
        <v>7</v>
      </c>
    </row>
    <row r="411" spans="17:19" customFormat="1" x14ac:dyDescent="0.2">
      <c r="Q411" s="140">
        <v>40282</v>
      </c>
      <c r="R411" s="77">
        <v>1.6</v>
      </c>
      <c r="S411" s="77">
        <v>8.6999999999999993</v>
      </c>
    </row>
    <row r="412" spans="17:19" customFormat="1" x14ac:dyDescent="0.2">
      <c r="Q412" s="140">
        <v>40283</v>
      </c>
      <c r="R412" s="77">
        <v>1</v>
      </c>
      <c r="S412" s="77">
        <v>8.6999999999999993</v>
      </c>
    </row>
    <row r="413" spans="17:19" customFormat="1" x14ac:dyDescent="0.2">
      <c r="Q413" s="140">
        <v>40284</v>
      </c>
      <c r="R413" s="77">
        <v>2.6</v>
      </c>
      <c r="S413" s="77">
        <v>1.2</v>
      </c>
    </row>
    <row r="414" spans="17:19" customFormat="1" x14ac:dyDescent="0.2">
      <c r="Q414" s="140">
        <v>40285</v>
      </c>
      <c r="R414" s="77">
        <v>12.2</v>
      </c>
      <c r="S414" s="77">
        <v>0</v>
      </c>
    </row>
    <row r="415" spans="17:19" customFormat="1" x14ac:dyDescent="0.2">
      <c r="Q415" s="140">
        <v>40286</v>
      </c>
      <c r="R415" s="77">
        <v>13.3</v>
      </c>
      <c r="S415" s="77">
        <v>0</v>
      </c>
    </row>
    <row r="416" spans="17:19" customFormat="1" x14ac:dyDescent="0.2">
      <c r="Q416" s="140">
        <v>40287</v>
      </c>
      <c r="R416" s="77">
        <v>12.9</v>
      </c>
      <c r="S416" s="77">
        <v>0</v>
      </c>
    </row>
    <row r="417" spans="17:19" customFormat="1" x14ac:dyDescent="0.2">
      <c r="Q417" s="140">
        <v>40288</v>
      </c>
      <c r="R417" s="77">
        <v>9.8000000000000007</v>
      </c>
      <c r="S417" s="77">
        <v>0.9</v>
      </c>
    </row>
    <row r="418" spans="17:19" customFormat="1" x14ac:dyDescent="0.2">
      <c r="Q418" s="140">
        <v>40289</v>
      </c>
      <c r="R418" s="77">
        <v>8.8000000000000007</v>
      </c>
      <c r="S418" s="77">
        <v>2.6</v>
      </c>
    </row>
    <row r="419" spans="17:19" customFormat="1" x14ac:dyDescent="0.2">
      <c r="Q419" s="140">
        <v>40290</v>
      </c>
      <c r="R419" s="77">
        <v>5</v>
      </c>
      <c r="S419" s="77">
        <v>1.9</v>
      </c>
    </row>
    <row r="420" spans="17:19" customFormat="1" x14ac:dyDescent="0.2">
      <c r="Q420" s="140">
        <v>40291</v>
      </c>
      <c r="R420" s="77">
        <v>4.3</v>
      </c>
      <c r="S420" s="77">
        <v>0</v>
      </c>
    </row>
    <row r="421" spans="17:19" customFormat="1" x14ac:dyDescent="0.2">
      <c r="Q421" s="140">
        <v>40292</v>
      </c>
      <c r="R421" s="77">
        <v>1.8</v>
      </c>
      <c r="S421" s="77">
        <v>0.8</v>
      </c>
    </row>
    <row r="422" spans="17:19" customFormat="1" x14ac:dyDescent="0.2">
      <c r="Q422" s="140">
        <v>40293</v>
      </c>
      <c r="R422" s="77">
        <v>9</v>
      </c>
      <c r="S422" s="77">
        <v>0</v>
      </c>
    </row>
    <row r="423" spans="17:19" customFormat="1" x14ac:dyDescent="0.2">
      <c r="Q423" s="140">
        <v>40294</v>
      </c>
      <c r="R423" s="77">
        <v>9.1</v>
      </c>
      <c r="S423" s="77">
        <v>0</v>
      </c>
    </row>
    <row r="424" spans="17:19" customFormat="1" x14ac:dyDescent="0.2">
      <c r="Q424" s="140">
        <v>40295</v>
      </c>
      <c r="R424" s="77">
        <v>11.4</v>
      </c>
      <c r="S424" s="77">
        <v>0</v>
      </c>
    </row>
    <row r="425" spans="17:19" customFormat="1" x14ac:dyDescent="0.2">
      <c r="Q425" s="140">
        <v>40296</v>
      </c>
      <c r="R425" s="77">
        <v>10.199999999999999</v>
      </c>
      <c r="S425" s="77">
        <v>0.2</v>
      </c>
    </row>
    <row r="426" spans="17:19" customFormat="1" x14ac:dyDescent="0.2">
      <c r="Q426" s="140">
        <v>40297</v>
      </c>
      <c r="R426" s="77">
        <v>3.3</v>
      </c>
      <c r="S426" s="77">
        <v>5.5</v>
      </c>
    </row>
    <row r="427" spans="17:19" customFormat="1" x14ac:dyDescent="0.2">
      <c r="Q427" s="140">
        <v>40298</v>
      </c>
      <c r="R427" s="77">
        <v>0.2</v>
      </c>
      <c r="S427" s="77">
        <v>5</v>
      </c>
    </row>
    <row r="428" spans="17:19" customFormat="1" x14ac:dyDescent="0.2">
      <c r="Q428" s="140">
        <v>40299</v>
      </c>
      <c r="R428" s="77">
        <v>1.2</v>
      </c>
      <c r="S428" s="77">
        <v>2.1</v>
      </c>
    </row>
    <row r="429" spans="17:19" customFormat="1" x14ac:dyDescent="0.2">
      <c r="Q429" s="140">
        <v>40300</v>
      </c>
      <c r="R429" s="77">
        <v>4.4000000000000004</v>
      </c>
      <c r="S429" s="77">
        <v>0.8</v>
      </c>
    </row>
    <row r="430" spans="17:19" customFormat="1" x14ac:dyDescent="0.2">
      <c r="Q430" s="140">
        <v>40301</v>
      </c>
      <c r="R430" s="77">
        <v>5.6</v>
      </c>
      <c r="S430" s="77">
        <v>2.7</v>
      </c>
    </row>
    <row r="431" spans="17:19" customFormat="1" x14ac:dyDescent="0.2">
      <c r="Q431" s="140">
        <v>40302</v>
      </c>
      <c r="R431" s="77">
        <v>4.5999999999999996</v>
      </c>
      <c r="S431" s="77">
        <v>6</v>
      </c>
    </row>
    <row r="432" spans="17:19" customFormat="1" x14ac:dyDescent="0.2">
      <c r="Q432" s="140">
        <v>40303</v>
      </c>
      <c r="R432" s="77">
        <v>1.2</v>
      </c>
      <c r="S432" s="77">
        <v>4.3</v>
      </c>
    </row>
    <row r="433" spans="17:19" customFormat="1" x14ac:dyDescent="0.2">
      <c r="Q433" s="140">
        <v>40304</v>
      </c>
      <c r="R433" s="77">
        <v>5</v>
      </c>
      <c r="S433" s="77">
        <v>2.1</v>
      </c>
    </row>
    <row r="434" spans="17:19" customFormat="1" x14ac:dyDescent="0.2">
      <c r="Q434" s="140">
        <v>40305</v>
      </c>
      <c r="R434" s="77">
        <v>3</v>
      </c>
      <c r="S434" s="77">
        <v>2.2999999999999998</v>
      </c>
    </row>
    <row r="435" spans="17:19" customFormat="1" x14ac:dyDescent="0.2">
      <c r="Q435" s="140">
        <v>40306</v>
      </c>
      <c r="R435" s="77">
        <v>16</v>
      </c>
      <c r="S435" s="77">
        <v>0</v>
      </c>
    </row>
    <row r="436" spans="17:19" customFormat="1" x14ac:dyDescent="0.2">
      <c r="Q436" s="140">
        <v>40307</v>
      </c>
      <c r="R436" s="77">
        <v>13.9</v>
      </c>
      <c r="S436" s="77">
        <v>0</v>
      </c>
    </row>
    <row r="437" spans="17:19" customFormat="1" x14ac:dyDescent="0.2">
      <c r="Q437" s="140">
        <v>40308</v>
      </c>
      <c r="R437" s="77">
        <v>10.6</v>
      </c>
      <c r="S437" s="77">
        <v>0</v>
      </c>
    </row>
    <row r="438" spans="17:19" customFormat="1" x14ac:dyDescent="0.2">
      <c r="Q438" s="140">
        <v>40309</v>
      </c>
      <c r="R438" s="77">
        <v>5.8</v>
      </c>
      <c r="S438" s="77">
        <v>0.1</v>
      </c>
    </row>
    <row r="439" spans="17:19" customFormat="1" x14ac:dyDescent="0.2">
      <c r="Q439" s="140">
        <v>40310</v>
      </c>
      <c r="R439" s="77">
        <v>5.3</v>
      </c>
      <c r="S439" s="77">
        <v>0.7</v>
      </c>
    </row>
    <row r="440" spans="17:19" customFormat="1" x14ac:dyDescent="0.2">
      <c r="Q440" s="140">
        <v>40311</v>
      </c>
      <c r="R440" s="77">
        <v>0.1</v>
      </c>
      <c r="S440" s="77">
        <v>6</v>
      </c>
    </row>
    <row r="441" spans="17:19" customFormat="1" x14ac:dyDescent="0.2">
      <c r="Q441" s="140">
        <v>40312</v>
      </c>
      <c r="R441" s="77">
        <v>5.8</v>
      </c>
      <c r="S441" s="77">
        <v>0.8</v>
      </c>
    </row>
    <row r="442" spans="17:19" customFormat="1" x14ac:dyDescent="0.2">
      <c r="Q442" s="140">
        <v>40313</v>
      </c>
      <c r="R442" s="77">
        <v>7.5</v>
      </c>
      <c r="S442" s="77">
        <v>0</v>
      </c>
    </row>
    <row r="443" spans="17:19" customFormat="1" x14ac:dyDescent="0.2">
      <c r="Q443" s="140">
        <v>40314</v>
      </c>
      <c r="R443" s="77">
        <v>5.9</v>
      </c>
      <c r="S443" s="77">
        <v>0</v>
      </c>
    </row>
    <row r="444" spans="17:19" customFormat="1" x14ac:dyDescent="0.2">
      <c r="Q444" s="140">
        <v>40315</v>
      </c>
      <c r="R444" s="77">
        <v>10.3</v>
      </c>
      <c r="S444" s="77">
        <v>0</v>
      </c>
    </row>
    <row r="445" spans="17:19" customFormat="1" x14ac:dyDescent="0.2">
      <c r="Q445" s="140">
        <v>40316</v>
      </c>
      <c r="R445" s="77">
        <v>5.8</v>
      </c>
      <c r="S445" s="77">
        <v>0.9</v>
      </c>
    </row>
    <row r="446" spans="17:19" customFormat="1" x14ac:dyDescent="0.2">
      <c r="Q446" s="140">
        <v>40317</v>
      </c>
      <c r="R446" s="77">
        <v>3.9</v>
      </c>
      <c r="S446" s="77">
        <v>2.5</v>
      </c>
    </row>
    <row r="447" spans="17:19" customFormat="1" x14ac:dyDescent="0.2">
      <c r="Q447" s="140">
        <v>40318</v>
      </c>
      <c r="R447" s="77">
        <v>5.5</v>
      </c>
      <c r="S447" s="77">
        <v>0</v>
      </c>
    </row>
    <row r="448" spans="17:19" customFormat="1" x14ac:dyDescent="0.2">
      <c r="Q448" s="140">
        <v>40319</v>
      </c>
      <c r="R448" s="77">
        <v>1.2</v>
      </c>
      <c r="S448" s="77">
        <v>1.7</v>
      </c>
    </row>
    <row r="449" spans="17:19" customFormat="1" x14ac:dyDescent="0.2">
      <c r="Q449" s="140">
        <v>40320</v>
      </c>
      <c r="R449" s="77">
        <v>2</v>
      </c>
      <c r="S449" s="77">
        <v>7.1</v>
      </c>
    </row>
    <row r="450" spans="17:19" customFormat="1" x14ac:dyDescent="0.2">
      <c r="Q450" s="140">
        <v>40321</v>
      </c>
      <c r="R450" s="77">
        <v>0</v>
      </c>
      <c r="S450" s="77">
        <v>15.9</v>
      </c>
    </row>
    <row r="451" spans="17:19" customFormat="1" x14ac:dyDescent="0.2">
      <c r="Q451" s="140">
        <v>40322</v>
      </c>
      <c r="R451" s="77">
        <v>0</v>
      </c>
      <c r="S451" s="77">
        <v>14.8</v>
      </c>
    </row>
    <row r="452" spans="17:19" customFormat="1" x14ac:dyDescent="0.2">
      <c r="Q452" s="140">
        <v>40323</v>
      </c>
      <c r="R452" s="77">
        <v>0</v>
      </c>
      <c r="S452" s="77">
        <v>7.8</v>
      </c>
    </row>
    <row r="453" spans="17:19" customFormat="1" x14ac:dyDescent="0.2">
      <c r="Q453" s="140">
        <v>40324</v>
      </c>
      <c r="R453" s="77">
        <v>0</v>
      </c>
      <c r="S453" s="77">
        <v>8.1</v>
      </c>
    </row>
    <row r="454" spans="17:19" customFormat="1" x14ac:dyDescent="0.2">
      <c r="Q454" s="140">
        <v>40325</v>
      </c>
      <c r="R454" s="77">
        <v>0</v>
      </c>
      <c r="S454" s="77">
        <v>10.7</v>
      </c>
    </row>
    <row r="455" spans="17:19" customFormat="1" x14ac:dyDescent="0.2">
      <c r="Q455" s="140">
        <v>40326</v>
      </c>
      <c r="R455" s="77">
        <v>1</v>
      </c>
      <c r="S455" s="77">
        <v>8</v>
      </c>
    </row>
    <row r="456" spans="17:19" customFormat="1" x14ac:dyDescent="0.2">
      <c r="Q456" s="140">
        <v>40327</v>
      </c>
      <c r="R456" s="77">
        <v>0.7</v>
      </c>
      <c r="S456" s="77">
        <v>11.5</v>
      </c>
    </row>
    <row r="457" spans="17:19" customFormat="1" x14ac:dyDescent="0.2">
      <c r="Q457" s="140">
        <v>40328</v>
      </c>
      <c r="R457" s="77">
        <v>0</v>
      </c>
      <c r="S457" s="77">
        <v>14.7</v>
      </c>
    </row>
    <row r="458" spans="17:19" customFormat="1" x14ac:dyDescent="0.2">
      <c r="Q458" s="140">
        <v>40329</v>
      </c>
      <c r="R458" s="77">
        <v>0</v>
      </c>
      <c r="S458" s="77">
        <v>10.199999999999999</v>
      </c>
    </row>
    <row r="459" spans="17:19" customFormat="1" x14ac:dyDescent="0.2">
      <c r="Q459" s="140">
        <v>40330</v>
      </c>
      <c r="R459" s="77">
        <v>0</v>
      </c>
      <c r="S459" s="77">
        <v>12.7</v>
      </c>
    </row>
    <row r="460" spans="17:19" customFormat="1" x14ac:dyDescent="0.2">
      <c r="Q460" s="140">
        <v>40331</v>
      </c>
      <c r="R460" s="77">
        <v>0</v>
      </c>
      <c r="S460" s="77">
        <v>7.2</v>
      </c>
    </row>
    <row r="461" spans="17:19" customFormat="1" x14ac:dyDescent="0.2">
      <c r="Q461" s="140">
        <v>40332</v>
      </c>
      <c r="R461" s="77">
        <v>0</v>
      </c>
      <c r="S461" s="77">
        <v>8.3000000000000007</v>
      </c>
    </row>
    <row r="462" spans="17:19" customFormat="1" x14ac:dyDescent="0.2">
      <c r="Q462" s="140">
        <v>40333</v>
      </c>
      <c r="R462" s="77">
        <v>0</v>
      </c>
      <c r="S462" s="77">
        <v>12.9</v>
      </c>
    </row>
    <row r="463" spans="17:19" customFormat="1" x14ac:dyDescent="0.2">
      <c r="Q463" s="140">
        <v>40334</v>
      </c>
      <c r="R463" s="77">
        <v>0</v>
      </c>
      <c r="S463" s="77">
        <v>13.3</v>
      </c>
    </row>
    <row r="464" spans="17:19" customFormat="1" x14ac:dyDescent="0.2">
      <c r="Q464" s="140">
        <v>40335</v>
      </c>
      <c r="R464" s="77">
        <v>0.2</v>
      </c>
      <c r="S464" s="77">
        <v>7.1</v>
      </c>
    </row>
    <row r="465" spans="17:19" customFormat="1" x14ac:dyDescent="0.2">
      <c r="Q465" s="140">
        <v>40336</v>
      </c>
      <c r="R465" s="77">
        <v>0.7</v>
      </c>
      <c r="S465" s="77">
        <v>7.4</v>
      </c>
    </row>
    <row r="466" spans="17:19" customFormat="1" x14ac:dyDescent="0.2">
      <c r="Q466" s="140">
        <v>40337</v>
      </c>
      <c r="R466" s="77">
        <v>0</v>
      </c>
      <c r="S466" s="77">
        <v>6.2</v>
      </c>
    </row>
    <row r="467" spans="17:19" customFormat="1" x14ac:dyDescent="0.2">
      <c r="Q467" s="140">
        <v>40338</v>
      </c>
      <c r="R467" s="77">
        <v>0</v>
      </c>
      <c r="S467" s="77">
        <v>10.9</v>
      </c>
    </row>
    <row r="468" spans="17:19" customFormat="1" x14ac:dyDescent="0.2">
      <c r="Q468" s="140">
        <v>40339</v>
      </c>
      <c r="R468" s="77">
        <v>0.3</v>
      </c>
      <c r="S468" s="77">
        <v>10.199999999999999</v>
      </c>
    </row>
    <row r="469" spans="17:19" customFormat="1" x14ac:dyDescent="0.2">
      <c r="Q469" s="140">
        <v>40340</v>
      </c>
      <c r="R469" s="77">
        <v>0</v>
      </c>
      <c r="S469" s="77">
        <v>15.4</v>
      </c>
    </row>
    <row r="470" spans="17:19" customFormat="1" x14ac:dyDescent="0.2">
      <c r="Q470" s="140">
        <v>40341</v>
      </c>
      <c r="R470" s="77">
        <v>0</v>
      </c>
      <c r="S470" s="77">
        <v>13.1</v>
      </c>
    </row>
    <row r="471" spans="17:19" customFormat="1" x14ac:dyDescent="0.2">
      <c r="Q471" s="140">
        <v>40342</v>
      </c>
      <c r="R471" s="77">
        <v>0</v>
      </c>
      <c r="S471" s="77">
        <v>10.3</v>
      </c>
    </row>
    <row r="472" spans="17:19" customFormat="1" x14ac:dyDescent="0.2">
      <c r="Q472" s="140">
        <v>40343</v>
      </c>
      <c r="R472" s="77">
        <v>0</v>
      </c>
      <c r="S472" s="77">
        <v>12.4</v>
      </c>
    </row>
    <row r="473" spans="17:19" customFormat="1" x14ac:dyDescent="0.2">
      <c r="Q473" s="140">
        <v>40344</v>
      </c>
      <c r="R473" s="77">
        <v>0</v>
      </c>
      <c r="S473" s="77">
        <v>9.8000000000000007</v>
      </c>
    </row>
    <row r="474" spans="17:19" customFormat="1" x14ac:dyDescent="0.2">
      <c r="Q474" s="140">
        <v>40345</v>
      </c>
      <c r="R474" s="77">
        <v>0</v>
      </c>
      <c r="S474" s="77">
        <v>10.199999999999999</v>
      </c>
    </row>
    <row r="475" spans="17:19" customFormat="1" x14ac:dyDescent="0.2">
      <c r="Q475" s="140">
        <v>40346</v>
      </c>
      <c r="R475" s="77">
        <v>0</v>
      </c>
      <c r="S475" s="77">
        <v>12.4</v>
      </c>
    </row>
    <row r="476" spans="17:19" customFormat="1" x14ac:dyDescent="0.2">
      <c r="Q476" s="140">
        <v>40347</v>
      </c>
      <c r="R476" s="77">
        <v>0</v>
      </c>
      <c r="S476" s="77">
        <v>17.3</v>
      </c>
    </row>
    <row r="477" spans="17:19" customFormat="1" x14ac:dyDescent="0.2">
      <c r="Q477" s="140">
        <v>40348</v>
      </c>
      <c r="R477" s="77">
        <v>0</v>
      </c>
      <c r="S477" s="77">
        <v>11.9</v>
      </c>
    </row>
    <row r="478" spans="17:19" customFormat="1" x14ac:dyDescent="0.2">
      <c r="Q478" s="140">
        <v>40349</v>
      </c>
      <c r="R478" s="77">
        <v>0</v>
      </c>
      <c r="S478" s="77">
        <v>16.2</v>
      </c>
    </row>
    <row r="479" spans="17:19" customFormat="1" x14ac:dyDescent="0.2">
      <c r="Q479" s="140">
        <v>40350</v>
      </c>
      <c r="R479" s="77">
        <v>0</v>
      </c>
      <c r="S479" s="77">
        <v>17</v>
      </c>
    </row>
    <row r="480" spans="17:19" customFormat="1" x14ac:dyDescent="0.2">
      <c r="Q480" s="140">
        <v>40351</v>
      </c>
      <c r="R480" s="77">
        <v>0</v>
      </c>
      <c r="S480" s="77">
        <v>12.2</v>
      </c>
    </row>
    <row r="481" spans="17:19" customFormat="1" x14ac:dyDescent="0.2">
      <c r="Q481" s="140">
        <v>40352</v>
      </c>
      <c r="R481" s="77">
        <v>0</v>
      </c>
      <c r="S481" s="77">
        <v>18.5</v>
      </c>
    </row>
    <row r="482" spans="17:19" customFormat="1" x14ac:dyDescent="0.2">
      <c r="Q482" s="140">
        <v>40353</v>
      </c>
      <c r="R482" s="77">
        <v>0</v>
      </c>
      <c r="S482" s="77">
        <v>10.6</v>
      </c>
    </row>
    <row r="483" spans="17:19" customFormat="1" x14ac:dyDescent="0.2">
      <c r="Q483" s="140">
        <v>40354</v>
      </c>
      <c r="R483" s="77">
        <v>0</v>
      </c>
      <c r="S483" s="77">
        <v>11.6</v>
      </c>
    </row>
    <row r="484" spans="17:19" customFormat="1" x14ac:dyDescent="0.2">
      <c r="Q484" s="140">
        <v>40355</v>
      </c>
      <c r="R484" s="77">
        <v>0</v>
      </c>
      <c r="S484" s="77">
        <v>16.7</v>
      </c>
    </row>
    <row r="485" spans="17:19" customFormat="1" x14ac:dyDescent="0.2">
      <c r="Q485" s="140">
        <v>40356</v>
      </c>
      <c r="R485" s="77">
        <v>0</v>
      </c>
      <c r="S485" s="77">
        <v>14.6</v>
      </c>
    </row>
    <row r="486" spans="17:19" customFormat="1" x14ac:dyDescent="0.2">
      <c r="Q486" s="140">
        <v>40357</v>
      </c>
      <c r="R486" s="77">
        <v>0</v>
      </c>
      <c r="S486" s="77">
        <v>12.5</v>
      </c>
    </row>
    <row r="487" spans="17:19" customFormat="1" x14ac:dyDescent="0.2">
      <c r="Q487" s="140">
        <v>40358</v>
      </c>
      <c r="R487" s="77">
        <v>0.3</v>
      </c>
      <c r="S487" s="77">
        <v>6.8</v>
      </c>
    </row>
    <row r="488" spans="17:19" customFormat="1" x14ac:dyDescent="0.2">
      <c r="Q488" s="140">
        <v>40359</v>
      </c>
      <c r="R488" s="77">
        <v>1.2</v>
      </c>
      <c r="S488" s="77">
        <v>6.2</v>
      </c>
    </row>
    <row r="489" spans="17:19" customFormat="1" x14ac:dyDescent="0.2">
      <c r="Q489" s="140">
        <v>40360</v>
      </c>
      <c r="R489" s="77">
        <v>1.3</v>
      </c>
      <c r="S489" s="77">
        <v>6.3</v>
      </c>
    </row>
    <row r="490" spans="17:19" customFormat="1" x14ac:dyDescent="0.2">
      <c r="Q490" s="140">
        <v>40361</v>
      </c>
      <c r="R490" s="77">
        <v>1.4</v>
      </c>
      <c r="S490" s="77">
        <v>8</v>
      </c>
    </row>
    <row r="491" spans="17:19" customFormat="1" x14ac:dyDescent="0.2">
      <c r="Q491" s="140">
        <v>40362</v>
      </c>
      <c r="R491" s="77">
        <v>0.2</v>
      </c>
      <c r="S491" s="77">
        <v>11.1</v>
      </c>
    </row>
    <row r="492" spans="17:19" customFormat="1" x14ac:dyDescent="0.2">
      <c r="Q492" s="140">
        <v>40363</v>
      </c>
      <c r="R492" s="77">
        <v>0</v>
      </c>
      <c r="S492" s="77">
        <v>15.6</v>
      </c>
    </row>
    <row r="493" spans="17:19" customFormat="1" x14ac:dyDescent="0.2">
      <c r="Q493" s="140">
        <v>40364</v>
      </c>
      <c r="R493" s="77">
        <v>0</v>
      </c>
      <c r="S493" s="77">
        <v>16.600000000000001</v>
      </c>
    </row>
    <row r="494" spans="17:19" customFormat="1" x14ac:dyDescent="0.2">
      <c r="Q494" s="140">
        <v>40365</v>
      </c>
      <c r="R494" s="77">
        <v>0</v>
      </c>
      <c r="S494" s="77">
        <v>16.3</v>
      </c>
    </row>
    <row r="495" spans="17:19" customFormat="1" x14ac:dyDescent="0.2">
      <c r="Q495" s="140">
        <v>40366</v>
      </c>
      <c r="R495" s="77">
        <v>0</v>
      </c>
      <c r="S495" s="77">
        <v>16.600000000000001</v>
      </c>
    </row>
    <row r="496" spans="17:19" customFormat="1" x14ac:dyDescent="0.2">
      <c r="Q496" s="140">
        <v>40367</v>
      </c>
      <c r="R496" s="77">
        <v>0</v>
      </c>
      <c r="S496" s="77">
        <v>14.2</v>
      </c>
    </row>
    <row r="497" spans="17:19" customFormat="1" x14ac:dyDescent="0.2">
      <c r="Q497" s="140">
        <v>40368</v>
      </c>
      <c r="R497" s="77">
        <v>0</v>
      </c>
      <c r="S497" s="77">
        <v>13.2</v>
      </c>
    </row>
    <row r="498" spans="17:19" customFormat="1" x14ac:dyDescent="0.2">
      <c r="Q498" s="140">
        <v>40369</v>
      </c>
      <c r="R498" s="77">
        <v>0.2</v>
      </c>
      <c r="S498" s="77">
        <v>11.2</v>
      </c>
    </row>
    <row r="499" spans="17:19" customFormat="1" x14ac:dyDescent="0.2">
      <c r="Q499" s="140">
        <v>40370</v>
      </c>
      <c r="R499" s="77">
        <v>0</v>
      </c>
      <c r="S499" s="77">
        <v>10.5</v>
      </c>
    </row>
    <row r="500" spans="17:19" customFormat="1" x14ac:dyDescent="0.2">
      <c r="Q500" s="140">
        <v>40371</v>
      </c>
      <c r="R500" s="77">
        <v>0</v>
      </c>
      <c r="S500" s="77">
        <v>12.8</v>
      </c>
    </row>
    <row r="501" spans="17:19" customFormat="1" x14ac:dyDescent="0.2">
      <c r="Q501" s="140">
        <v>40372</v>
      </c>
      <c r="R501" s="77">
        <v>0</v>
      </c>
      <c r="S501" s="77">
        <v>15.1</v>
      </c>
    </row>
    <row r="502" spans="17:19" customFormat="1" x14ac:dyDescent="0.2">
      <c r="Q502" s="140">
        <v>40373</v>
      </c>
      <c r="R502" s="77">
        <v>0</v>
      </c>
      <c r="S502" s="77">
        <v>19.399999999999999</v>
      </c>
    </row>
    <row r="503" spans="17:19" customFormat="1" x14ac:dyDescent="0.2">
      <c r="Q503" s="140">
        <v>40374</v>
      </c>
      <c r="R503" s="77">
        <v>0</v>
      </c>
      <c r="S503" s="77">
        <v>19.399999999999999</v>
      </c>
    </row>
    <row r="504" spans="17:19" customFormat="1" x14ac:dyDescent="0.2">
      <c r="Q504" s="140">
        <v>40375</v>
      </c>
      <c r="R504" s="77">
        <v>0.1</v>
      </c>
      <c r="S504" s="77">
        <v>12.9</v>
      </c>
    </row>
    <row r="505" spans="17:19" customFormat="1" x14ac:dyDescent="0.2">
      <c r="Q505" s="140">
        <v>40376</v>
      </c>
      <c r="R505" s="77">
        <v>0</v>
      </c>
      <c r="S505" s="77">
        <v>17</v>
      </c>
    </row>
    <row r="506" spans="17:19" customFormat="1" x14ac:dyDescent="0.2">
      <c r="Q506" s="140">
        <v>40377</v>
      </c>
      <c r="R506" s="77">
        <v>0</v>
      </c>
      <c r="S506" s="77">
        <v>13.5</v>
      </c>
    </row>
    <row r="507" spans="17:19" customFormat="1" x14ac:dyDescent="0.2">
      <c r="Q507" s="140">
        <v>40378</v>
      </c>
      <c r="R507" s="77">
        <v>0</v>
      </c>
      <c r="S507" s="77">
        <v>9</v>
      </c>
    </row>
    <row r="508" spans="17:19" customFormat="1" x14ac:dyDescent="0.2">
      <c r="Q508" s="140">
        <v>40379</v>
      </c>
      <c r="R508" s="77">
        <v>0</v>
      </c>
      <c r="S508" s="77">
        <v>11</v>
      </c>
    </row>
    <row r="509" spans="17:19" customFormat="1" x14ac:dyDescent="0.2">
      <c r="Q509" s="140">
        <v>40380</v>
      </c>
      <c r="R509" s="77">
        <v>0</v>
      </c>
      <c r="S509" s="77">
        <v>14.8</v>
      </c>
    </row>
    <row r="510" spans="17:19" customFormat="1" x14ac:dyDescent="0.2">
      <c r="Q510" s="140">
        <v>40381</v>
      </c>
      <c r="R510" s="77">
        <v>0</v>
      </c>
      <c r="S510" s="77">
        <v>18.399999999999999</v>
      </c>
    </row>
    <row r="511" spans="17:19" customFormat="1" x14ac:dyDescent="0.2">
      <c r="Q511" s="140">
        <v>40382</v>
      </c>
      <c r="R511" s="77">
        <v>0</v>
      </c>
      <c r="S511" s="77">
        <v>21</v>
      </c>
    </row>
    <row r="512" spans="17:19" customFormat="1" x14ac:dyDescent="0.2">
      <c r="Q512" s="140">
        <v>40383</v>
      </c>
      <c r="R512" s="77">
        <v>0</v>
      </c>
      <c r="S512" s="77">
        <v>17.100000000000001</v>
      </c>
    </row>
    <row r="513" spans="17:19" customFormat="1" x14ac:dyDescent="0.2">
      <c r="Q513" s="140">
        <v>40384</v>
      </c>
      <c r="R513" s="77">
        <v>0</v>
      </c>
      <c r="S513" s="77">
        <v>14.3</v>
      </c>
    </row>
    <row r="514" spans="17:19" customFormat="1" x14ac:dyDescent="0.2">
      <c r="Q514" s="140">
        <v>40385</v>
      </c>
      <c r="R514" s="77">
        <v>0</v>
      </c>
      <c r="S514" s="77">
        <v>13.5</v>
      </c>
    </row>
    <row r="515" spans="17:19" customFormat="1" x14ac:dyDescent="0.2">
      <c r="Q515" s="140">
        <v>40386</v>
      </c>
      <c r="R515" s="77">
        <v>0</v>
      </c>
      <c r="S515" s="77">
        <v>16.3</v>
      </c>
    </row>
    <row r="516" spans="17:19" customFormat="1" x14ac:dyDescent="0.2">
      <c r="Q516" s="140">
        <v>40387</v>
      </c>
      <c r="R516" s="77">
        <v>0</v>
      </c>
      <c r="S516" s="77">
        <v>17.600000000000001</v>
      </c>
    </row>
    <row r="517" spans="17:19" customFormat="1" x14ac:dyDescent="0.2">
      <c r="Q517" s="140">
        <v>40388</v>
      </c>
      <c r="R517" s="77">
        <v>0</v>
      </c>
      <c r="S517" s="77">
        <v>12.7</v>
      </c>
    </row>
    <row r="518" spans="17:19" customFormat="1" x14ac:dyDescent="0.2">
      <c r="Q518" s="140">
        <v>40389</v>
      </c>
      <c r="R518" s="77">
        <v>0</v>
      </c>
      <c r="S518" s="77">
        <v>10</v>
      </c>
    </row>
    <row r="519" spans="17:19" customFormat="1" x14ac:dyDescent="0.2">
      <c r="Q519" s="140">
        <v>40390</v>
      </c>
      <c r="R519" s="77">
        <v>0</v>
      </c>
      <c r="S519" s="77">
        <v>11.7</v>
      </c>
    </row>
    <row r="520" spans="17:19" customFormat="1" x14ac:dyDescent="0.2">
      <c r="Q520" s="140">
        <v>40391</v>
      </c>
      <c r="R520" s="77">
        <v>0</v>
      </c>
      <c r="S520" s="77">
        <v>11</v>
      </c>
    </row>
    <row r="521" spans="17:19" customFormat="1" x14ac:dyDescent="0.2">
      <c r="Q521" s="140">
        <v>40392</v>
      </c>
      <c r="R521" s="77">
        <v>0</v>
      </c>
      <c r="S521" s="77">
        <v>12.2</v>
      </c>
    </row>
    <row r="522" spans="17:19" customFormat="1" x14ac:dyDescent="0.2">
      <c r="Q522" s="140">
        <v>40393</v>
      </c>
      <c r="R522" s="77">
        <v>0</v>
      </c>
      <c r="S522" s="77">
        <v>20</v>
      </c>
    </row>
    <row r="523" spans="17:19" customFormat="1" x14ac:dyDescent="0.2">
      <c r="Q523" s="140">
        <v>40394</v>
      </c>
      <c r="R523" s="77">
        <v>0</v>
      </c>
      <c r="S523" s="77">
        <v>18.399999999999999</v>
      </c>
    </row>
    <row r="524" spans="17:19" customFormat="1" x14ac:dyDescent="0.2">
      <c r="Q524" s="140">
        <v>40395</v>
      </c>
      <c r="R524" s="77">
        <v>0</v>
      </c>
      <c r="S524" s="77">
        <v>14.9</v>
      </c>
    </row>
    <row r="525" spans="17:19" customFormat="1" x14ac:dyDescent="0.2">
      <c r="Q525" s="140">
        <v>40396</v>
      </c>
      <c r="R525" s="77">
        <v>0.2</v>
      </c>
      <c r="S525" s="77">
        <v>8.4</v>
      </c>
    </row>
    <row r="526" spans="17:19" customFormat="1" x14ac:dyDescent="0.2">
      <c r="Q526" s="140">
        <v>40397</v>
      </c>
      <c r="R526" s="77">
        <v>0.3</v>
      </c>
      <c r="S526" s="77">
        <v>10</v>
      </c>
    </row>
    <row r="527" spans="17:19" customFormat="1" x14ac:dyDescent="0.2">
      <c r="Q527" s="140">
        <v>40398</v>
      </c>
      <c r="R527" s="77">
        <v>0</v>
      </c>
      <c r="S527" s="77">
        <v>15.8</v>
      </c>
    </row>
    <row r="528" spans="17:19" customFormat="1" x14ac:dyDescent="0.2">
      <c r="Q528" s="140">
        <v>40399</v>
      </c>
      <c r="R528" s="77">
        <v>0</v>
      </c>
      <c r="S528" s="77">
        <v>19.5</v>
      </c>
    </row>
    <row r="529" spans="17:19" customFormat="1" x14ac:dyDescent="0.2">
      <c r="Q529" s="140">
        <v>40400</v>
      </c>
      <c r="R529" s="77">
        <v>0</v>
      </c>
      <c r="S529" s="77">
        <v>18.2</v>
      </c>
    </row>
    <row r="530" spans="17:19" customFormat="1" x14ac:dyDescent="0.2">
      <c r="Q530" s="140">
        <v>40401</v>
      </c>
      <c r="R530" s="77">
        <v>0</v>
      </c>
      <c r="S530" s="77">
        <v>17.8</v>
      </c>
    </row>
    <row r="531" spans="17:19" customFormat="1" x14ac:dyDescent="0.2">
      <c r="Q531" s="140">
        <v>40402</v>
      </c>
      <c r="R531" s="77">
        <v>0</v>
      </c>
      <c r="S531" s="77">
        <v>20</v>
      </c>
    </row>
    <row r="532" spans="17:19" customFormat="1" x14ac:dyDescent="0.2">
      <c r="Q532" s="140">
        <v>40403</v>
      </c>
      <c r="R532" s="77">
        <v>0</v>
      </c>
      <c r="S532" s="77">
        <v>17.600000000000001</v>
      </c>
    </row>
    <row r="533" spans="17:19" customFormat="1" x14ac:dyDescent="0.2">
      <c r="Q533" s="140">
        <v>40404</v>
      </c>
      <c r="R533" s="77">
        <v>0</v>
      </c>
      <c r="S533" s="77">
        <v>16.7</v>
      </c>
    </row>
    <row r="534" spans="17:19" customFormat="1" x14ac:dyDescent="0.2">
      <c r="Q534" s="140">
        <v>40405</v>
      </c>
      <c r="R534" s="77">
        <v>0</v>
      </c>
      <c r="S534" s="77">
        <v>14.8</v>
      </c>
    </row>
    <row r="535" spans="17:19" customFormat="1" x14ac:dyDescent="0.2">
      <c r="Q535" s="140">
        <v>40406</v>
      </c>
      <c r="R535" s="77">
        <v>0.1</v>
      </c>
      <c r="S535" s="77">
        <v>9.5</v>
      </c>
    </row>
    <row r="536" spans="17:19" customFormat="1" x14ac:dyDescent="0.2">
      <c r="Q536" s="140">
        <v>40407</v>
      </c>
      <c r="R536" s="77">
        <v>0</v>
      </c>
      <c r="S536" s="77">
        <v>7.7</v>
      </c>
    </row>
    <row r="537" spans="17:19" customFormat="1" x14ac:dyDescent="0.2">
      <c r="Q537" s="140">
        <v>40408</v>
      </c>
      <c r="R537" s="77">
        <v>0</v>
      </c>
      <c r="S537" s="77">
        <v>10.199999999999999</v>
      </c>
    </row>
    <row r="538" spans="17:19" customFormat="1" x14ac:dyDescent="0.2">
      <c r="Q538" s="140">
        <v>40409</v>
      </c>
      <c r="R538" s="77">
        <v>0</v>
      </c>
      <c r="S538" s="77">
        <v>14.7</v>
      </c>
    </row>
    <row r="539" spans="17:19" customFormat="1" x14ac:dyDescent="0.2">
      <c r="Q539" s="140">
        <v>40410</v>
      </c>
      <c r="R539" s="77">
        <v>0</v>
      </c>
      <c r="S539" s="77">
        <v>16.3</v>
      </c>
    </row>
    <row r="540" spans="17:19" customFormat="1" x14ac:dyDescent="0.2">
      <c r="Q540" s="140">
        <v>40411</v>
      </c>
      <c r="R540" s="77">
        <v>0</v>
      </c>
      <c r="S540" s="77">
        <v>11.3</v>
      </c>
    </row>
    <row r="541" spans="17:19" customFormat="1" x14ac:dyDescent="0.2">
      <c r="Q541" s="140">
        <v>40412</v>
      </c>
      <c r="R541" s="77">
        <v>0</v>
      </c>
      <c r="S541" s="77">
        <v>13.6</v>
      </c>
    </row>
    <row r="542" spans="17:19" customFormat="1" x14ac:dyDescent="0.2">
      <c r="Q542" s="140">
        <v>40413</v>
      </c>
      <c r="R542" s="77">
        <v>0.2</v>
      </c>
      <c r="S542" s="77">
        <v>10.199999999999999</v>
      </c>
    </row>
    <row r="543" spans="17:19" customFormat="1" x14ac:dyDescent="0.2">
      <c r="Q543" s="140">
        <v>40414</v>
      </c>
      <c r="R543" s="77">
        <v>0</v>
      </c>
      <c r="S543" s="77">
        <v>10.4</v>
      </c>
    </row>
    <row r="544" spans="17:19" customFormat="1" x14ac:dyDescent="0.2">
      <c r="Q544" s="140">
        <v>40415</v>
      </c>
      <c r="R544" s="77">
        <v>0.8</v>
      </c>
      <c r="S544" s="77">
        <v>6.5</v>
      </c>
    </row>
    <row r="545" spans="17:19" customFormat="1" x14ac:dyDescent="0.2">
      <c r="Q545" s="140">
        <v>40416</v>
      </c>
      <c r="R545" s="77">
        <v>2.6</v>
      </c>
      <c r="S545" s="77">
        <v>5.4</v>
      </c>
    </row>
    <row r="546" spans="17:19" customFormat="1" x14ac:dyDescent="0.2">
      <c r="Q546" s="140">
        <v>40417</v>
      </c>
      <c r="R546" s="77">
        <v>2.4</v>
      </c>
      <c r="S546" s="77">
        <v>7.4</v>
      </c>
    </row>
    <row r="547" spans="17:19" customFormat="1" x14ac:dyDescent="0.2">
      <c r="Q547" s="140">
        <v>40418</v>
      </c>
      <c r="R547" s="77">
        <v>1.7</v>
      </c>
      <c r="S547" s="77">
        <v>10.9</v>
      </c>
    </row>
    <row r="548" spans="17:19" customFormat="1" x14ac:dyDescent="0.2">
      <c r="Q548" s="140">
        <v>40419</v>
      </c>
      <c r="R548" s="77">
        <v>0</v>
      </c>
      <c r="S548" s="77">
        <v>16.8</v>
      </c>
    </row>
    <row r="549" spans="17:19" customFormat="1" x14ac:dyDescent="0.2">
      <c r="Q549" s="140">
        <v>40420</v>
      </c>
      <c r="R549" s="77">
        <v>0</v>
      </c>
      <c r="S549" s="77">
        <v>11.3</v>
      </c>
    </row>
    <row r="550" spans="17:19" customFormat="1" x14ac:dyDescent="0.2">
      <c r="Q550" s="140">
        <v>40421</v>
      </c>
      <c r="R550" s="77">
        <v>0</v>
      </c>
      <c r="S550" s="77">
        <v>16.2</v>
      </c>
    </row>
    <row r="551" spans="17:19" customFormat="1" x14ac:dyDescent="0.2">
      <c r="Q551" s="140">
        <v>40422</v>
      </c>
      <c r="R551" s="77">
        <v>0</v>
      </c>
      <c r="S551" s="77">
        <v>10.7</v>
      </c>
    </row>
    <row r="552" spans="17:19" customFormat="1" x14ac:dyDescent="0.2">
      <c r="Q552" s="140">
        <v>40423</v>
      </c>
      <c r="R552" s="77">
        <v>0</v>
      </c>
      <c r="S552" s="77">
        <v>9.8000000000000007</v>
      </c>
    </row>
    <row r="553" spans="17:19" customFormat="1" x14ac:dyDescent="0.2">
      <c r="Q553" s="140">
        <v>40424</v>
      </c>
      <c r="R553" s="77">
        <v>1.9</v>
      </c>
      <c r="S553" s="77">
        <v>3.4</v>
      </c>
    </row>
    <row r="554" spans="17:19" customFormat="1" x14ac:dyDescent="0.2">
      <c r="Q554" s="140">
        <v>40425</v>
      </c>
      <c r="R554" s="77">
        <v>5.9</v>
      </c>
      <c r="S554" s="77">
        <v>2</v>
      </c>
    </row>
    <row r="555" spans="17:19" customFormat="1" x14ac:dyDescent="0.2">
      <c r="Q555" s="140">
        <v>40426</v>
      </c>
      <c r="R555" s="77">
        <v>4.3</v>
      </c>
      <c r="S555" s="77">
        <v>5.6</v>
      </c>
    </row>
    <row r="556" spans="17:19" customFormat="1" x14ac:dyDescent="0.2">
      <c r="Q556" s="140">
        <v>40427</v>
      </c>
      <c r="R556" s="77">
        <v>0.2</v>
      </c>
      <c r="S556" s="77">
        <v>10.4</v>
      </c>
    </row>
    <row r="557" spans="17:19" customFormat="1" x14ac:dyDescent="0.2">
      <c r="Q557" s="140">
        <v>40428</v>
      </c>
      <c r="R557" s="77">
        <v>0.7</v>
      </c>
      <c r="S557" s="77">
        <v>7.7</v>
      </c>
    </row>
    <row r="558" spans="17:19" customFormat="1" x14ac:dyDescent="0.2">
      <c r="Q558" s="140">
        <v>40429</v>
      </c>
      <c r="R558" s="77">
        <v>4.5999999999999996</v>
      </c>
      <c r="S558" s="77">
        <v>4.3</v>
      </c>
    </row>
    <row r="559" spans="17:19" customFormat="1" x14ac:dyDescent="0.2">
      <c r="Q559" s="140">
        <v>40430</v>
      </c>
      <c r="R559" s="77">
        <v>3.2</v>
      </c>
      <c r="S559" s="77">
        <v>2.7</v>
      </c>
    </row>
    <row r="560" spans="17:19" customFormat="1" x14ac:dyDescent="0.2">
      <c r="Q560" s="140">
        <v>40431</v>
      </c>
      <c r="R560" s="77">
        <v>2</v>
      </c>
      <c r="S560" s="77">
        <v>0.8</v>
      </c>
    </row>
    <row r="561" spans="17:19" customFormat="1" x14ac:dyDescent="0.2">
      <c r="Q561" s="140">
        <v>40432</v>
      </c>
      <c r="R561" s="77">
        <v>0.8</v>
      </c>
      <c r="S561" s="77">
        <v>4.0999999999999996</v>
      </c>
    </row>
    <row r="562" spans="17:19" customFormat="1" x14ac:dyDescent="0.2">
      <c r="Q562" s="140">
        <v>40433</v>
      </c>
      <c r="R562" s="77">
        <v>3.3</v>
      </c>
      <c r="S562" s="77">
        <v>7.8</v>
      </c>
    </row>
    <row r="563" spans="17:19" customFormat="1" x14ac:dyDescent="0.2">
      <c r="Q563" s="140">
        <v>40434</v>
      </c>
      <c r="R563" s="77">
        <v>0.9</v>
      </c>
      <c r="S563" s="77">
        <v>10.1</v>
      </c>
    </row>
    <row r="564" spans="17:19" customFormat="1" x14ac:dyDescent="0.2">
      <c r="Q564" s="140">
        <v>40435</v>
      </c>
      <c r="R564" s="77">
        <v>0</v>
      </c>
      <c r="S564" s="77">
        <v>10.4</v>
      </c>
    </row>
    <row r="565" spans="17:19" customFormat="1" x14ac:dyDescent="0.2">
      <c r="Q565" s="140">
        <v>40436</v>
      </c>
      <c r="R565" s="77">
        <v>0.5</v>
      </c>
      <c r="S565" s="77">
        <v>8.1</v>
      </c>
    </row>
    <row r="566" spans="17:19" customFormat="1" x14ac:dyDescent="0.2">
      <c r="Q566" s="140">
        <v>40437</v>
      </c>
      <c r="R566" s="77">
        <v>1.3</v>
      </c>
      <c r="S566" s="77">
        <v>3.6</v>
      </c>
    </row>
    <row r="567" spans="17:19" customFormat="1" x14ac:dyDescent="0.2">
      <c r="Q567" s="140">
        <v>40438</v>
      </c>
      <c r="R567" s="77">
        <v>4.9000000000000004</v>
      </c>
      <c r="S567" s="77">
        <v>4.3</v>
      </c>
    </row>
    <row r="568" spans="17:19" customFormat="1" x14ac:dyDescent="0.2">
      <c r="Q568" s="140">
        <v>40439</v>
      </c>
      <c r="R568" s="77">
        <v>0.8</v>
      </c>
      <c r="S568" s="77">
        <v>6.4</v>
      </c>
    </row>
    <row r="569" spans="17:19" customFormat="1" x14ac:dyDescent="0.2">
      <c r="Q569" s="140">
        <v>40440</v>
      </c>
      <c r="R569" s="77">
        <v>0.5</v>
      </c>
      <c r="S569" s="77">
        <v>5.9</v>
      </c>
    </row>
    <row r="570" spans="17:19" customFormat="1" x14ac:dyDescent="0.2">
      <c r="Q570" s="140">
        <v>40441</v>
      </c>
      <c r="R570" s="77">
        <v>0</v>
      </c>
      <c r="S570" s="77">
        <v>12.1</v>
      </c>
    </row>
    <row r="571" spans="17:19" customFormat="1" x14ac:dyDescent="0.2">
      <c r="Q571" s="140">
        <v>40442</v>
      </c>
      <c r="R571" s="77">
        <v>0</v>
      </c>
      <c r="S571" s="77">
        <v>13.7</v>
      </c>
    </row>
    <row r="572" spans="17:19" customFormat="1" x14ac:dyDescent="0.2">
      <c r="Q572" s="140">
        <v>40443</v>
      </c>
      <c r="R572" s="77">
        <v>0</v>
      </c>
      <c r="S572" s="77">
        <v>6.7</v>
      </c>
    </row>
    <row r="573" spans="17:19" customFormat="1" x14ac:dyDescent="0.2">
      <c r="Q573" s="140">
        <v>40444</v>
      </c>
      <c r="R573" s="77">
        <v>0</v>
      </c>
      <c r="S573" s="77">
        <v>14.8</v>
      </c>
    </row>
    <row r="574" spans="17:19" customFormat="1" x14ac:dyDescent="0.2">
      <c r="Q574" s="140">
        <v>40445</v>
      </c>
      <c r="R574" s="77">
        <v>0.7</v>
      </c>
      <c r="S574" s="77">
        <v>6.9</v>
      </c>
    </row>
    <row r="575" spans="17:19" customFormat="1" x14ac:dyDescent="0.2">
      <c r="Q575" s="140">
        <v>40446</v>
      </c>
      <c r="R575" s="77">
        <v>6.9</v>
      </c>
      <c r="S575" s="77">
        <v>0.7</v>
      </c>
    </row>
    <row r="576" spans="17:19" customFormat="1" x14ac:dyDescent="0.2">
      <c r="Q576" s="140">
        <v>40447</v>
      </c>
      <c r="R576" s="77">
        <v>10.1</v>
      </c>
      <c r="S576" s="77">
        <v>0</v>
      </c>
    </row>
    <row r="577" spans="17:19" customFormat="1" x14ac:dyDescent="0.2">
      <c r="Q577" s="140">
        <v>40448</v>
      </c>
      <c r="R577" s="77">
        <v>10.199999999999999</v>
      </c>
      <c r="S577" s="77">
        <v>0.1</v>
      </c>
    </row>
    <row r="578" spans="17:19" customFormat="1" x14ac:dyDescent="0.2">
      <c r="Q578" s="140">
        <v>40449</v>
      </c>
      <c r="R578" s="77">
        <v>7.8</v>
      </c>
      <c r="S578" s="77">
        <v>2.7</v>
      </c>
    </row>
    <row r="579" spans="17:19" customFormat="1" x14ac:dyDescent="0.2">
      <c r="Q579" s="140">
        <v>40450</v>
      </c>
      <c r="R579" s="77">
        <v>6</v>
      </c>
      <c r="S579" s="77">
        <v>3.7</v>
      </c>
    </row>
    <row r="580" spans="17:19" customFormat="1" x14ac:dyDescent="0.2">
      <c r="Q580" s="140">
        <v>40451</v>
      </c>
      <c r="R580" s="77">
        <v>3.8</v>
      </c>
      <c r="S580" s="77">
        <v>3.5</v>
      </c>
    </row>
    <row r="581" spans="17:19" customFormat="1" x14ac:dyDescent="0.2">
      <c r="Q581" s="140">
        <v>40452</v>
      </c>
      <c r="R581" s="77">
        <v>8.4</v>
      </c>
      <c r="S581" s="77">
        <v>2.2999999999999998</v>
      </c>
    </row>
    <row r="582" spans="17:19" customFormat="1" x14ac:dyDescent="0.2">
      <c r="Q582" s="140">
        <v>40453</v>
      </c>
      <c r="R582" s="77">
        <v>11</v>
      </c>
      <c r="S582" s="77">
        <v>0</v>
      </c>
    </row>
    <row r="583" spans="17:19" customFormat="1" x14ac:dyDescent="0.2">
      <c r="Q583" s="140">
        <v>40454</v>
      </c>
      <c r="R583" s="77">
        <v>15.7</v>
      </c>
      <c r="S583" s="77">
        <v>0</v>
      </c>
    </row>
    <row r="584" spans="17:19" customFormat="1" x14ac:dyDescent="0.2">
      <c r="Q584" s="140">
        <v>40455</v>
      </c>
      <c r="R584" s="77">
        <v>17.399999999999999</v>
      </c>
      <c r="S584" s="77">
        <v>0</v>
      </c>
    </row>
    <row r="585" spans="17:19" customFormat="1" x14ac:dyDescent="0.2">
      <c r="Q585" s="140">
        <v>40456</v>
      </c>
      <c r="R585" s="77">
        <v>14.2</v>
      </c>
      <c r="S585" s="77">
        <v>0.6</v>
      </c>
    </row>
    <row r="586" spans="17:19" customFormat="1" x14ac:dyDescent="0.2">
      <c r="Q586" s="140">
        <v>40457</v>
      </c>
      <c r="R586" s="77">
        <v>9.3000000000000007</v>
      </c>
      <c r="S586" s="77">
        <v>3.6</v>
      </c>
    </row>
    <row r="587" spans="17:19" customFormat="1" x14ac:dyDescent="0.2">
      <c r="Q587" s="140">
        <v>40458</v>
      </c>
      <c r="R587" s="77">
        <v>7.1</v>
      </c>
      <c r="S587" s="77">
        <v>3.2</v>
      </c>
    </row>
    <row r="588" spans="17:19" customFormat="1" x14ac:dyDescent="0.2">
      <c r="Q588" s="140">
        <v>40459</v>
      </c>
      <c r="R588" s="77">
        <v>8.9</v>
      </c>
      <c r="S588" s="77">
        <v>4</v>
      </c>
    </row>
    <row r="589" spans="17:19" customFormat="1" x14ac:dyDescent="0.2">
      <c r="Q589" s="140">
        <v>40460</v>
      </c>
      <c r="R589" s="77">
        <v>3.9</v>
      </c>
      <c r="S589" s="77">
        <v>6.5</v>
      </c>
    </row>
    <row r="590" spans="17:19" customFormat="1" x14ac:dyDescent="0.2">
      <c r="Q590" s="140">
        <v>40461</v>
      </c>
      <c r="R590" s="77">
        <v>3.8</v>
      </c>
      <c r="S590" s="77">
        <v>6.3</v>
      </c>
    </row>
    <row r="591" spans="17:19" customFormat="1" x14ac:dyDescent="0.2">
      <c r="Q591" s="140">
        <v>40462</v>
      </c>
      <c r="R591" s="77">
        <v>3.2</v>
      </c>
      <c r="S591" s="77">
        <v>5.7</v>
      </c>
    </row>
    <row r="592" spans="17:19" customFormat="1" x14ac:dyDescent="0.2">
      <c r="Q592" s="140">
        <v>40463</v>
      </c>
      <c r="R592" s="77">
        <v>2.5</v>
      </c>
      <c r="S592" s="77">
        <v>3.3</v>
      </c>
    </row>
    <row r="593" spans="17:19" customFormat="1" x14ac:dyDescent="0.2">
      <c r="Q593" s="140">
        <v>40464</v>
      </c>
      <c r="R593" s="77">
        <v>5.3</v>
      </c>
      <c r="S593" s="77">
        <v>1.1000000000000001</v>
      </c>
    </row>
    <row r="594" spans="17:19" customFormat="1" x14ac:dyDescent="0.2">
      <c r="Q594" s="140">
        <v>40465</v>
      </c>
      <c r="R594" s="77">
        <v>11.1</v>
      </c>
      <c r="S594" s="77">
        <v>0.9</v>
      </c>
    </row>
    <row r="595" spans="17:19" customFormat="1" x14ac:dyDescent="0.2">
      <c r="Q595" s="140">
        <v>40466</v>
      </c>
      <c r="R595" s="77">
        <v>9.6</v>
      </c>
      <c r="S595" s="77">
        <v>0.2</v>
      </c>
    </row>
    <row r="596" spans="17:19" customFormat="1" x14ac:dyDescent="0.2">
      <c r="Q596" s="140">
        <v>40467</v>
      </c>
      <c r="R596" s="77">
        <v>9.1999999999999993</v>
      </c>
      <c r="S596" s="77">
        <v>2.2000000000000002</v>
      </c>
    </row>
    <row r="597" spans="17:19" customFormat="1" x14ac:dyDescent="0.2">
      <c r="Q597" s="140">
        <v>40468</v>
      </c>
      <c r="R597" s="77">
        <v>7.3</v>
      </c>
      <c r="S597" s="77">
        <v>1.8</v>
      </c>
    </row>
    <row r="598" spans="17:19" customFormat="1" x14ac:dyDescent="0.2">
      <c r="Q598" s="140">
        <v>40469</v>
      </c>
      <c r="R598" s="77">
        <v>10.6</v>
      </c>
      <c r="S598" s="77">
        <v>0.1</v>
      </c>
    </row>
    <row r="599" spans="17:19" customFormat="1" x14ac:dyDescent="0.2">
      <c r="Q599" s="140">
        <v>40470</v>
      </c>
      <c r="R599" s="77">
        <v>15.9</v>
      </c>
      <c r="S599" s="77">
        <v>0</v>
      </c>
    </row>
    <row r="600" spans="17:19" customFormat="1" x14ac:dyDescent="0.2">
      <c r="Q600" s="140">
        <v>40471</v>
      </c>
      <c r="R600" s="77">
        <v>9.8000000000000007</v>
      </c>
      <c r="S600" s="77">
        <v>1.3</v>
      </c>
    </row>
    <row r="601" spans="17:19" customFormat="1" x14ac:dyDescent="0.2">
      <c r="Q601" s="140">
        <v>40472</v>
      </c>
      <c r="R601" s="77">
        <v>12.2</v>
      </c>
      <c r="S601" s="77">
        <v>0</v>
      </c>
    </row>
    <row r="602" spans="17:19" customFormat="1" x14ac:dyDescent="0.2">
      <c r="Q602" s="140">
        <v>40473</v>
      </c>
      <c r="R602" s="77">
        <v>11.3</v>
      </c>
      <c r="S602" s="77">
        <v>1.3</v>
      </c>
    </row>
    <row r="603" spans="17:19" customFormat="1" x14ac:dyDescent="0.2">
      <c r="Q603" s="140">
        <v>40474</v>
      </c>
      <c r="R603" s="77">
        <v>1.3</v>
      </c>
      <c r="S603" s="77">
        <v>3.8</v>
      </c>
    </row>
    <row r="604" spans="17:19" customFormat="1" x14ac:dyDescent="0.2">
      <c r="Q604" s="140">
        <v>40475</v>
      </c>
      <c r="R604" s="77">
        <v>0.7</v>
      </c>
      <c r="S604" s="77">
        <v>4.3</v>
      </c>
    </row>
    <row r="605" spans="17:19" customFormat="1" x14ac:dyDescent="0.2">
      <c r="Q605" s="140">
        <v>40476</v>
      </c>
      <c r="R605" s="77">
        <v>2</v>
      </c>
      <c r="S605" s="77">
        <v>2.7</v>
      </c>
    </row>
    <row r="606" spans="17:19" customFormat="1" x14ac:dyDescent="0.2">
      <c r="Q606" s="140">
        <v>40477</v>
      </c>
      <c r="R606" s="77">
        <v>4.7</v>
      </c>
      <c r="S606" s="77">
        <v>1.3</v>
      </c>
    </row>
    <row r="607" spans="17:19" customFormat="1" x14ac:dyDescent="0.2">
      <c r="Q607" s="140">
        <v>40478</v>
      </c>
      <c r="R607" s="77">
        <v>8.3000000000000007</v>
      </c>
      <c r="S607" s="77">
        <v>0.4</v>
      </c>
    </row>
    <row r="608" spans="17:19" customFormat="1" x14ac:dyDescent="0.2">
      <c r="Q608" s="140">
        <v>40479</v>
      </c>
      <c r="R608" s="77">
        <v>21.6</v>
      </c>
      <c r="S608" s="77">
        <v>0</v>
      </c>
    </row>
    <row r="609" spans="17:19" customFormat="1" x14ac:dyDescent="0.2">
      <c r="Q609" s="140">
        <v>40480</v>
      </c>
      <c r="R609" s="77">
        <v>24</v>
      </c>
      <c r="S609" s="77">
        <v>0</v>
      </c>
    </row>
    <row r="610" spans="17:19" customFormat="1" x14ac:dyDescent="0.2">
      <c r="Q610" s="140">
        <v>40481</v>
      </c>
      <c r="R610" s="77">
        <v>12.3</v>
      </c>
      <c r="S610" s="77">
        <v>0.4</v>
      </c>
    </row>
    <row r="611" spans="17:19" customFormat="1" x14ac:dyDescent="0.2">
      <c r="Q611" s="140">
        <v>40482</v>
      </c>
      <c r="R611" s="77">
        <v>16.7</v>
      </c>
      <c r="S611" s="77">
        <v>0</v>
      </c>
    </row>
    <row r="612" spans="17:19" customFormat="1" x14ac:dyDescent="0.2">
      <c r="Q612" s="140">
        <v>40483</v>
      </c>
      <c r="R612" s="77">
        <v>17.7</v>
      </c>
      <c r="S612" s="77">
        <v>0</v>
      </c>
    </row>
    <row r="613" spans="17:19" customFormat="1" x14ac:dyDescent="0.2">
      <c r="Q613" s="140">
        <v>40484</v>
      </c>
      <c r="R613" s="77">
        <v>22.9</v>
      </c>
      <c r="S613" s="77">
        <v>0</v>
      </c>
    </row>
    <row r="614" spans="17:19" customFormat="1" x14ac:dyDescent="0.2">
      <c r="Q614" s="140">
        <v>40485</v>
      </c>
      <c r="R614" s="77">
        <v>20.2</v>
      </c>
      <c r="S614" s="77">
        <v>0</v>
      </c>
    </row>
    <row r="615" spans="17:19" customFormat="1" x14ac:dyDescent="0.2">
      <c r="Q615" s="140">
        <v>40486</v>
      </c>
      <c r="R615" s="77">
        <v>18.899999999999999</v>
      </c>
      <c r="S615" s="77">
        <v>0</v>
      </c>
    </row>
    <row r="616" spans="17:19" customFormat="1" x14ac:dyDescent="0.2">
      <c r="Q616" s="140">
        <v>40487</v>
      </c>
      <c r="R616" s="77">
        <v>27.2</v>
      </c>
      <c r="S616" s="77">
        <v>0</v>
      </c>
    </row>
    <row r="617" spans="17:19" customFormat="1" x14ac:dyDescent="0.2">
      <c r="Q617" s="140">
        <v>40488</v>
      </c>
      <c r="R617" s="77">
        <v>29.2</v>
      </c>
      <c r="S617" s="77">
        <v>0</v>
      </c>
    </row>
    <row r="618" spans="17:19" customFormat="1" x14ac:dyDescent="0.2">
      <c r="Q618" s="140">
        <v>40489</v>
      </c>
      <c r="R618" s="77">
        <v>14.9</v>
      </c>
      <c r="S618" s="77">
        <v>0.3</v>
      </c>
    </row>
    <row r="619" spans="17:19" customFormat="1" x14ac:dyDescent="0.2">
      <c r="Q619" s="140">
        <v>40490</v>
      </c>
      <c r="R619" s="77">
        <v>8.6</v>
      </c>
      <c r="S619" s="77">
        <v>1.4</v>
      </c>
    </row>
    <row r="620" spans="17:19" customFormat="1" x14ac:dyDescent="0.2">
      <c r="Q620" s="140">
        <v>40491</v>
      </c>
      <c r="R620" s="77">
        <v>6.6</v>
      </c>
      <c r="S620" s="77">
        <v>2</v>
      </c>
    </row>
    <row r="621" spans="17:19" customFormat="1" x14ac:dyDescent="0.2">
      <c r="Q621" s="140">
        <v>40492</v>
      </c>
      <c r="R621" s="77">
        <v>6.8</v>
      </c>
      <c r="S621" s="77">
        <v>1.3</v>
      </c>
    </row>
    <row r="622" spans="17:19" customFormat="1" x14ac:dyDescent="0.2">
      <c r="Q622" s="140">
        <v>40493</v>
      </c>
      <c r="R622" s="77">
        <v>7.9</v>
      </c>
      <c r="S622" s="77">
        <v>0.4</v>
      </c>
    </row>
    <row r="623" spans="17:19" customFormat="1" x14ac:dyDescent="0.2">
      <c r="Q623" s="140">
        <v>40494</v>
      </c>
      <c r="R623" s="77">
        <v>8.1</v>
      </c>
      <c r="S623" s="77">
        <v>2.2000000000000002</v>
      </c>
    </row>
    <row r="624" spans="17:19" customFormat="1" x14ac:dyDescent="0.2">
      <c r="Q624" s="140">
        <v>40495</v>
      </c>
      <c r="R624" s="77">
        <v>15.3</v>
      </c>
      <c r="S624" s="77">
        <v>0</v>
      </c>
    </row>
    <row r="625" spans="17:19" customFormat="1" x14ac:dyDescent="0.2">
      <c r="Q625" s="140">
        <v>40496</v>
      </c>
      <c r="R625" s="77">
        <v>21</v>
      </c>
      <c r="S625" s="77">
        <v>0</v>
      </c>
    </row>
    <row r="626" spans="17:19" customFormat="1" x14ac:dyDescent="0.2">
      <c r="Q626" s="140">
        <v>40497</v>
      </c>
      <c r="R626" s="77">
        <v>18.899999999999999</v>
      </c>
      <c r="S626" s="77">
        <v>0</v>
      </c>
    </row>
    <row r="627" spans="17:19" customFormat="1" x14ac:dyDescent="0.2">
      <c r="Q627" s="140">
        <v>40498</v>
      </c>
      <c r="R627" s="77">
        <v>23.3</v>
      </c>
      <c r="S627" s="77">
        <v>0</v>
      </c>
    </row>
    <row r="628" spans="17:19" customFormat="1" x14ac:dyDescent="0.2">
      <c r="Q628" s="140">
        <v>40499</v>
      </c>
      <c r="R628" s="77">
        <v>24.7</v>
      </c>
      <c r="S628" s="77">
        <v>0</v>
      </c>
    </row>
    <row r="629" spans="17:19" customFormat="1" x14ac:dyDescent="0.2">
      <c r="Q629" s="140">
        <v>40500</v>
      </c>
      <c r="R629" s="77">
        <v>26.4</v>
      </c>
      <c r="S629" s="77">
        <v>0</v>
      </c>
    </row>
    <row r="630" spans="17:19" customFormat="1" x14ac:dyDescent="0.2">
      <c r="Q630" s="140">
        <v>40501</v>
      </c>
      <c r="R630" s="77">
        <v>21.7</v>
      </c>
      <c r="S630" s="77">
        <v>0</v>
      </c>
    </row>
    <row r="631" spans="17:19" customFormat="1" x14ac:dyDescent="0.2">
      <c r="Q631" s="140">
        <v>40502</v>
      </c>
      <c r="R631" s="77">
        <v>22.3</v>
      </c>
      <c r="S631" s="77">
        <v>0</v>
      </c>
    </row>
    <row r="632" spans="17:19" customFormat="1" x14ac:dyDescent="0.2">
      <c r="Q632" s="140">
        <v>40503</v>
      </c>
      <c r="R632" s="77">
        <v>8.8000000000000007</v>
      </c>
      <c r="S632" s="77">
        <v>0</v>
      </c>
    </row>
    <row r="633" spans="17:19" customFormat="1" x14ac:dyDescent="0.2">
      <c r="Q633" s="140">
        <v>40504</v>
      </c>
      <c r="R633" s="77">
        <v>5.3</v>
      </c>
      <c r="S633" s="77">
        <v>1.8</v>
      </c>
    </row>
    <row r="634" spans="17:19" customFormat="1" x14ac:dyDescent="0.2">
      <c r="Q634" s="140">
        <v>40505</v>
      </c>
      <c r="R634" s="77">
        <v>30.8</v>
      </c>
      <c r="S634" s="77">
        <v>0</v>
      </c>
    </row>
    <row r="635" spans="17:19" customFormat="1" x14ac:dyDescent="0.2">
      <c r="Q635" s="140">
        <v>40506</v>
      </c>
      <c r="R635" s="77">
        <v>28.6</v>
      </c>
      <c r="S635" s="77">
        <v>0</v>
      </c>
    </row>
    <row r="636" spans="17:19" customFormat="1" x14ac:dyDescent="0.2">
      <c r="Q636" s="140">
        <v>40507</v>
      </c>
      <c r="R636" s="77">
        <v>30.1</v>
      </c>
      <c r="S636" s="77">
        <v>0</v>
      </c>
    </row>
    <row r="637" spans="17:19" customFormat="1" x14ac:dyDescent="0.2">
      <c r="Q637" s="140">
        <v>40508</v>
      </c>
      <c r="R637" s="77">
        <v>32.9</v>
      </c>
      <c r="S637" s="77">
        <v>0</v>
      </c>
    </row>
    <row r="638" spans="17:19" customFormat="1" x14ac:dyDescent="0.2">
      <c r="Q638" s="140">
        <v>40509</v>
      </c>
      <c r="R638" s="77">
        <v>29.7</v>
      </c>
      <c r="S638" s="77">
        <v>0</v>
      </c>
    </row>
    <row r="639" spans="17:19" customFormat="1" x14ac:dyDescent="0.2">
      <c r="Q639" s="140">
        <v>40510</v>
      </c>
      <c r="R639" s="77">
        <v>25</v>
      </c>
      <c r="S639" s="77">
        <v>0</v>
      </c>
    </row>
    <row r="640" spans="17:19" customFormat="1" x14ac:dyDescent="0.2">
      <c r="Q640" s="140">
        <v>40511</v>
      </c>
      <c r="R640" s="77">
        <v>19.100000000000001</v>
      </c>
      <c r="S640" s="77">
        <v>0</v>
      </c>
    </row>
    <row r="641" spans="17:19" customFormat="1" x14ac:dyDescent="0.2">
      <c r="Q641" s="140">
        <v>40512</v>
      </c>
      <c r="R641" s="77">
        <v>32.299999999999997</v>
      </c>
      <c r="S641" s="77">
        <v>0</v>
      </c>
    </row>
    <row r="642" spans="17:19" customFormat="1" x14ac:dyDescent="0.2">
      <c r="Q642" s="140">
        <v>40513</v>
      </c>
      <c r="R642" s="77">
        <v>37.200000000000003</v>
      </c>
      <c r="S642" s="77">
        <v>0</v>
      </c>
    </row>
    <row r="643" spans="17:19" customFormat="1" x14ac:dyDescent="0.2">
      <c r="Q643" s="140">
        <v>40514</v>
      </c>
      <c r="R643" s="77">
        <v>35</v>
      </c>
      <c r="S643" s="77">
        <v>0</v>
      </c>
    </row>
    <row r="644" spans="17:19" customFormat="1" x14ac:dyDescent="0.2">
      <c r="Q644" s="140">
        <v>40515</v>
      </c>
      <c r="R644" s="77">
        <v>34</v>
      </c>
      <c r="S644" s="77">
        <v>0</v>
      </c>
    </row>
    <row r="645" spans="17:19" customFormat="1" x14ac:dyDescent="0.2">
      <c r="Q645" s="140">
        <v>40516</v>
      </c>
      <c r="R645" s="77">
        <v>32.799999999999997</v>
      </c>
      <c r="S645" s="77">
        <v>0</v>
      </c>
    </row>
    <row r="646" spans="17:19" customFormat="1" x14ac:dyDescent="0.2">
      <c r="Q646" s="140">
        <v>40517</v>
      </c>
      <c r="R646" s="77">
        <v>39.700000000000003</v>
      </c>
      <c r="S646" s="77">
        <v>0</v>
      </c>
    </row>
    <row r="647" spans="17:19" customFormat="1" x14ac:dyDescent="0.2">
      <c r="Q647" s="140">
        <v>40518</v>
      </c>
      <c r="R647" s="77">
        <v>45</v>
      </c>
      <c r="S647" s="77">
        <v>0</v>
      </c>
    </row>
    <row r="648" spans="17:19" customFormat="1" x14ac:dyDescent="0.2">
      <c r="Q648" s="140">
        <v>40519</v>
      </c>
      <c r="R648" s="77">
        <v>46</v>
      </c>
      <c r="S648" s="77">
        <v>0</v>
      </c>
    </row>
    <row r="649" spans="17:19" customFormat="1" x14ac:dyDescent="0.2">
      <c r="Q649" s="140">
        <v>40520</v>
      </c>
      <c r="R649" s="77">
        <v>45.6</v>
      </c>
      <c r="S649" s="77">
        <v>0</v>
      </c>
    </row>
    <row r="650" spans="17:19" customFormat="1" x14ac:dyDescent="0.2">
      <c r="Q650" s="140">
        <v>40521</v>
      </c>
      <c r="R650" s="77">
        <v>36.700000000000003</v>
      </c>
      <c r="S650" s="77">
        <v>0</v>
      </c>
    </row>
    <row r="651" spans="17:19" customFormat="1" x14ac:dyDescent="0.2">
      <c r="Q651" s="140">
        <v>40522</v>
      </c>
      <c r="R651" s="77">
        <v>27.7</v>
      </c>
      <c r="S651" s="77">
        <v>0</v>
      </c>
    </row>
    <row r="652" spans="17:19" customFormat="1" x14ac:dyDescent="0.2">
      <c r="Q652" s="140">
        <v>40523</v>
      </c>
      <c r="R652" s="77">
        <v>30.5</v>
      </c>
      <c r="S652" s="77">
        <v>0</v>
      </c>
    </row>
    <row r="653" spans="17:19" customFormat="1" x14ac:dyDescent="0.2">
      <c r="Q653" s="140">
        <v>40524</v>
      </c>
      <c r="R653" s="77">
        <v>46.3</v>
      </c>
      <c r="S653" s="77">
        <v>0</v>
      </c>
    </row>
    <row r="654" spans="17:19" customFormat="1" x14ac:dyDescent="0.2">
      <c r="Q654" s="140">
        <v>40525</v>
      </c>
      <c r="R654" s="77">
        <v>56.1</v>
      </c>
      <c r="S654" s="77">
        <v>0</v>
      </c>
    </row>
    <row r="655" spans="17:19" customFormat="1" x14ac:dyDescent="0.2">
      <c r="Q655" s="140">
        <v>40526</v>
      </c>
      <c r="R655" s="77">
        <v>53.9</v>
      </c>
      <c r="S655" s="77">
        <v>0</v>
      </c>
    </row>
    <row r="656" spans="17:19" customFormat="1" x14ac:dyDescent="0.2">
      <c r="Q656" s="140">
        <v>40527</v>
      </c>
      <c r="R656" s="77">
        <v>41.3</v>
      </c>
      <c r="S656" s="77">
        <v>0</v>
      </c>
    </row>
    <row r="657" spans="17:19" customFormat="1" x14ac:dyDescent="0.2">
      <c r="Q657" s="140">
        <v>40528</v>
      </c>
      <c r="R657" s="77">
        <v>39.6</v>
      </c>
      <c r="S657" s="77">
        <v>0</v>
      </c>
    </row>
    <row r="658" spans="17:19" customFormat="1" x14ac:dyDescent="0.2">
      <c r="Q658" s="140">
        <v>40529</v>
      </c>
      <c r="R658" s="77">
        <v>41.6</v>
      </c>
      <c r="S658" s="77">
        <v>0</v>
      </c>
    </row>
    <row r="659" spans="17:19" customFormat="1" x14ac:dyDescent="0.2">
      <c r="Q659" s="140">
        <v>40530</v>
      </c>
      <c r="R659" s="77">
        <v>41.5</v>
      </c>
      <c r="S659" s="77">
        <v>0</v>
      </c>
    </row>
    <row r="660" spans="17:19" customFormat="1" x14ac:dyDescent="0.2">
      <c r="Q660" s="140">
        <v>40531</v>
      </c>
      <c r="R660" s="77">
        <v>37.6</v>
      </c>
      <c r="S660" s="77">
        <v>0</v>
      </c>
    </row>
    <row r="661" spans="17:19" customFormat="1" x14ac:dyDescent="0.2">
      <c r="Q661" s="140">
        <v>40532</v>
      </c>
      <c r="R661" s="77">
        <v>32</v>
      </c>
      <c r="S661" s="77">
        <v>0</v>
      </c>
    </row>
    <row r="662" spans="17:19" customFormat="1" x14ac:dyDescent="0.2">
      <c r="Q662" s="140">
        <v>40533</v>
      </c>
      <c r="R662" s="77">
        <v>29.2</v>
      </c>
      <c r="S662" s="77">
        <v>0</v>
      </c>
    </row>
    <row r="663" spans="17:19" customFormat="1" x14ac:dyDescent="0.2">
      <c r="Q663" s="140">
        <v>40534</v>
      </c>
      <c r="R663" s="77">
        <v>36</v>
      </c>
      <c r="S663" s="77">
        <v>0</v>
      </c>
    </row>
    <row r="664" spans="17:19" customFormat="1" x14ac:dyDescent="0.2">
      <c r="Q664" s="140">
        <v>40535</v>
      </c>
      <c r="R664" s="77">
        <v>35.299999999999997</v>
      </c>
      <c r="S664" s="77">
        <v>0</v>
      </c>
    </row>
    <row r="665" spans="17:19" customFormat="1" x14ac:dyDescent="0.2">
      <c r="Q665" s="140">
        <v>40536</v>
      </c>
      <c r="R665" s="77">
        <v>35.4</v>
      </c>
      <c r="S665" s="77">
        <v>0</v>
      </c>
    </row>
    <row r="666" spans="17:19" customFormat="1" x14ac:dyDescent="0.2">
      <c r="Q666" s="140">
        <v>40537</v>
      </c>
      <c r="R666" s="77">
        <v>36.700000000000003</v>
      </c>
      <c r="S666" s="77">
        <v>0</v>
      </c>
    </row>
    <row r="667" spans="17:19" customFormat="1" x14ac:dyDescent="0.2">
      <c r="Q667" s="140">
        <v>40538</v>
      </c>
      <c r="R667" s="77">
        <v>38.5</v>
      </c>
      <c r="S667" s="77">
        <v>0</v>
      </c>
    </row>
    <row r="668" spans="17:19" customFormat="1" x14ac:dyDescent="0.2">
      <c r="Q668" s="140">
        <v>40539</v>
      </c>
      <c r="R668" s="77">
        <v>47</v>
      </c>
      <c r="S668" s="77">
        <v>0</v>
      </c>
    </row>
    <row r="669" spans="17:19" customFormat="1" x14ac:dyDescent="0.2">
      <c r="Q669" s="140">
        <v>40540</v>
      </c>
      <c r="R669" s="77">
        <v>39.6</v>
      </c>
      <c r="S669" s="77">
        <v>0</v>
      </c>
    </row>
    <row r="670" spans="17:19" customFormat="1" x14ac:dyDescent="0.2">
      <c r="Q670" s="140">
        <v>40541</v>
      </c>
      <c r="R670" s="77">
        <v>32.1</v>
      </c>
      <c r="S670" s="77">
        <v>0</v>
      </c>
    </row>
    <row r="671" spans="17:19" customFormat="1" x14ac:dyDescent="0.2">
      <c r="Q671" s="140">
        <v>40542</v>
      </c>
      <c r="R671" s="77">
        <v>16.399999999999999</v>
      </c>
      <c r="S671" s="77">
        <v>0</v>
      </c>
    </row>
    <row r="672" spans="17:19" customFormat="1" x14ac:dyDescent="0.2">
      <c r="Q672" s="140">
        <v>40543</v>
      </c>
      <c r="R672" s="77">
        <v>10</v>
      </c>
      <c r="S672" s="77">
        <v>0</v>
      </c>
    </row>
    <row r="673" spans="17:19" customFormat="1" x14ac:dyDescent="0.2">
      <c r="Q673" s="140">
        <v>40544</v>
      </c>
      <c r="R673" s="77">
        <v>39</v>
      </c>
      <c r="S673" s="77">
        <v>0</v>
      </c>
    </row>
    <row r="674" spans="17:19" customFormat="1" x14ac:dyDescent="0.2">
      <c r="Q674" s="140">
        <v>40545</v>
      </c>
      <c r="R674" s="77">
        <v>41.8</v>
      </c>
      <c r="S674" s="77">
        <v>0</v>
      </c>
    </row>
    <row r="675" spans="17:19" customFormat="1" x14ac:dyDescent="0.2">
      <c r="Q675" s="140">
        <v>40546</v>
      </c>
      <c r="R675" s="77">
        <v>32.1</v>
      </c>
      <c r="S675" s="77">
        <v>0</v>
      </c>
    </row>
    <row r="676" spans="17:19" customFormat="1" x14ac:dyDescent="0.2">
      <c r="Q676" s="140">
        <v>40547</v>
      </c>
      <c r="R676" s="77">
        <v>39.5</v>
      </c>
      <c r="S676" s="77">
        <v>0</v>
      </c>
    </row>
    <row r="677" spans="17:19" customFormat="1" x14ac:dyDescent="0.2">
      <c r="Q677" s="140">
        <v>40548</v>
      </c>
      <c r="R677" s="77">
        <v>35</v>
      </c>
      <c r="S677" s="77">
        <v>0</v>
      </c>
    </row>
    <row r="678" spans="17:19" customFormat="1" x14ac:dyDescent="0.2">
      <c r="Q678" s="140">
        <v>40549</v>
      </c>
      <c r="R678" s="77">
        <v>34.700000000000003</v>
      </c>
      <c r="S678" s="77">
        <v>0</v>
      </c>
    </row>
    <row r="679" spans="17:19" customFormat="1" x14ac:dyDescent="0.2">
      <c r="Q679" s="140">
        <v>40550</v>
      </c>
      <c r="R679" s="77">
        <v>38.299999999999997</v>
      </c>
      <c r="S679" s="77">
        <v>0</v>
      </c>
    </row>
    <row r="680" spans="17:19" customFormat="1" x14ac:dyDescent="0.2">
      <c r="Q680" s="140">
        <v>40551</v>
      </c>
      <c r="R680" s="77">
        <v>51.7</v>
      </c>
      <c r="S680" s="77">
        <v>0</v>
      </c>
    </row>
    <row r="681" spans="17:19" customFormat="1" x14ac:dyDescent="0.2">
      <c r="Q681" s="140">
        <v>40552</v>
      </c>
      <c r="R681" s="77">
        <v>48.5</v>
      </c>
      <c r="S681" s="77">
        <v>0</v>
      </c>
    </row>
    <row r="682" spans="17:19" customFormat="1" x14ac:dyDescent="0.2">
      <c r="Q682" s="140">
        <v>40553</v>
      </c>
      <c r="R682" s="77">
        <v>37.6</v>
      </c>
      <c r="S682" s="77">
        <v>0</v>
      </c>
    </row>
    <row r="683" spans="17:19" customFormat="1" x14ac:dyDescent="0.2">
      <c r="Q683" s="140">
        <v>40554</v>
      </c>
      <c r="R683" s="77">
        <v>40.700000000000003</v>
      </c>
      <c r="S683" s="77">
        <v>0</v>
      </c>
    </row>
    <row r="684" spans="17:19" customFormat="1" x14ac:dyDescent="0.2">
      <c r="Q684" s="140">
        <v>40555</v>
      </c>
      <c r="R684" s="77">
        <v>50.2</v>
      </c>
      <c r="S684" s="77">
        <v>0</v>
      </c>
    </row>
    <row r="685" spans="17:19" customFormat="1" x14ac:dyDescent="0.2">
      <c r="Q685" s="140">
        <v>40556</v>
      </c>
      <c r="R685" s="77">
        <v>53.2</v>
      </c>
      <c r="S685" s="77">
        <v>0</v>
      </c>
    </row>
    <row r="686" spans="17:19" customFormat="1" x14ac:dyDescent="0.2">
      <c r="Q686" s="140">
        <v>40557</v>
      </c>
      <c r="R686" s="77">
        <v>40.700000000000003</v>
      </c>
      <c r="S686" s="77">
        <v>0</v>
      </c>
    </row>
    <row r="687" spans="17:19" customFormat="1" x14ac:dyDescent="0.2">
      <c r="Q687" s="140">
        <v>40558</v>
      </c>
      <c r="R687" s="77">
        <v>37.799999999999997</v>
      </c>
      <c r="S687" s="77">
        <v>0</v>
      </c>
    </row>
    <row r="688" spans="17:19" customFormat="1" x14ac:dyDescent="0.2">
      <c r="Q688" s="140">
        <v>40559</v>
      </c>
      <c r="R688" s="77">
        <v>45.3</v>
      </c>
      <c r="S688" s="77">
        <v>0</v>
      </c>
    </row>
    <row r="689" spans="17:19" customFormat="1" x14ac:dyDescent="0.2">
      <c r="Q689" s="140">
        <v>40560</v>
      </c>
      <c r="R689" s="77">
        <v>32.700000000000003</v>
      </c>
      <c r="S689" s="77">
        <v>0</v>
      </c>
    </row>
    <row r="690" spans="17:19" customFormat="1" x14ac:dyDescent="0.2">
      <c r="Q690" s="140">
        <v>40561</v>
      </c>
      <c r="R690" s="77">
        <v>32.1</v>
      </c>
      <c r="S690" s="77">
        <v>0</v>
      </c>
    </row>
    <row r="691" spans="17:19" customFormat="1" x14ac:dyDescent="0.2">
      <c r="Q691" s="140">
        <v>40562</v>
      </c>
      <c r="R691" s="77">
        <v>43.5</v>
      </c>
      <c r="S691" s="77">
        <v>0</v>
      </c>
    </row>
    <row r="692" spans="17:19" customFormat="1" x14ac:dyDescent="0.2">
      <c r="Q692" s="140">
        <v>40563</v>
      </c>
      <c r="R692" s="77">
        <v>47.8</v>
      </c>
      <c r="S692" s="77">
        <v>0</v>
      </c>
    </row>
    <row r="693" spans="17:19" customFormat="1" x14ac:dyDescent="0.2">
      <c r="Q693" s="140">
        <v>40564</v>
      </c>
      <c r="R693" s="77">
        <v>61.7</v>
      </c>
      <c r="S693" s="77">
        <v>0</v>
      </c>
    </row>
    <row r="694" spans="17:19" customFormat="1" x14ac:dyDescent="0.2">
      <c r="Q694" s="140">
        <v>40565</v>
      </c>
      <c r="R694" s="77">
        <v>46.6</v>
      </c>
      <c r="S694" s="77">
        <v>0</v>
      </c>
    </row>
    <row r="695" spans="17:19" customFormat="1" x14ac:dyDescent="0.2">
      <c r="Q695" s="140">
        <v>40566</v>
      </c>
      <c r="R695" s="77">
        <v>46</v>
      </c>
      <c r="S695" s="77">
        <v>0</v>
      </c>
    </row>
    <row r="696" spans="17:19" customFormat="1" x14ac:dyDescent="0.2">
      <c r="Q696" s="140">
        <v>40567</v>
      </c>
      <c r="R696" s="77">
        <v>41.3</v>
      </c>
      <c r="S696" s="77">
        <v>0</v>
      </c>
    </row>
    <row r="697" spans="17:19" customFormat="1" x14ac:dyDescent="0.2">
      <c r="Q697" s="140">
        <v>40568</v>
      </c>
      <c r="R697" s="77">
        <v>40.299999999999997</v>
      </c>
      <c r="S697" s="77">
        <v>0</v>
      </c>
    </row>
    <row r="698" spans="17:19" customFormat="1" x14ac:dyDescent="0.2">
      <c r="Q698" s="140">
        <v>40569</v>
      </c>
      <c r="R698" s="77">
        <v>38.799999999999997</v>
      </c>
      <c r="S698" s="77">
        <v>0</v>
      </c>
    </row>
    <row r="699" spans="17:19" customFormat="1" x14ac:dyDescent="0.2">
      <c r="Q699" s="140">
        <v>40570</v>
      </c>
      <c r="R699" s="77">
        <v>38.200000000000003</v>
      </c>
      <c r="S699" s="77">
        <v>0</v>
      </c>
    </row>
    <row r="700" spans="17:19" customFormat="1" x14ac:dyDescent="0.2">
      <c r="Q700" s="140">
        <v>40571</v>
      </c>
      <c r="R700" s="77">
        <v>38</v>
      </c>
      <c r="S700" s="77">
        <v>0</v>
      </c>
    </row>
    <row r="701" spans="17:19" customFormat="1" x14ac:dyDescent="0.2">
      <c r="Q701" s="140">
        <v>40572</v>
      </c>
      <c r="R701" s="77">
        <v>32.799999999999997</v>
      </c>
      <c r="S701" s="77">
        <v>0</v>
      </c>
    </row>
    <row r="702" spans="17:19" customFormat="1" x14ac:dyDescent="0.2">
      <c r="Q702" s="140">
        <v>40573</v>
      </c>
      <c r="R702" s="77">
        <v>33.9</v>
      </c>
      <c r="S702" s="77">
        <v>0</v>
      </c>
    </row>
    <row r="703" spans="17:19" customFormat="1" x14ac:dyDescent="0.2">
      <c r="Q703" s="140">
        <v>40574</v>
      </c>
      <c r="R703" s="77">
        <v>39.200000000000003</v>
      </c>
      <c r="S703" s="77">
        <v>0</v>
      </c>
    </row>
    <row r="704" spans="17:19" customFormat="1" x14ac:dyDescent="0.2">
      <c r="Q704" s="140">
        <v>40575</v>
      </c>
      <c r="R704" s="77">
        <v>44.6</v>
      </c>
      <c r="S704" s="77">
        <v>0</v>
      </c>
    </row>
    <row r="705" spans="17:19" customFormat="1" x14ac:dyDescent="0.2">
      <c r="Q705" s="140">
        <v>40576</v>
      </c>
      <c r="R705" s="77">
        <v>48.9</v>
      </c>
      <c r="S705" s="77">
        <v>0</v>
      </c>
    </row>
    <row r="706" spans="17:19" customFormat="1" x14ac:dyDescent="0.2">
      <c r="Q706" s="140">
        <v>40577</v>
      </c>
      <c r="R706" s="77">
        <v>60.4</v>
      </c>
      <c r="S706" s="77">
        <v>0</v>
      </c>
    </row>
    <row r="707" spans="17:19" customFormat="1" x14ac:dyDescent="0.2">
      <c r="Q707" s="140">
        <v>40578</v>
      </c>
      <c r="R707" s="77">
        <v>47.9</v>
      </c>
      <c r="S707" s="77">
        <v>0</v>
      </c>
    </row>
    <row r="708" spans="17:19" customFormat="1" x14ac:dyDescent="0.2">
      <c r="Q708" s="140">
        <v>40579</v>
      </c>
      <c r="R708" s="77">
        <v>37.299999999999997</v>
      </c>
      <c r="S708" s="77">
        <v>0</v>
      </c>
    </row>
    <row r="709" spans="17:19" customFormat="1" x14ac:dyDescent="0.2">
      <c r="Q709" s="140">
        <v>40580</v>
      </c>
      <c r="R709" s="77">
        <v>32.9</v>
      </c>
      <c r="S709" s="77">
        <v>0</v>
      </c>
    </row>
    <row r="710" spans="17:19" customFormat="1" x14ac:dyDescent="0.2">
      <c r="Q710" s="140">
        <v>40581</v>
      </c>
      <c r="R710" s="77">
        <v>38</v>
      </c>
      <c r="S710" s="77">
        <v>0</v>
      </c>
    </row>
    <row r="711" spans="17:19" customFormat="1" x14ac:dyDescent="0.2">
      <c r="Q711" s="140">
        <v>40582</v>
      </c>
      <c r="R711" s="77">
        <v>57.5</v>
      </c>
      <c r="S711" s="77">
        <v>0</v>
      </c>
    </row>
    <row r="712" spans="17:19" customFormat="1" x14ac:dyDescent="0.2">
      <c r="Q712" s="140">
        <v>40583</v>
      </c>
      <c r="R712" s="77">
        <v>57.1</v>
      </c>
      <c r="S712" s="77">
        <v>0</v>
      </c>
    </row>
    <row r="713" spans="17:19" customFormat="1" x14ac:dyDescent="0.2">
      <c r="Q713" s="140">
        <v>40584</v>
      </c>
      <c r="R713" s="77">
        <v>52.9</v>
      </c>
      <c r="S713" s="77">
        <v>0</v>
      </c>
    </row>
    <row r="714" spans="17:19" customFormat="1" x14ac:dyDescent="0.2">
      <c r="Q714" s="140">
        <v>40585</v>
      </c>
      <c r="R714" s="77">
        <v>39.200000000000003</v>
      </c>
      <c r="S714" s="77">
        <v>0</v>
      </c>
    </row>
    <row r="715" spans="17:19" customFormat="1" x14ac:dyDescent="0.2">
      <c r="Q715" s="140">
        <v>40586</v>
      </c>
      <c r="R715" s="77">
        <v>31.5</v>
      </c>
      <c r="S715" s="77">
        <v>0</v>
      </c>
    </row>
    <row r="716" spans="17:19" customFormat="1" x14ac:dyDescent="0.2">
      <c r="Q716" s="140">
        <v>40587</v>
      </c>
      <c r="R716" s="77">
        <v>22.1</v>
      </c>
      <c r="S716" s="77">
        <v>0</v>
      </c>
    </row>
    <row r="717" spans="17:19" customFormat="1" x14ac:dyDescent="0.2">
      <c r="Q717" s="140">
        <v>40588</v>
      </c>
      <c r="R717" s="77">
        <v>26.3</v>
      </c>
      <c r="S717" s="77">
        <v>0</v>
      </c>
    </row>
    <row r="718" spans="17:19" customFormat="1" x14ac:dyDescent="0.2">
      <c r="Q718" s="140">
        <v>40589</v>
      </c>
      <c r="R718" s="77">
        <v>26.4</v>
      </c>
      <c r="S718" s="77">
        <v>0</v>
      </c>
    </row>
    <row r="719" spans="17:19" customFormat="1" x14ac:dyDescent="0.2">
      <c r="Q719" s="140">
        <v>40590</v>
      </c>
      <c r="R719" s="77">
        <v>13.7</v>
      </c>
      <c r="S719" s="77">
        <v>0</v>
      </c>
    </row>
    <row r="720" spans="17:19" customFormat="1" x14ac:dyDescent="0.2">
      <c r="Q720" s="140">
        <v>40591</v>
      </c>
      <c r="R720" s="77">
        <v>6.4</v>
      </c>
      <c r="S720" s="77">
        <v>0.3</v>
      </c>
    </row>
    <row r="721" spans="17:19" customFormat="1" x14ac:dyDescent="0.2">
      <c r="Q721" s="140">
        <v>40592</v>
      </c>
      <c r="R721" s="77">
        <v>19.399999999999999</v>
      </c>
      <c r="S721" s="77">
        <v>0</v>
      </c>
    </row>
    <row r="722" spans="17:19" customFormat="1" x14ac:dyDescent="0.2">
      <c r="Q722" s="140">
        <v>40593</v>
      </c>
      <c r="R722" s="77">
        <v>24.2</v>
      </c>
      <c r="S722" s="77">
        <v>0</v>
      </c>
    </row>
    <row r="723" spans="17:19" customFormat="1" x14ac:dyDescent="0.2">
      <c r="Q723" s="140">
        <v>40594</v>
      </c>
      <c r="R723" s="77">
        <v>13.9</v>
      </c>
      <c r="S723" s="77">
        <v>0.1</v>
      </c>
    </row>
    <row r="724" spans="17:19" customFormat="1" x14ac:dyDescent="0.2">
      <c r="Q724" s="140">
        <v>40595</v>
      </c>
      <c r="R724" s="77">
        <v>21.6</v>
      </c>
      <c r="S724" s="77">
        <v>0</v>
      </c>
    </row>
    <row r="725" spans="17:19" customFormat="1" x14ac:dyDescent="0.2">
      <c r="Q725" s="140">
        <v>40596</v>
      </c>
      <c r="R725" s="77">
        <v>33.299999999999997</v>
      </c>
      <c r="S725" s="77">
        <v>0</v>
      </c>
    </row>
    <row r="726" spans="17:19" customFormat="1" x14ac:dyDescent="0.2">
      <c r="Q726" s="140">
        <v>40597</v>
      </c>
      <c r="R726" s="77">
        <v>28.2</v>
      </c>
      <c r="S726" s="77">
        <v>0</v>
      </c>
    </row>
    <row r="727" spans="17:19" customFormat="1" x14ac:dyDescent="0.2">
      <c r="Q727" s="140">
        <v>40598</v>
      </c>
      <c r="R727" s="77">
        <v>29.2</v>
      </c>
      <c r="S727" s="77">
        <v>0</v>
      </c>
    </row>
    <row r="728" spans="17:19" customFormat="1" x14ac:dyDescent="0.2">
      <c r="Q728" s="140">
        <v>40599</v>
      </c>
      <c r="R728" s="77">
        <v>32.799999999999997</v>
      </c>
      <c r="S728" s="77">
        <v>0</v>
      </c>
    </row>
    <row r="729" spans="17:19" customFormat="1" x14ac:dyDescent="0.2">
      <c r="Q729" s="140">
        <v>40600</v>
      </c>
      <c r="R729" s="77">
        <v>31.3</v>
      </c>
      <c r="S729" s="77">
        <v>0</v>
      </c>
    </row>
    <row r="730" spans="17:19" customFormat="1" x14ac:dyDescent="0.2">
      <c r="Q730" s="140">
        <v>40601</v>
      </c>
      <c r="R730" s="77">
        <v>21.6</v>
      </c>
      <c r="S730" s="77">
        <v>0</v>
      </c>
    </row>
    <row r="731" spans="17:19" customFormat="1" x14ac:dyDescent="0.2">
      <c r="Q731" s="140">
        <v>40602</v>
      </c>
      <c r="R731" s="77">
        <v>30.1</v>
      </c>
      <c r="S731" s="77">
        <v>0</v>
      </c>
    </row>
    <row r="732" spans="17:19" customFormat="1" x14ac:dyDescent="0.2">
      <c r="Q732" s="140">
        <v>40603</v>
      </c>
      <c r="R732" s="77">
        <v>27.7</v>
      </c>
      <c r="S732" s="77">
        <v>0</v>
      </c>
    </row>
    <row r="733" spans="17:19" customFormat="1" x14ac:dyDescent="0.2">
      <c r="Q733" s="140">
        <v>40604</v>
      </c>
      <c r="R733" s="77">
        <v>27.3</v>
      </c>
      <c r="S733" s="77">
        <v>0</v>
      </c>
    </row>
    <row r="734" spans="17:19" customFormat="1" x14ac:dyDescent="0.2">
      <c r="Q734" s="140">
        <v>40605</v>
      </c>
      <c r="R734" s="77">
        <v>21.9</v>
      </c>
      <c r="S734" s="77">
        <v>0</v>
      </c>
    </row>
    <row r="735" spans="17:19" customFormat="1" x14ac:dyDescent="0.2">
      <c r="Q735" s="140">
        <v>40606</v>
      </c>
      <c r="R735" s="77">
        <v>9.4</v>
      </c>
      <c r="S735" s="77">
        <v>0</v>
      </c>
    </row>
    <row r="736" spans="17:19" customFormat="1" x14ac:dyDescent="0.2">
      <c r="Q736" s="140">
        <v>40607</v>
      </c>
      <c r="R736" s="77">
        <v>28.1</v>
      </c>
      <c r="S736" s="77">
        <v>0</v>
      </c>
    </row>
    <row r="737" spans="17:19" customFormat="1" x14ac:dyDescent="0.2">
      <c r="Q737" s="140">
        <v>40608</v>
      </c>
      <c r="R737" s="77">
        <v>31.9</v>
      </c>
      <c r="S737" s="77">
        <v>0</v>
      </c>
    </row>
    <row r="738" spans="17:19" customFormat="1" x14ac:dyDescent="0.2">
      <c r="Q738" s="140">
        <v>40609</v>
      </c>
      <c r="R738" s="77">
        <v>27.3</v>
      </c>
      <c r="S738" s="77">
        <v>0</v>
      </c>
    </row>
    <row r="739" spans="17:19" customFormat="1" x14ac:dyDescent="0.2">
      <c r="Q739" s="140">
        <v>40610</v>
      </c>
      <c r="R739" s="77">
        <v>22.2</v>
      </c>
      <c r="S739" s="77">
        <v>0</v>
      </c>
    </row>
    <row r="740" spans="17:19" customFormat="1" x14ac:dyDescent="0.2">
      <c r="Q740" s="140">
        <v>40611</v>
      </c>
      <c r="R740" s="77">
        <v>22.3</v>
      </c>
      <c r="S740" s="77">
        <v>0</v>
      </c>
    </row>
    <row r="741" spans="17:19" customFormat="1" x14ac:dyDescent="0.2">
      <c r="Q741" s="140">
        <v>40612</v>
      </c>
      <c r="R741" s="77">
        <v>28.4</v>
      </c>
      <c r="S741" s="77">
        <v>0</v>
      </c>
    </row>
    <row r="742" spans="17:19" customFormat="1" x14ac:dyDescent="0.2">
      <c r="Q742" s="140">
        <v>40613</v>
      </c>
      <c r="R742" s="77">
        <v>24.6</v>
      </c>
      <c r="S742" s="77">
        <v>0</v>
      </c>
    </row>
    <row r="743" spans="17:19" customFormat="1" x14ac:dyDescent="0.2">
      <c r="Q743" s="140">
        <v>40614</v>
      </c>
      <c r="R743" s="77">
        <v>19.8</v>
      </c>
      <c r="S743" s="77">
        <v>0</v>
      </c>
    </row>
    <row r="744" spans="17:19" customFormat="1" x14ac:dyDescent="0.2">
      <c r="Q744" s="140">
        <v>40615</v>
      </c>
      <c r="R744" s="77">
        <v>30.9</v>
      </c>
      <c r="S744" s="77">
        <v>0</v>
      </c>
    </row>
    <row r="745" spans="17:19" customFormat="1" x14ac:dyDescent="0.2">
      <c r="Q745" s="140">
        <v>40616</v>
      </c>
      <c r="R745" s="77">
        <v>26.9</v>
      </c>
      <c r="S745" s="77">
        <v>0</v>
      </c>
    </row>
    <row r="746" spans="17:19" customFormat="1" x14ac:dyDescent="0.2">
      <c r="Q746" s="140">
        <v>40617</v>
      </c>
      <c r="R746" s="77">
        <v>26.3</v>
      </c>
      <c r="S746" s="77">
        <v>0</v>
      </c>
    </row>
    <row r="747" spans="17:19" customFormat="1" x14ac:dyDescent="0.2">
      <c r="Q747" s="140">
        <v>40618</v>
      </c>
      <c r="R747" s="77">
        <v>16.100000000000001</v>
      </c>
      <c r="S747" s="77">
        <v>0</v>
      </c>
    </row>
    <row r="748" spans="17:19" customFormat="1" x14ac:dyDescent="0.2">
      <c r="Q748" s="140">
        <v>40619</v>
      </c>
      <c r="R748" s="77">
        <v>5.9</v>
      </c>
      <c r="S748" s="77">
        <v>2.7</v>
      </c>
    </row>
    <row r="749" spans="17:19" customFormat="1" x14ac:dyDescent="0.2">
      <c r="Q749" s="140">
        <v>40620</v>
      </c>
      <c r="R749" s="77">
        <v>14.3</v>
      </c>
      <c r="S749" s="77">
        <v>0</v>
      </c>
    </row>
    <row r="750" spans="17:19" customFormat="1" x14ac:dyDescent="0.2">
      <c r="Q750" s="140">
        <v>40621</v>
      </c>
      <c r="R750" s="77">
        <v>19.100000000000001</v>
      </c>
      <c r="S750" s="77">
        <v>0</v>
      </c>
    </row>
    <row r="751" spans="17:19" customFormat="1" x14ac:dyDescent="0.2">
      <c r="Q751" s="140">
        <v>40622</v>
      </c>
      <c r="R751" s="77">
        <v>7.7</v>
      </c>
      <c r="S751" s="77">
        <v>2.4</v>
      </c>
    </row>
    <row r="752" spans="17:19" customFormat="1" x14ac:dyDescent="0.2">
      <c r="Q752" s="140">
        <v>40623</v>
      </c>
      <c r="R752" s="77">
        <v>2.4</v>
      </c>
      <c r="S752" s="77">
        <v>2.8</v>
      </c>
    </row>
    <row r="753" spans="17:19" customFormat="1" x14ac:dyDescent="0.2">
      <c r="Q753" s="140">
        <v>40624</v>
      </c>
      <c r="R753" s="77">
        <v>4.9000000000000004</v>
      </c>
      <c r="S753" s="77">
        <v>2.2000000000000002</v>
      </c>
    </row>
    <row r="754" spans="17:19" customFormat="1" x14ac:dyDescent="0.2">
      <c r="Q754" s="140">
        <v>40625</v>
      </c>
      <c r="R754" s="77">
        <v>8.6999999999999993</v>
      </c>
      <c r="S754" s="77">
        <v>0.8</v>
      </c>
    </row>
    <row r="755" spans="17:19" customFormat="1" x14ac:dyDescent="0.2">
      <c r="Q755" s="140">
        <v>40626</v>
      </c>
      <c r="R755" s="77">
        <v>29.4</v>
      </c>
      <c r="S755" s="77">
        <v>0</v>
      </c>
    </row>
    <row r="756" spans="17:19" customFormat="1" x14ac:dyDescent="0.2">
      <c r="Q756" s="140">
        <v>40627</v>
      </c>
      <c r="R756" s="77">
        <v>27.7</v>
      </c>
      <c r="S756" s="77">
        <v>0</v>
      </c>
    </row>
    <row r="757" spans="17:19" customFormat="1" x14ac:dyDescent="0.2">
      <c r="Q757" s="140">
        <v>40628</v>
      </c>
      <c r="R757" s="77">
        <v>31.9</v>
      </c>
      <c r="S757" s="77">
        <v>0</v>
      </c>
    </row>
    <row r="758" spans="17:19" customFormat="1" x14ac:dyDescent="0.2">
      <c r="Q758" s="140">
        <v>40629</v>
      </c>
      <c r="R758" s="77">
        <v>30.9</v>
      </c>
      <c r="S758" s="77">
        <v>0</v>
      </c>
    </row>
    <row r="759" spans="17:19" customFormat="1" x14ac:dyDescent="0.2">
      <c r="Q759" s="140">
        <v>40630</v>
      </c>
      <c r="R759" s="77">
        <v>27.7</v>
      </c>
      <c r="S759" s="77">
        <v>0</v>
      </c>
    </row>
    <row r="760" spans="17:19" customFormat="1" x14ac:dyDescent="0.2">
      <c r="Q760" s="140">
        <v>40631</v>
      </c>
      <c r="R760" s="77">
        <v>26</v>
      </c>
      <c r="S760" s="77">
        <v>0</v>
      </c>
    </row>
    <row r="761" spans="17:19" customFormat="1" x14ac:dyDescent="0.2">
      <c r="Q761" s="140">
        <v>40632</v>
      </c>
      <c r="R761" s="77">
        <v>23.3</v>
      </c>
      <c r="S761" s="77">
        <v>0</v>
      </c>
    </row>
    <row r="762" spans="17:19" customFormat="1" x14ac:dyDescent="0.2">
      <c r="Q762" s="140">
        <v>40633</v>
      </c>
      <c r="R762" s="77">
        <v>23.5</v>
      </c>
      <c r="S762" s="77">
        <v>0</v>
      </c>
    </row>
    <row r="763" spans="17:19" customFormat="1" x14ac:dyDescent="0.2">
      <c r="Q763" s="140">
        <v>40634</v>
      </c>
      <c r="R763" s="77">
        <v>18.2</v>
      </c>
      <c r="S763" s="77">
        <v>0</v>
      </c>
    </row>
    <row r="764" spans="17:19" customFormat="1" x14ac:dyDescent="0.2">
      <c r="Q764" s="140">
        <v>40635</v>
      </c>
      <c r="R764" s="77">
        <v>14.8</v>
      </c>
      <c r="S764" s="77">
        <v>0</v>
      </c>
    </row>
    <row r="765" spans="17:19" customFormat="1" x14ac:dyDescent="0.2">
      <c r="Q765" s="140">
        <v>40636</v>
      </c>
      <c r="R765" s="77">
        <v>5.4</v>
      </c>
      <c r="S765" s="77">
        <v>7.7</v>
      </c>
    </row>
    <row r="766" spans="17:19" customFormat="1" x14ac:dyDescent="0.2">
      <c r="Q766" s="140">
        <v>40637</v>
      </c>
      <c r="R766" s="77">
        <v>16</v>
      </c>
      <c r="S766" s="77">
        <v>0.5</v>
      </c>
    </row>
    <row r="767" spans="17:19" customFormat="1" x14ac:dyDescent="0.2">
      <c r="Q767" s="140">
        <v>40638</v>
      </c>
      <c r="R767" s="77">
        <v>17.8</v>
      </c>
      <c r="S767" s="77">
        <v>0</v>
      </c>
    </row>
    <row r="768" spans="17:19" customFormat="1" x14ac:dyDescent="0.2">
      <c r="Q768" s="140">
        <v>40639</v>
      </c>
      <c r="R768" s="77">
        <v>7.6</v>
      </c>
      <c r="S768" s="77">
        <v>2</v>
      </c>
    </row>
    <row r="769" spans="17:19" customFormat="1" x14ac:dyDescent="0.2">
      <c r="Q769" s="140">
        <v>40640</v>
      </c>
      <c r="R769" s="77">
        <v>12.9</v>
      </c>
      <c r="S769" s="77">
        <v>0</v>
      </c>
    </row>
    <row r="770" spans="17:19" customFormat="1" x14ac:dyDescent="0.2">
      <c r="Q770" s="140">
        <v>40641</v>
      </c>
      <c r="R770" s="77">
        <v>9.6999999999999993</v>
      </c>
      <c r="S770" s="77">
        <v>0.2</v>
      </c>
    </row>
    <row r="771" spans="17:19" customFormat="1" x14ac:dyDescent="0.2">
      <c r="Q771" s="140">
        <v>40642</v>
      </c>
      <c r="R771" s="77">
        <v>4.8</v>
      </c>
      <c r="S771" s="77">
        <v>6.5</v>
      </c>
    </row>
    <row r="772" spans="17:19" customFormat="1" x14ac:dyDescent="0.2">
      <c r="Q772" s="140">
        <v>40643</v>
      </c>
      <c r="R772" s="77">
        <v>0</v>
      </c>
      <c r="S772" s="77">
        <v>11.4</v>
      </c>
    </row>
    <row r="773" spans="17:19" customFormat="1" x14ac:dyDescent="0.2">
      <c r="Q773" s="140">
        <v>40644</v>
      </c>
      <c r="R773" s="77">
        <v>4.9000000000000004</v>
      </c>
      <c r="S773" s="77">
        <v>0.1</v>
      </c>
    </row>
    <row r="774" spans="17:19" customFormat="1" x14ac:dyDescent="0.2">
      <c r="Q774" s="140">
        <v>40645</v>
      </c>
      <c r="R774" s="77">
        <v>10.199999999999999</v>
      </c>
      <c r="S774" s="77">
        <v>0</v>
      </c>
    </row>
    <row r="775" spans="17:19" customFormat="1" x14ac:dyDescent="0.2">
      <c r="Q775" s="140">
        <v>40646</v>
      </c>
      <c r="R775" s="77">
        <v>9.4</v>
      </c>
      <c r="S775" s="77">
        <v>0.8</v>
      </c>
    </row>
    <row r="776" spans="17:19" customFormat="1" x14ac:dyDescent="0.2">
      <c r="Q776" s="140">
        <v>40647</v>
      </c>
      <c r="R776" s="77">
        <v>7.9</v>
      </c>
      <c r="S776" s="77">
        <v>1.5</v>
      </c>
    </row>
    <row r="777" spans="17:19" customFormat="1" x14ac:dyDescent="0.2">
      <c r="Q777" s="140">
        <v>40648</v>
      </c>
      <c r="R777" s="77">
        <v>10.3</v>
      </c>
      <c r="S777" s="77">
        <v>0</v>
      </c>
    </row>
    <row r="778" spans="17:19" customFormat="1" x14ac:dyDescent="0.2">
      <c r="Q778" s="140">
        <v>40649</v>
      </c>
      <c r="R778" s="77">
        <v>19.899999999999999</v>
      </c>
      <c r="S778" s="77">
        <v>0</v>
      </c>
    </row>
    <row r="779" spans="17:19" customFormat="1" x14ac:dyDescent="0.2">
      <c r="Q779" s="140">
        <v>40650</v>
      </c>
      <c r="R779" s="77">
        <v>13.6</v>
      </c>
      <c r="S779" s="77">
        <v>0</v>
      </c>
    </row>
    <row r="780" spans="17:19" customFormat="1" x14ac:dyDescent="0.2">
      <c r="Q780" s="140">
        <v>40651</v>
      </c>
      <c r="R780" s="77">
        <v>12.9</v>
      </c>
      <c r="S780" s="77">
        <v>0</v>
      </c>
    </row>
    <row r="781" spans="17:19" customFormat="1" x14ac:dyDescent="0.2">
      <c r="Q781" s="140">
        <v>40652</v>
      </c>
      <c r="R781" s="77">
        <v>14.2</v>
      </c>
      <c r="S781" s="77">
        <v>1.5</v>
      </c>
    </row>
    <row r="782" spans="17:19" customFormat="1" x14ac:dyDescent="0.2">
      <c r="Q782" s="140">
        <v>40653</v>
      </c>
      <c r="R782" s="77">
        <v>23.6</v>
      </c>
      <c r="S782" s="77">
        <v>0</v>
      </c>
    </row>
    <row r="783" spans="17:19" customFormat="1" x14ac:dyDescent="0.2">
      <c r="Q783" s="140">
        <v>40654</v>
      </c>
      <c r="R783" s="77">
        <v>18.899999999999999</v>
      </c>
      <c r="S783" s="77">
        <v>0</v>
      </c>
    </row>
    <row r="784" spans="17:19" customFormat="1" x14ac:dyDescent="0.2">
      <c r="Q784" s="140">
        <v>40655</v>
      </c>
      <c r="R784" s="77">
        <v>9.1999999999999993</v>
      </c>
      <c r="S784" s="77">
        <v>0.3</v>
      </c>
    </row>
    <row r="785" spans="17:19" customFormat="1" x14ac:dyDescent="0.2">
      <c r="Q785" s="140">
        <v>40656</v>
      </c>
      <c r="R785" s="77">
        <v>5.7</v>
      </c>
      <c r="S785" s="77">
        <v>0.4</v>
      </c>
    </row>
    <row r="786" spans="17:19" customFormat="1" x14ac:dyDescent="0.2">
      <c r="Q786" s="140">
        <v>40657</v>
      </c>
      <c r="R786" s="77">
        <v>9.9</v>
      </c>
      <c r="S786" s="77">
        <v>0</v>
      </c>
    </row>
    <row r="787" spans="17:19" customFormat="1" x14ac:dyDescent="0.2">
      <c r="Q787" s="140">
        <v>40658</v>
      </c>
      <c r="R787" s="77">
        <v>5.9</v>
      </c>
      <c r="S787" s="77">
        <v>0</v>
      </c>
    </row>
    <row r="788" spans="17:19" customFormat="1" x14ac:dyDescent="0.2">
      <c r="Q788" s="140">
        <v>40659</v>
      </c>
      <c r="R788" s="77">
        <v>4.9000000000000004</v>
      </c>
      <c r="S788" s="77">
        <v>0.1</v>
      </c>
    </row>
    <row r="789" spans="17:19" customFormat="1" x14ac:dyDescent="0.2">
      <c r="Q789" s="140">
        <v>40660</v>
      </c>
      <c r="R789" s="77">
        <v>13.2</v>
      </c>
      <c r="S789" s="77">
        <v>0</v>
      </c>
    </row>
    <row r="790" spans="17:19" customFormat="1" x14ac:dyDescent="0.2">
      <c r="Q790" s="140">
        <v>40661</v>
      </c>
      <c r="R790" s="77">
        <v>12.6</v>
      </c>
      <c r="S790" s="77">
        <v>0</v>
      </c>
    </row>
    <row r="791" spans="17:19" customFormat="1" x14ac:dyDescent="0.2">
      <c r="Q791" s="140">
        <v>40662</v>
      </c>
      <c r="R791" s="77">
        <v>10.6</v>
      </c>
      <c r="S791" s="77">
        <v>0</v>
      </c>
    </row>
    <row r="792" spans="17:19" customFormat="1" x14ac:dyDescent="0.2">
      <c r="Q792" s="140">
        <v>40663</v>
      </c>
      <c r="R792" s="77">
        <v>3.4</v>
      </c>
      <c r="S792" s="77">
        <v>3.1</v>
      </c>
    </row>
    <row r="793" spans="17:19" customFormat="1" x14ac:dyDescent="0.2">
      <c r="Q793" s="140">
        <v>40664</v>
      </c>
      <c r="R793" s="77">
        <v>10.3</v>
      </c>
      <c r="S793" s="77">
        <v>0</v>
      </c>
    </row>
    <row r="794" spans="17:19" customFormat="1" x14ac:dyDescent="0.2">
      <c r="Q794" s="140">
        <v>40665</v>
      </c>
      <c r="R794" s="77">
        <v>13.7</v>
      </c>
      <c r="S794" s="77">
        <v>0</v>
      </c>
    </row>
    <row r="795" spans="17:19" customFormat="1" x14ac:dyDescent="0.2">
      <c r="Q795" s="140">
        <v>40666</v>
      </c>
      <c r="R795" s="77">
        <v>17.3</v>
      </c>
      <c r="S795" s="77">
        <v>0</v>
      </c>
    </row>
    <row r="796" spans="17:19" customFormat="1" x14ac:dyDescent="0.2">
      <c r="Q796" s="140">
        <v>40667</v>
      </c>
      <c r="R796" s="77">
        <v>17.3</v>
      </c>
      <c r="S796" s="77">
        <v>0</v>
      </c>
    </row>
    <row r="797" spans="17:19" customFormat="1" x14ac:dyDescent="0.2">
      <c r="Q797" s="140">
        <v>40668</v>
      </c>
      <c r="R797" s="77">
        <v>11.8</v>
      </c>
      <c r="S797" s="77">
        <v>0.1</v>
      </c>
    </row>
    <row r="798" spans="17:19" customFormat="1" x14ac:dyDescent="0.2">
      <c r="Q798" s="140">
        <v>40669</v>
      </c>
      <c r="R798" s="77">
        <v>7.9</v>
      </c>
      <c r="S798" s="77">
        <v>1.3</v>
      </c>
    </row>
    <row r="799" spans="17:19" customFormat="1" x14ac:dyDescent="0.2">
      <c r="Q799" s="140">
        <v>40670</v>
      </c>
      <c r="R799" s="77">
        <v>2.7</v>
      </c>
      <c r="S799" s="77">
        <v>6</v>
      </c>
    </row>
    <row r="800" spans="17:19" customFormat="1" x14ac:dyDescent="0.2">
      <c r="Q800" s="140">
        <v>40671</v>
      </c>
      <c r="R800" s="77">
        <v>4.5</v>
      </c>
      <c r="S800" s="77">
        <v>2.6</v>
      </c>
    </row>
    <row r="801" spans="17:19" customFormat="1" x14ac:dyDescent="0.2">
      <c r="Q801" s="140">
        <v>40672</v>
      </c>
      <c r="R801" s="77">
        <v>0.8</v>
      </c>
      <c r="S801" s="77">
        <v>8</v>
      </c>
    </row>
    <row r="802" spans="17:19" customFormat="1" x14ac:dyDescent="0.2">
      <c r="Q802" s="140">
        <v>40673</v>
      </c>
      <c r="R802" s="77">
        <v>0</v>
      </c>
      <c r="S802" s="77">
        <v>13.4</v>
      </c>
    </row>
    <row r="803" spans="17:19" customFormat="1" x14ac:dyDescent="0.2">
      <c r="Q803" s="140">
        <v>40674</v>
      </c>
      <c r="R803" s="77">
        <v>0</v>
      </c>
      <c r="S803" s="77">
        <v>11.7</v>
      </c>
    </row>
    <row r="804" spans="17:19" customFormat="1" x14ac:dyDescent="0.2">
      <c r="Q804" s="140">
        <v>40675</v>
      </c>
      <c r="R804" s="77">
        <v>0</v>
      </c>
      <c r="S804" s="77">
        <v>11.4</v>
      </c>
    </row>
    <row r="805" spans="17:19" customFormat="1" x14ac:dyDescent="0.2">
      <c r="Q805" s="140">
        <v>40676</v>
      </c>
      <c r="R805" s="77">
        <v>0.7</v>
      </c>
      <c r="S805" s="77">
        <v>4.8</v>
      </c>
    </row>
    <row r="806" spans="17:19" customFormat="1" x14ac:dyDescent="0.2">
      <c r="Q806" s="140">
        <v>40677</v>
      </c>
      <c r="R806" s="77">
        <v>10.9</v>
      </c>
      <c r="S806" s="77">
        <v>0</v>
      </c>
    </row>
    <row r="807" spans="17:19" customFormat="1" x14ac:dyDescent="0.2">
      <c r="Q807" s="140">
        <v>40678</v>
      </c>
      <c r="R807" s="77">
        <v>16.2</v>
      </c>
      <c r="S807" s="77">
        <v>0</v>
      </c>
    </row>
    <row r="808" spans="17:19" customFormat="1" x14ac:dyDescent="0.2">
      <c r="Q808" s="140">
        <v>40679</v>
      </c>
      <c r="R808" s="77">
        <v>13.9</v>
      </c>
      <c r="S808" s="77">
        <v>0</v>
      </c>
    </row>
    <row r="809" spans="17:19" customFormat="1" x14ac:dyDescent="0.2">
      <c r="Q809" s="140">
        <v>40680</v>
      </c>
      <c r="R809" s="77">
        <v>13</v>
      </c>
      <c r="S809" s="77">
        <v>0</v>
      </c>
    </row>
    <row r="810" spans="17:19" customFormat="1" x14ac:dyDescent="0.2">
      <c r="Q810" s="140">
        <v>40681</v>
      </c>
      <c r="R810" s="77">
        <v>8.5</v>
      </c>
      <c r="S810" s="77">
        <v>0.5</v>
      </c>
    </row>
    <row r="811" spans="17:19" customFormat="1" x14ac:dyDescent="0.2">
      <c r="Q811" s="140">
        <v>40682</v>
      </c>
      <c r="R811" s="77">
        <v>5.3</v>
      </c>
      <c r="S811" s="77">
        <v>1.9</v>
      </c>
    </row>
    <row r="812" spans="17:19" customFormat="1" x14ac:dyDescent="0.2">
      <c r="Q812" s="140">
        <v>40683</v>
      </c>
      <c r="R812" s="77">
        <v>0.4</v>
      </c>
      <c r="S812" s="77">
        <v>7.8</v>
      </c>
    </row>
    <row r="813" spans="17:19" customFormat="1" x14ac:dyDescent="0.2">
      <c r="Q813" s="140">
        <v>40684</v>
      </c>
      <c r="R813" s="77">
        <v>0</v>
      </c>
      <c r="S813" s="77">
        <v>10.199999999999999</v>
      </c>
    </row>
    <row r="814" spans="17:19" customFormat="1" x14ac:dyDescent="0.2">
      <c r="Q814" s="140">
        <v>40685</v>
      </c>
      <c r="R814" s="77">
        <v>0</v>
      </c>
      <c r="S814" s="77">
        <v>8.6</v>
      </c>
    </row>
    <row r="815" spans="17:19" customFormat="1" x14ac:dyDescent="0.2">
      <c r="Q815" s="140">
        <v>40686</v>
      </c>
      <c r="R815" s="77">
        <v>0.1</v>
      </c>
      <c r="S815" s="77">
        <v>6</v>
      </c>
    </row>
    <row r="816" spans="17:19" customFormat="1" x14ac:dyDescent="0.2">
      <c r="Q816" s="140">
        <v>40687</v>
      </c>
      <c r="R816" s="77">
        <v>0.8</v>
      </c>
      <c r="S816" s="77">
        <v>8.1</v>
      </c>
    </row>
    <row r="817" spans="17:19" customFormat="1" x14ac:dyDescent="0.2">
      <c r="Q817" s="140">
        <v>40688</v>
      </c>
      <c r="R817" s="77">
        <v>1</v>
      </c>
      <c r="S817" s="77">
        <v>4.5999999999999996</v>
      </c>
    </row>
    <row r="818" spans="17:19" customFormat="1" x14ac:dyDescent="0.2">
      <c r="Q818" s="140">
        <v>40689</v>
      </c>
      <c r="R818" s="77">
        <v>9.6</v>
      </c>
      <c r="S818" s="77">
        <v>0</v>
      </c>
    </row>
    <row r="819" spans="17:19" customFormat="1" x14ac:dyDescent="0.2">
      <c r="Q819" s="140">
        <v>40690</v>
      </c>
      <c r="R819" s="77">
        <v>8.8000000000000007</v>
      </c>
      <c r="S819" s="77">
        <v>0</v>
      </c>
    </row>
    <row r="820" spans="17:19" customFormat="1" x14ac:dyDescent="0.2">
      <c r="Q820" s="140">
        <v>40691</v>
      </c>
      <c r="R820" s="77">
        <v>2.7</v>
      </c>
      <c r="S820" s="77">
        <v>0.2</v>
      </c>
    </row>
    <row r="821" spans="17:19" customFormat="1" x14ac:dyDescent="0.2">
      <c r="Q821" s="140">
        <v>40692</v>
      </c>
      <c r="R821" s="77">
        <v>0.1</v>
      </c>
      <c r="S821" s="77">
        <v>10</v>
      </c>
    </row>
    <row r="822" spans="17:19" customFormat="1" x14ac:dyDescent="0.2">
      <c r="Q822" s="140">
        <v>40693</v>
      </c>
      <c r="R822" s="77">
        <v>0</v>
      </c>
      <c r="S822" s="77">
        <v>16.100000000000001</v>
      </c>
    </row>
    <row r="823" spans="17:19" customFormat="1" x14ac:dyDescent="0.2">
      <c r="Q823" s="140">
        <v>40694</v>
      </c>
      <c r="R823" s="77">
        <v>0</v>
      </c>
      <c r="S823" s="77">
        <v>14.6</v>
      </c>
    </row>
    <row r="824" spans="17:19" customFormat="1" x14ac:dyDescent="0.2">
      <c r="Q824" s="140">
        <v>40695</v>
      </c>
      <c r="R824" s="77">
        <v>1</v>
      </c>
      <c r="S824" s="77">
        <v>10.1</v>
      </c>
    </row>
    <row r="825" spans="17:19" customFormat="1" x14ac:dyDescent="0.2">
      <c r="Q825" s="140">
        <v>40696</v>
      </c>
      <c r="R825" s="77">
        <v>0.1</v>
      </c>
      <c r="S825" s="77">
        <v>5.2</v>
      </c>
    </row>
    <row r="826" spans="17:19" customFormat="1" x14ac:dyDescent="0.2">
      <c r="Q826" s="140">
        <v>40697</v>
      </c>
      <c r="R826" s="77">
        <v>0</v>
      </c>
      <c r="S826" s="77">
        <v>15.2</v>
      </c>
    </row>
    <row r="827" spans="17:19" customFormat="1" x14ac:dyDescent="0.2">
      <c r="Q827" s="140">
        <v>40698</v>
      </c>
      <c r="R827" s="77">
        <v>0</v>
      </c>
      <c r="S827" s="77">
        <v>18.5</v>
      </c>
    </row>
    <row r="828" spans="17:19" customFormat="1" x14ac:dyDescent="0.2">
      <c r="Q828" s="140">
        <v>40699</v>
      </c>
      <c r="R828" s="77">
        <v>0</v>
      </c>
      <c r="S828" s="77">
        <v>10</v>
      </c>
    </row>
    <row r="829" spans="17:19" customFormat="1" x14ac:dyDescent="0.2">
      <c r="Q829" s="140">
        <v>40700</v>
      </c>
      <c r="R829" s="77">
        <v>0</v>
      </c>
      <c r="S829" s="77">
        <v>17.399999999999999</v>
      </c>
    </row>
    <row r="830" spans="17:19" customFormat="1" x14ac:dyDescent="0.2">
      <c r="Q830" s="140">
        <v>40701</v>
      </c>
      <c r="R830" s="77">
        <v>0</v>
      </c>
      <c r="S830" s="77">
        <v>19.7</v>
      </c>
    </row>
    <row r="831" spans="17:19" customFormat="1" x14ac:dyDescent="0.2">
      <c r="Q831" s="140">
        <v>40702</v>
      </c>
      <c r="R831" s="77">
        <v>0</v>
      </c>
      <c r="S831" s="77">
        <v>20.399999999999999</v>
      </c>
    </row>
    <row r="832" spans="17:19" customFormat="1" x14ac:dyDescent="0.2">
      <c r="Q832" s="140">
        <v>40703</v>
      </c>
      <c r="R832" s="77">
        <v>0</v>
      </c>
      <c r="S832" s="77">
        <v>15.1</v>
      </c>
    </row>
    <row r="833" spans="17:19" customFormat="1" x14ac:dyDescent="0.2">
      <c r="Q833" s="140">
        <v>40704</v>
      </c>
      <c r="R833" s="77">
        <v>0.2</v>
      </c>
      <c r="S833" s="77">
        <v>8.4</v>
      </c>
    </row>
    <row r="834" spans="17:19" customFormat="1" x14ac:dyDescent="0.2">
      <c r="Q834" s="140">
        <v>40705</v>
      </c>
      <c r="R834" s="77">
        <v>0.1</v>
      </c>
      <c r="S834" s="77">
        <v>5.4</v>
      </c>
    </row>
    <row r="835" spans="17:19" customFormat="1" x14ac:dyDescent="0.2">
      <c r="Q835" s="140">
        <v>40706</v>
      </c>
      <c r="R835" s="77">
        <v>1.2</v>
      </c>
      <c r="S835" s="77">
        <v>2.6</v>
      </c>
    </row>
    <row r="836" spans="17:19" customFormat="1" x14ac:dyDescent="0.2">
      <c r="Q836" s="140">
        <v>40707</v>
      </c>
      <c r="R836" s="77">
        <v>3.3</v>
      </c>
      <c r="S836" s="77">
        <v>2.8</v>
      </c>
    </row>
    <row r="837" spans="17:19" customFormat="1" x14ac:dyDescent="0.2">
      <c r="Q837" s="140">
        <v>40708</v>
      </c>
      <c r="R837" s="77">
        <v>0.7</v>
      </c>
      <c r="S837" s="77">
        <v>3.2</v>
      </c>
    </row>
    <row r="838" spans="17:19" customFormat="1" x14ac:dyDescent="0.2">
      <c r="Q838" s="140">
        <v>40709</v>
      </c>
      <c r="R838" s="77">
        <v>0.1</v>
      </c>
      <c r="S838" s="77">
        <v>6.3</v>
      </c>
    </row>
    <row r="839" spans="17:19" customFormat="1" x14ac:dyDescent="0.2">
      <c r="Q839" s="140">
        <v>40710</v>
      </c>
      <c r="R839" s="77">
        <v>0.9</v>
      </c>
      <c r="S839" s="77">
        <v>8.5</v>
      </c>
    </row>
    <row r="840" spans="17:19" customFormat="1" x14ac:dyDescent="0.2">
      <c r="Q840" s="140">
        <v>40711</v>
      </c>
      <c r="R840" s="77">
        <v>0</v>
      </c>
      <c r="S840" s="77">
        <v>7</v>
      </c>
    </row>
    <row r="841" spans="17:19" customFormat="1" x14ac:dyDescent="0.2">
      <c r="Q841" s="140">
        <v>40712</v>
      </c>
      <c r="R841" s="77">
        <v>0</v>
      </c>
      <c r="S841" s="77">
        <v>6</v>
      </c>
    </row>
    <row r="842" spans="17:19" customFormat="1" x14ac:dyDescent="0.2">
      <c r="Q842" s="140">
        <v>40713</v>
      </c>
      <c r="R842" s="77">
        <v>0</v>
      </c>
      <c r="S842" s="77">
        <v>9.9</v>
      </c>
    </row>
    <row r="843" spans="17:19" customFormat="1" x14ac:dyDescent="0.2">
      <c r="Q843" s="140">
        <v>40714</v>
      </c>
      <c r="R843" s="77">
        <v>0</v>
      </c>
      <c r="S843" s="77">
        <v>12.5</v>
      </c>
    </row>
    <row r="844" spans="17:19" customFormat="1" x14ac:dyDescent="0.2">
      <c r="Q844" s="140">
        <v>40715</v>
      </c>
      <c r="R844" s="77">
        <v>0</v>
      </c>
      <c r="S844" s="77">
        <v>13.2</v>
      </c>
    </row>
    <row r="845" spans="17:19" customFormat="1" x14ac:dyDescent="0.2">
      <c r="Q845" s="140">
        <v>40716</v>
      </c>
      <c r="R845" s="77">
        <v>0</v>
      </c>
      <c r="S845" s="77">
        <v>5.6</v>
      </c>
    </row>
    <row r="846" spans="17:19" customFormat="1" x14ac:dyDescent="0.2">
      <c r="Q846" s="140">
        <v>40717</v>
      </c>
      <c r="R846" s="77">
        <v>0.2</v>
      </c>
      <c r="S846" s="77">
        <v>1.7</v>
      </c>
    </row>
    <row r="847" spans="17:19" customFormat="1" x14ac:dyDescent="0.2">
      <c r="Q847" s="140">
        <v>40718</v>
      </c>
      <c r="R847" s="77">
        <v>0.5</v>
      </c>
      <c r="S847" s="77">
        <v>3.2</v>
      </c>
    </row>
    <row r="848" spans="17:19" customFormat="1" x14ac:dyDescent="0.2">
      <c r="Q848" s="140">
        <v>40719</v>
      </c>
      <c r="R848" s="77">
        <v>1.2</v>
      </c>
      <c r="S848" s="77">
        <v>3.3</v>
      </c>
    </row>
    <row r="849" spans="17:19" customFormat="1" x14ac:dyDescent="0.2">
      <c r="Q849" s="140">
        <v>40720</v>
      </c>
      <c r="R849" s="77">
        <v>0</v>
      </c>
      <c r="S849" s="77">
        <v>6.6</v>
      </c>
    </row>
    <row r="850" spans="17:19" customFormat="1" x14ac:dyDescent="0.2">
      <c r="Q850" s="140">
        <v>40721</v>
      </c>
      <c r="R850" s="77">
        <v>0</v>
      </c>
      <c r="S850" s="77">
        <v>7.4</v>
      </c>
    </row>
    <row r="851" spans="17:19" customFormat="1" x14ac:dyDescent="0.2">
      <c r="Q851" s="140">
        <v>40722</v>
      </c>
      <c r="R851" s="77">
        <v>0.2</v>
      </c>
      <c r="S851" s="77">
        <v>6.6</v>
      </c>
    </row>
    <row r="852" spans="17:19" customFormat="1" x14ac:dyDescent="0.2">
      <c r="Q852" s="140">
        <v>40723</v>
      </c>
      <c r="R852" s="77">
        <v>1.8</v>
      </c>
      <c r="S852" s="77">
        <v>8.4</v>
      </c>
    </row>
    <row r="853" spans="17:19" customFormat="1" x14ac:dyDescent="0.2">
      <c r="Q853" s="140">
        <v>40724</v>
      </c>
      <c r="R853" s="77">
        <v>0</v>
      </c>
      <c r="S853" s="77">
        <v>12.9</v>
      </c>
    </row>
    <row r="854" spans="17:19" customFormat="1" x14ac:dyDescent="0.2">
      <c r="Q854" s="140">
        <v>40725</v>
      </c>
      <c r="R854" s="77">
        <v>0</v>
      </c>
      <c r="S854" s="77">
        <v>18.2</v>
      </c>
    </row>
    <row r="855" spans="17:19" customFormat="1" x14ac:dyDescent="0.2">
      <c r="Q855" s="140">
        <v>40726</v>
      </c>
      <c r="R855" s="77">
        <v>0</v>
      </c>
      <c r="S855" s="77">
        <v>19.600000000000001</v>
      </c>
    </row>
    <row r="856" spans="17:19" customFormat="1" x14ac:dyDescent="0.2">
      <c r="Q856" s="140">
        <v>40727</v>
      </c>
      <c r="R856" s="77">
        <v>0</v>
      </c>
      <c r="S856" s="77">
        <v>13.6</v>
      </c>
    </row>
    <row r="857" spans="17:19" customFormat="1" x14ac:dyDescent="0.2">
      <c r="Q857" s="140">
        <v>40728</v>
      </c>
      <c r="R857" s="77">
        <v>0</v>
      </c>
      <c r="S857" s="77">
        <v>11.2</v>
      </c>
    </row>
    <row r="858" spans="17:19" customFormat="1" x14ac:dyDescent="0.2">
      <c r="Q858" s="140">
        <v>40729</v>
      </c>
      <c r="R858" s="77">
        <v>0.5</v>
      </c>
      <c r="S858" s="77">
        <v>11.1</v>
      </c>
    </row>
    <row r="859" spans="17:19" customFormat="1" x14ac:dyDescent="0.2">
      <c r="Q859" s="140">
        <v>40730</v>
      </c>
      <c r="R859" s="77">
        <v>0</v>
      </c>
      <c r="S859" s="77">
        <v>14</v>
      </c>
    </row>
    <row r="860" spans="17:19" customFormat="1" x14ac:dyDescent="0.2">
      <c r="Q860" s="140">
        <v>40731</v>
      </c>
      <c r="R860" s="77">
        <v>0</v>
      </c>
      <c r="S860" s="77">
        <v>10.4</v>
      </c>
    </row>
    <row r="861" spans="17:19" customFormat="1" x14ac:dyDescent="0.2">
      <c r="Q861" s="140">
        <v>40732</v>
      </c>
      <c r="R861" s="77">
        <v>0</v>
      </c>
      <c r="S861" s="77">
        <v>10.199999999999999</v>
      </c>
    </row>
    <row r="862" spans="17:19" customFormat="1" x14ac:dyDescent="0.2">
      <c r="Q862" s="140">
        <v>40733</v>
      </c>
      <c r="R862" s="77">
        <v>0.2</v>
      </c>
      <c r="S862" s="77">
        <v>12.7</v>
      </c>
    </row>
    <row r="863" spans="17:19" customFormat="1" x14ac:dyDescent="0.2">
      <c r="Q863" s="140">
        <v>40734</v>
      </c>
      <c r="R863" s="77">
        <v>0</v>
      </c>
      <c r="S863" s="77">
        <v>18.399999999999999</v>
      </c>
    </row>
    <row r="864" spans="17:19" customFormat="1" x14ac:dyDescent="0.2">
      <c r="Q864" s="140">
        <v>40735</v>
      </c>
      <c r="R864" s="77">
        <v>0</v>
      </c>
      <c r="S864" s="77">
        <v>21.9</v>
      </c>
    </row>
    <row r="865" spans="17:19" customFormat="1" x14ac:dyDescent="0.2">
      <c r="Q865" s="140">
        <v>40736</v>
      </c>
      <c r="R865" s="77">
        <v>0</v>
      </c>
      <c r="S865" s="77">
        <v>17</v>
      </c>
    </row>
    <row r="866" spans="17:19" customFormat="1" x14ac:dyDescent="0.2">
      <c r="Q866" s="140">
        <v>40737</v>
      </c>
      <c r="R866" s="77">
        <v>0</v>
      </c>
      <c r="S866" s="77">
        <v>10.1</v>
      </c>
    </row>
    <row r="867" spans="17:19" customFormat="1" x14ac:dyDescent="0.2">
      <c r="Q867" s="140">
        <v>40738</v>
      </c>
      <c r="R867" s="77">
        <v>0.2</v>
      </c>
      <c r="S867" s="77">
        <v>10.1</v>
      </c>
    </row>
    <row r="868" spans="17:19" customFormat="1" x14ac:dyDescent="0.2">
      <c r="Q868" s="140">
        <v>40739</v>
      </c>
      <c r="R868" s="77">
        <v>0</v>
      </c>
      <c r="S868" s="77">
        <v>12.8</v>
      </c>
    </row>
    <row r="869" spans="17:19" customFormat="1" x14ac:dyDescent="0.2">
      <c r="Q869" s="140">
        <v>40740</v>
      </c>
      <c r="R869" s="77">
        <v>0</v>
      </c>
      <c r="S869" s="77">
        <v>15.2</v>
      </c>
    </row>
    <row r="870" spans="17:19" customFormat="1" x14ac:dyDescent="0.2">
      <c r="Q870" s="140">
        <v>40741</v>
      </c>
      <c r="R870" s="77">
        <v>0</v>
      </c>
      <c r="S870" s="77">
        <v>17.899999999999999</v>
      </c>
    </row>
    <row r="871" spans="17:19" customFormat="1" x14ac:dyDescent="0.2">
      <c r="Q871" s="140">
        <v>40742</v>
      </c>
      <c r="R871" s="77">
        <v>0</v>
      </c>
      <c r="S871" s="77">
        <v>19.5</v>
      </c>
    </row>
    <row r="872" spans="17:19" customFormat="1" x14ac:dyDescent="0.2">
      <c r="Q872" s="140">
        <v>40743</v>
      </c>
      <c r="R872" s="77">
        <v>0</v>
      </c>
      <c r="S872" s="77">
        <v>21.5</v>
      </c>
    </row>
    <row r="873" spans="17:19" customFormat="1" x14ac:dyDescent="0.2">
      <c r="Q873" s="140">
        <v>40744</v>
      </c>
      <c r="R873" s="77">
        <v>0</v>
      </c>
      <c r="S873" s="77">
        <v>21.5</v>
      </c>
    </row>
    <row r="874" spans="17:19" customFormat="1" x14ac:dyDescent="0.2">
      <c r="Q874" s="140">
        <v>40745</v>
      </c>
      <c r="R874" s="77">
        <v>0</v>
      </c>
      <c r="S874" s="77">
        <v>22.4</v>
      </c>
    </row>
    <row r="875" spans="17:19" customFormat="1" x14ac:dyDescent="0.2">
      <c r="Q875" s="140">
        <v>40746</v>
      </c>
      <c r="R875" s="77">
        <v>0</v>
      </c>
      <c r="S875" s="77">
        <v>23.3</v>
      </c>
    </row>
    <row r="876" spans="17:19" customFormat="1" x14ac:dyDescent="0.2">
      <c r="Q876" s="140">
        <v>40747</v>
      </c>
      <c r="R876" s="77">
        <v>0</v>
      </c>
      <c r="S876" s="77">
        <v>23.3</v>
      </c>
    </row>
    <row r="877" spans="17:19" customFormat="1" x14ac:dyDescent="0.2">
      <c r="Q877" s="140">
        <v>40748</v>
      </c>
      <c r="R877" s="77">
        <v>0</v>
      </c>
      <c r="S877" s="77">
        <v>13.7</v>
      </c>
    </row>
    <row r="878" spans="17:19" customFormat="1" x14ac:dyDescent="0.2">
      <c r="Q878" s="140">
        <v>40749</v>
      </c>
      <c r="R878" s="77">
        <v>0</v>
      </c>
      <c r="S878" s="77">
        <v>15.2</v>
      </c>
    </row>
    <row r="879" spans="17:19" customFormat="1" x14ac:dyDescent="0.2">
      <c r="Q879" s="140">
        <v>40750</v>
      </c>
      <c r="R879" s="77">
        <v>0</v>
      </c>
      <c r="S879" s="77">
        <v>16.600000000000001</v>
      </c>
    </row>
    <row r="880" spans="17:19" customFormat="1" x14ac:dyDescent="0.2">
      <c r="Q880" s="140">
        <v>40751</v>
      </c>
      <c r="R880" s="77">
        <v>0</v>
      </c>
      <c r="S880" s="77">
        <v>19.2</v>
      </c>
    </row>
    <row r="881" spans="17:19" customFormat="1" x14ac:dyDescent="0.2">
      <c r="Q881" s="140">
        <v>40752</v>
      </c>
      <c r="R881" s="77">
        <v>0</v>
      </c>
      <c r="S881" s="77">
        <v>21.5</v>
      </c>
    </row>
    <row r="882" spans="17:19" customFormat="1" x14ac:dyDescent="0.2">
      <c r="Q882" s="140">
        <v>40753</v>
      </c>
      <c r="R882" s="77">
        <v>0</v>
      </c>
      <c r="S882" s="77">
        <v>17.7</v>
      </c>
    </row>
    <row r="883" spans="17:19" customFormat="1" x14ac:dyDescent="0.2">
      <c r="Q883" s="140">
        <v>40754</v>
      </c>
      <c r="R883" s="77">
        <v>0</v>
      </c>
      <c r="S883" s="77">
        <v>14.6</v>
      </c>
    </row>
    <row r="884" spans="17:19" customFormat="1" x14ac:dyDescent="0.2">
      <c r="Q884" s="140">
        <v>40755</v>
      </c>
      <c r="R884" s="77">
        <v>0</v>
      </c>
      <c r="S884" s="77">
        <v>16.8</v>
      </c>
    </row>
    <row r="885" spans="17:19" customFormat="1" x14ac:dyDescent="0.2">
      <c r="Q885" s="140">
        <v>40756</v>
      </c>
      <c r="R885" s="77">
        <v>0</v>
      </c>
      <c r="S885" s="77">
        <v>18.3</v>
      </c>
    </row>
    <row r="886" spans="17:19" customFormat="1" x14ac:dyDescent="0.2">
      <c r="Q886" s="140">
        <v>40757</v>
      </c>
      <c r="R886" s="77">
        <v>0</v>
      </c>
      <c r="S886" s="77">
        <v>22.1</v>
      </c>
    </row>
    <row r="887" spans="17:19" customFormat="1" x14ac:dyDescent="0.2">
      <c r="Q887" s="140">
        <v>40758</v>
      </c>
      <c r="R887" s="77">
        <v>0</v>
      </c>
      <c r="S887" s="77">
        <v>19.3</v>
      </c>
    </row>
    <row r="888" spans="17:19" customFormat="1" x14ac:dyDescent="0.2">
      <c r="Q888" s="140">
        <v>40759</v>
      </c>
      <c r="R888" s="77">
        <v>0</v>
      </c>
      <c r="S888" s="77">
        <v>14.1</v>
      </c>
    </row>
    <row r="889" spans="17:19" customFormat="1" x14ac:dyDescent="0.2">
      <c r="Q889" s="140">
        <v>40760</v>
      </c>
      <c r="R889" s="77">
        <v>0</v>
      </c>
      <c r="S889" s="77">
        <v>13.1</v>
      </c>
    </row>
    <row r="890" spans="17:19" customFormat="1" x14ac:dyDescent="0.2">
      <c r="Q890" s="140">
        <v>40761</v>
      </c>
      <c r="R890" s="77">
        <v>0</v>
      </c>
      <c r="S890" s="77">
        <v>15.1</v>
      </c>
    </row>
    <row r="891" spans="17:19" customFormat="1" x14ac:dyDescent="0.2">
      <c r="Q891" s="140">
        <v>40762</v>
      </c>
      <c r="R891" s="77">
        <v>0</v>
      </c>
      <c r="S891" s="77">
        <v>16.8</v>
      </c>
    </row>
    <row r="892" spans="17:19" customFormat="1" x14ac:dyDescent="0.2">
      <c r="Q892" s="140">
        <v>40763</v>
      </c>
      <c r="R892" s="77">
        <v>0</v>
      </c>
      <c r="S892" s="77">
        <v>13.6</v>
      </c>
    </row>
    <row r="893" spans="17:19" customFormat="1" x14ac:dyDescent="0.2">
      <c r="Q893" s="140">
        <v>40764</v>
      </c>
      <c r="R893" s="77">
        <v>0.1</v>
      </c>
      <c r="S893" s="77">
        <v>12.1</v>
      </c>
    </row>
    <row r="894" spans="17:19" customFormat="1" x14ac:dyDescent="0.2">
      <c r="Q894" s="140">
        <v>40765</v>
      </c>
      <c r="R894" s="77">
        <v>0.7</v>
      </c>
      <c r="S894" s="77">
        <v>6.3</v>
      </c>
    </row>
    <row r="895" spans="17:19" customFormat="1" x14ac:dyDescent="0.2">
      <c r="Q895" s="140">
        <v>40766</v>
      </c>
      <c r="R895" s="77">
        <v>2.2999999999999998</v>
      </c>
      <c r="S895" s="77">
        <v>6.9</v>
      </c>
    </row>
    <row r="896" spans="17:19" customFormat="1" x14ac:dyDescent="0.2">
      <c r="Q896" s="140">
        <v>40767</v>
      </c>
      <c r="R896" s="77">
        <v>1.4</v>
      </c>
      <c r="S896" s="77">
        <v>8.8000000000000007</v>
      </c>
    </row>
    <row r="897" spans="17:19" customFormat="1" x14ac:dyDescent="0.2">
      <c r="Q897" s="140">
        <v>40768</v>
      </c>
      <c r="R897" s="77">
        <v>0.1</v>
      </c>
      <c r="S897" s="77">
        <v>9.1999999999999993</v>
      </c>
    </row>
    <row r="898" spans="17:19" customFormat="1" x14ac:dyDescent="0.2">
      <c r="Q898" s="140">
        <v>40769</v>
      </c>
      <c r="R898" s="77">
        <v>0.5</v>
      </c>
      <c r="S898" s="77">
        <v>7</v>
      </c>
    </row>
    <row r="899" spans="17:19" customFormat="1" x14ac:dyDescent="0.2">
      <c r="Q899" s="140">
        <v>40770</v>
      </c>
      <c r="R899" s="77">
        <v>3.3</v>
      </c>
      <c r="S899" s="77">
        <v>6.8</v>
      </c>
    </row>
    <row r="900" spans="17:19" customFormat="1" x14ac:dyDescent="0.2">
      <c r="Q900" s="140">
        <v>40771</v>
      </c>
      <c r="R900" s="77">
        <v>2.2000000000000002</v>
      </c>
      <c r="S900" s="77">
        <v>7.5</v>
      </c>
    </row>
    <row r="901" spans="17:19" customFormat="1" x14ac:dyDescent="0.2">
      <c r="Q901" s="140">
        <v>40772</v>
      </c>
      <c r="R901" s="77">
        <v>0</v>
      </c>
      <c r="S901" s="77">
        <v>11.6</v>
      </c>
    </row>
    <row r="902" spans="17:19" customFormat="1" x14ac:dyDescent="0.2">
      <c r="Q902" s="140">
        <v>40773</v>
      </c>
      <c r="R902" s="77">
        <v>0</v>
      </c>
      <c r="S902" s="77">
        <v>12.5</v>
      </c>
    </row>
    <row r="903" spans="17:19" customFormat="1" x14ac:dyDescent="0.2">
      <c r="Q903" s="140">
        <v>40774</v>
      </c>
      <c r="R903" s="77">
        <v>0</v>
      </c>
      <c r="S903" s="77">
        <v>15.3</v>
      </c>
    </row>
    <row r="904" spans="17:19" customFormat="1" x14ac:dyDescent="0.2">
      <c r="Q904" s="140">
        <v>40775</v>
      </c>
      <c r="R904" s="77">
        <v>0</v>
      </c>
      <c r="S904" s="77">
        <v>13.4</v>
      </c>
    </row>
    <row r="905" spans="17:19" customFormat="1" x14ac:dyDescent="0.2">
      <c r="Q905" s="140">
        <v>40776</v>
      </c>
      <c r="R905" s="77">
        <v>0</v>
      </c>
      <c r="S905" s="77">
        <v>9.5</v>
      </c>
    </row>
    <row r="906" spans="17:19" customFormat="1" x14ac:dyDescent="0.2">
      <c r="Q906" s="140">
        <v>40777</v>
      </c>
      <c r="R906" s="77">
        <v>1.4</v>
      </c>
      <c r="S906" s="77">
        <v>10</v>
      </c>
    </row>
    <row r="907" spans="17:19" customFormat="1" x14ac:dyDescent="0.2">
      <c r="Q907" s="140">
        <v>40778</v>
      </c>
      <c r="R907" s="77">
        <v>0</v>
      </c>
      <c r="S907" s="77">
        <v>14.2</v>
      </c>
    </row>
    <row r="908" spans="17:19" customFormat="1" x14ac:dyDescent="0.2">
      <c r="Q908" s="140">
        <v>40779</v>
      </c>
      <c r="R908" s="77">
        <v>0</v>
      </c>
      <c r="S908" s="77">
        <v>20</v>
      </c>
    </row>
    <row r="909" spans="17:19" customFormat="1" x14ac:dyDescent="0.2">
      <c r="Q909" s="140">
        <v>40780</v>
      </c>
      <c r="R909" s="77">
        <v>1.2</v>
      </c>
      <c r="S909" s="77">
        <v>9.1</v>
      </c>
    </row>
    <row r="910" spans="17:19" customFormat="1" x14ac:dyDescent="0.2">
      <c r="Q910" s="140">
        <v>40781</v>
      </c>
      <c r="R910" s="77">
        <v>1.4</v>
      </c>
      <c r="S910" s="77">
        <v>9.4</v>
      </c>
    </row>
    <row r="911" spans="17:19" customFormat="1" x14ac:dyDescent="0.2">
      <c r="Q911" s="140">
        <v>40782</v>
      </c>
      <c r="R911" s="77">
        <v>0.1</v>
      </c>
      <c r="S911" s="77">
        <v>11.4</v>
      </c>
    </row>
    <row r="912" spans="17:19" customFormat="1" x14ac:dyDescent="0.2">
      <c r="Q912" s="140">
        <v>40783</v>
      </c>
      <c r="R912" s="77">
        <v>1.3</v>
      </c>
      <c r="S912" s="77">
        <v>7</v>
      </c>
    </row>
    <row r="913" spans="17:19" customFormat="1" x14ac:dyDescent="0.2">
      <c r="Q913" s="140">
        <v>40784</v>
      </c>
      <c r="R913" s="77">
        <v>0.9</v>
      </c>
      <c r="S913" s="77">
        <v>7.6</v>
      </c>
    </row>
    <row r="914" spans="17:19" customFormat="1" x14ac:dyDescent="0.2">
      <c r="Q914" s="140">
        <v>40785</v>
      </c>
      <c r="R914" s="77">
        <v>0.6</v>
      </c>
      <c r="S914" s="77">
        <v>9.9</v>
      </c>
    </row>
    <row r="915" spans="17:19" customFormat="1" x14ac:dyDescent="0.2">
      <c r="Q915" s="140">
        <v>40786</v>
      </c>
      <c r="R915" s="77">
        <v>0</v>
      </c>
      <c r="S915" s="77">
        <v>18.600000000000001</v>
      </c>
    </row>
    <row r="916" spans="17:19" customFormat="1" x14ac:dyDescent="0.2">
      <c r="Q916" s="140">
        <v>40787</v>
      </c>
      <c r="R916" s="77">
        <v>0</v>
      </c>
      <c r="S916" s="77">
        <v>23.9</v>
      </c>
    </row>
    <row r="917" spans="17:19" customFormat="1" x14ac:dyDescent="0.2">
      <c r="Q917" s="140">
        <v>40788</v>
      </c>
      <c r="R917" s="77">
        <v>0</v>
      </c>
      <c r="S917" s="77">
        <v>22.4</v>
      </c>
    </row>
    <row r="918" spans="17:19" customFormat="1" x14ac:dyDescent="0.2">
      <c r="Q918" s="140">
        <v>40789</v>
      </c>
      <c r="R918" s="77">
        <v>0</v>
      </c>
      <c r="S918" s="77">
        <v>18.2</v>
      </c>
    </row>
    <row r="919" spans="17:19" customFormat="1" x14ac:dyDescent="0.2">
      <c r="Q919" s="140">
        <v>40790</v>
      </c>
      <c r="R919" s="77">
        <v>0.6</v>
      </c>
      <c r="S919" s="77">
        <v>5.5</v>
      </c>
    </row>
    <row r="920" spans="17:19" customFormat="1" x14ac:dyDescent="0.2">
      <c r="Q920" s="140">
        <v>40791</v>
      </c>
      <c r="R920" s="77">
        <v>5.3</v>
      </c>
      <c r="S920" s="77">
        <v>1.9</v>
      </c>
    </row>
    <row r="921" spans="17:19" customFormat="1" x14ac:dyDescent="0.2">
      <c r="Q921" s="140">
        <v>40792</v>
      </c>
      <c r="R921" s="77">
        <v>7.7</v>
      </c>
      <c r="S921" s="77">
        <v>2</v>
      </c>
    </row>
    <row r="922" spans="17:19" customFormat="1" x14ac:dyDescent="0.2">
      <c r="Q922" s="140">
        <v>40793</v>
      </c>
      <c r="R922" s="77">
        <v>6.4</v>
      </c>
      <c r="S922" s="77">
        <v>3.3</v>
      </c>
    </row>
    <row r="923" spans="17:19" customFormat="1" x14ac:dyDescent="0.2">
      <c r="Q923" s="140">
        <v>40794</v>
      </c>
      <c r="R923" s="77">
        <v>4.5</v>
      </c>
      <c r="S923" s="77">
        <v>4.0999999999999996</v>
      </c>
    </row>
    <row r="924" spans="17:19" customFormat="1" x14ac:dyDescent="0.2">
      <c r="Q924" s="140">
        <v>40795</v>
      </c>
      <c r="R924" s="77">
        <v>1.6</v>
      </c>
      <c r="S924" s="77">
        <v>1.2</v>
      </c>
    </row>
    <row r="925" spans="17:19" customFormat="1" x14ac:dyDescent="0.2">
      <c r="Q925" s="140">
        <v>40796</v>
      </c>
      <c r="R925" s="77">
        <v>2.4</v>
      </c>
      <c r="S925" s="77">
        <v>2.6</v>
      </c>
    </row>
    <row r="926" spans="17:19" customFormat="1" x14ac:dyDescent="0.2">
      <c r="Q926" s="140">
        <v>40797</v>
      </c>
      <c r="R926" s="77">
        <v>3</v>
      </c>
      <c r="S926" s="77">
        <v>6.2</v>
      </c>
    </row>
    <row r="927" spans="17:19" customFormat="1" x14ac:dyDescent="0.2">
      <c r="Q927" s="140">
        <v>40798</v>
      </c>
      <c r="R927" s="77">
        <v>1</v>
      </c>
      <c r="S927" s="77">
        <v>10.4</v>
      </c>
    </row>
    <row r="928" spans="17:19" customFormat="1" x14ac:dyDescent="0.2">
      <c r="Q928" s="140">
        <v>40799</v>
      </c>
      <c r="R928" s="77">
        <v>0</v>
      </c>
      <c r="S928" s="77">
        <v>10.3</v>
      </c>
    </row>
    <row r="929" spans="17:19" customFormat="1" x14ac:dyDescent="0.2">
      <c r="Q929" s="140">
        <v>40800</v>
      </c>
      <c r="R929" s="77">
        <v>6.6</v>
      </c>
      <c r="S929" s="77">
        <v>0</v>
      </c>
    </row>
    <row r="930" spans="17:19" customFormat="1" x14ac:dyDescent="0.2">
      <c r="Q930" s="140">
        <v>40801</v>
      </c>
      <c r="R930" s="77">
        <v>13.5</v>
      </c>
      <c r="S930" s="77">
        <v>0</v>
      </c>
    </row>
    <row r="931" spans="17:19" customFormat="1" x14ac:dyDescent="0.2">
      <c r="Q931" s="140">
        <v>40802</v>
      </c>
      <c r="R931" s="77">
        <v>8.9</v>
      </c>
      <c r="S931" s="77">
        <v>0</v>
      </c>
    </row>
    <row r="932" spans="17:19" customFormat="1" x14ac:dyDescent="0.2">
      <c r="Q932" s="140">
        <v>40803</v>
      </c>
      <c r="R932" s="77">
        <v>4.3</v>
      </c>
      <c r="S932" s="77">
        <v>1.9</v>
      </c>
    </row>
    <row r="933" spans="17:19" customFormat="1" x14ac:dyDescent="0.2">
      <c r="Q933" s="140">
        <v>40804</v>
      </c>
      <c r="R933" s="77">
        <v>1.3</v>
      </c>
      <c r="S933" s="77">
        <v>1.8</v>
      </c>
    </row>
    <row r="934" spans="17:19" customFormat="1" x14ac:dyDescent="0.2">
      <c r="Q934" s="140">
        <v>40805</v>
      </c>
      <c r="R934" s="77">
        <v>2.4</v>
      </c>
      <c r="S934" s="77">
        <v>0.6</v>
      </c>
    </row>
    <row r="935" spans="17:19" customFormat="1" x14ac:dyDescent="0.2">
      <c r="Q935" s="140">
        <v>40806</v>
      </c>
      <c r="R935" s="77">
        <v>7.3</v>
      </c>
      <c r="S935" s="77">
        <v>3.4</v>
      </c>
    </row>
    <row r="936" spans="17:19" customFormat="1" x14ac:dyDescent="0.2">
      <c r="Q936" s="140">
        <v>40807</v>
      </c>
      <c r="R936" s="77">
        <v>4.2</v>
      </c>
      <c r="S936" s="77">
        <v>3.8</v>
      </c>
    </row>
    <row r="937" spans="17:19" customFormat="1" x14ac:dyDescent="0.2">
      <c r="Q937" s="140">
        <v>40808</v>
      </c>
      <c r="R937" s="77">
        <v>8</v>
      </c>
      <c r="S937" s="77">
        <v>0</v>
      </c>
    </row>
    <row r="938" spans="17:19" customFormat="1" x14ac:dyDescent="0.2">
      <c r="Q938" s="140">
        <v>40809</v>
      </c>
      <c r="R938" s="77">
        <v>10.4</v>
      </c>
      <c r="S938" s="77">
        <v>0.6</v>
      </c>
    </row>
    <row r="939" spans="17:19" customFormat="1" x14ac:dyDescent="0.2">
      <c r="Q939" s="140">
        <v>40810</v>
      </c>
      <c r="R939" s="77">
        <v>9.5</v>
      </c>
      <c r="S939" s="77">
        <v>0</v>
      </c>
    </row>
    <row r="940" spans="17:19" customFormat="1" x14ac:dyDescent="0.2">
      <c r="Q940" s="140">
        <v>40811</v>
      </c>
      <c r="R940" s="77">
        <v>12.7</v>
      </c>
      <c r="S940" s="77">
        <v>0.5</v>
      </c>
    </row>
    <row r="941" spans="17:19" customFormat="1" x14ac:dyDescent="0.2">
      <c r="Q941" s="140">
        <v>40812</v>
      </c>
      <c r="R941" s="77">
        <v>11.1</v>
      </c>
      <c r="S941" s="77">
        <v>0</v>
      </c>
    </row>
    <row r="942" spans="17:19" customFormat="1" x14ac:dyDescent="0.2">
      <c r="Q942" s="140">
        <v>40813</v>
      </c>
      <c r="R942" s="77">
        <v>8</v>
      </c>
      <c r="S942" s="77">
        <v>0.2</v>
      </c>
    </row>
    <row r="943" spans="17:19" customFormat="1" x14ac:dyDescent="0.2">
      <c r="Q943" s="140">
        <v>40814</v>
      </c>
      <c r="R943" s="77">
        <v>6.1</v>
      </c>
      <c r="S943" s="77">
        <v>1.4</v>
      </c>
    </row>
    <row r="944" spans="17:19" customFormat="1" x14ac:dyDescent="0.2">
      <c r="Q944" s="140">
        <v>40815</v>
      </c>
      <c r="R944" s="77">
        <v>5.5</v>
      </c>
      <c r="S944" s="77">
        <v>3.8</v>
      </c>
    </row>
    <row r="945" spans="17:19" customFormat="1" x14ac:dyDescent="0.2">
      <c r="Q945" s="140">
        <v>40816</v>
      </c>
      <c r="R945" s="77">
        <v>6</v>
      </c>
      <c r="S945" s="77">
        <v>1.2</v>
      </c>
    </row>
    <row r="946" spans="17:19" customFormat="1" x14ac:dyDescent="0.2">
      <c r="Q946" s="140">
        <v>40817</v>
      </c>
      <c r="R946" s="77">
        <v>14.7</v>
      </c>
      <c r="S946" s="77">
        <v>0</v>
      </c>
    </row>
    <row r="947" spans="17:19" customFormat="1" x14ac:dyDescent="0.2">
      <c r="Q947" s="140">
        <v>40818</v>
      </c>
      <c r="R947" s="77">
        <v>15.4</v>
      </c>
      <c r="S947" s="77">
        <v>1.1000000000000001</v>
      </c>
    </row>
    <row r="948" spans="17:19" customFormat="1" x14ac:dyDescent="0.2">
      <c r="Q948" s="140">
        <v>40819</v>
      </c>
      <c r="R948" s="77">
        <v>11.5</v>
      </c>
      <c r="S948" s="77">
        <v>3.4</v>
      </c>
    </row>
    <row r="949" spans="17:19" customFormat="1" x14ac:dyDescent="0.2">
      <c r="Q949" s="140">
        <v>40820</v>
      </c>
      <c r="R949" s="77">
        <v>7.7</v>
      </c>
      <c r="S949" s="77">
        <v>4.5</v>
      </c>
    </row>
    <row r="950" spans="17:19" customFormat="1" x14ac:dyDescent="0.2">
      <c r="Q950" s="140">
        <v>40821</v>
      </c>
      <c r="R950" s="77">
        <v>5.9</v>
      </c>
      <c r="S950" s="77">
        <v>5.6</v>
      </c>
    </row>
    <row r="951" spans="17:19" customFormat="1" x14ac:dyDescent="0.2">
      <c r="Q951" s="140">
        <v>40822</v>
      </c>
      <c r="R951" s="77">
        <v>3.5</v>
      </c>
      <c r="S951" s="77">
        <v>6.7</v>
      </c>
    </row>
    <row r="952" spans="17:19" customFormat="1" x14ac:dyDescent="0.2">
      <c r="Q952" s="140">
        <v>40823</v>
      </c>
      <c r="R952" s="77">
        <v>1.1000000000000001</v>
      </c>
      <c r="S952" s="77">
        <v>8.1</v>
      </c>
    </row>
    <row r="953" spans="17:19" customFormat="1" x14ac:dyDescent="0.2">
      <c r="Q953" s="140">
        <v>40824</v>
      </c>
      <c r="R953" s="77">
        <v>0.7</v>
      </c>
      <c r="S953" s="77">
        <v>6.6</v>
      </c>
    </row>
    <row r="954" spans="17:19" customFormat="1" x14ac:dyDescent="0.2">
      <c r="Q954" s="140">
        <v>40825</v>
      </c>
      <c r="R954" s="77">
        <v>3.9</v>
      </c>
      <c r="S954" s="77">
        <v>5.2</v>
      </c>
    </row>
    <row r="955" spans="17:19" customFormat="1" x14ac:dyDescent="0.2">
      <c r="Q955" s="140">
        <v>40826</v>
      </c>
      <c r="R955" s="77">
        <v>4</v>
      </c>
      <c r="S955" s="77">
        <v>4.5</v>
      </c>
    </row>
    <row r="956" spans="17:19" customFormat="1" x14ac:dyDescent="0.2">
      <c r="Q956" s="140">
        <v>40827</v>
      </c>
      <c r="R956" s="77">
        <v>2.9</v>
      </c>
      <c r="S956" s="77">
        <v>4.5999999999999996</v>
      </c>
    </row>
    <row r="957" spans="17:19" customFormat="1" x14ac:dyDescent="0.2">
      <c r="Q957" s="140">
        <v>40828</v>
      </c>
      <c r="R957" s="77">
        <v>2.5</v>
      </c>
      <c r="S957" s="77">
        <v>1</v>
      </c>
    </row>
    <row r="958" spans="17:19" customFormat="1" x14ac:dyDescent="0.2">
      <c r="Q958" s="140">
        <v>40829</v>
      </c>
      <c r="R958" s="77">
        <v>3.8</v>
      </c>
      <c r="S958" s="77">
        <v>0.8</v>
      </c>
    </row>
    <row r="959" spans="17:19" customFormat="1" x14ac:dyDescent="0.2">
      <c r="Q959" s="140">
        <v>40830</v>
      </c>
      <c r="R959" s="77">
        <v>9.9</v>
      </c>
      <c r="S959" s="77">
        <v>0.2</v>
      </c>
    </row>
    <row r="960" spans="17:19" customFormat="1" x14ac:dyDescent="0.2">
      <c r="Q960" s="140">
        <v>40831</v>
      </c>
      <c r="R960" s="77">
        <v>11.5</v>
      </c>
      <c r="S960" s="77">
        <v>0.3</v>
      </c>
    </row>
    <row r="961" spans="17:19" customFormat="1" x14ac:dyDescent="0.2">
      <c r="Q961" s="140">
        <v>40832</v>
      </c>
      <c r="R961" s="77">
        <v>6.5</v>
      </c>
      <c r="S961" s="77">
        <v>1.4</v>
      </c>
    </row>
    <row r="962" spans="17:19" customFormat="1" x14ac:dyDescent="0.2">
      <c r="Q962" s="140">
        <v>40833</v>
      </c>
      <c r="R962" s="77">
        <v>17.2</v>
      </c>
      <c r="S962" s="77">
        <v>0</v>
      </c>
    </row>
    <row r="963" spans="17:19" customFormat="1" x14ac:dyDescent="0.2">
      <c r="Q963" s="140">
        <v>40834</v>
      </c>
      <c r="R963" s="77">
        <v>16.8</v>
      </c>
      <c r="S963" s="77">
        <v>0</v>
      </c>
    </row>
    <row r="964" spans="17:19" customFormat="1" x14ac:dyDescent="0.2">
      <c r="Q964" s="140">
        <v>40835</v>
      </c>
      <c r="R964" s="77">
        <v>19.2</v>
      </c>
      <c r="S964" s="77">
        <v>0</v>
      </c>
    </row>
    <row r="965" spans="17:19" customFormat="1" x14ac:dyDescent="0.2">
      <c r="Q965" s="140">
        <v>40836</v>
      </c>
      <c r="R965" s="77">
        <v>20.6</v>
      </c>
      <c r="S965" s="77">
        <v>0</v>
      </c>
    </row>
    <row r="966" spans="17:19" customFormat="1" x14ac:dyDescent="0.2">
      <c r="Q966" s="140">
        <v>40837</v>
      </c>
      <c r="R966" s="77">
        <v>21.2</v>
      </c>
      <c r="S966" s="77">
        <v>0</v>
      </c>
    </row>
    <row r="967" spans="17:19" customFormat="1" x14ac:dyDescent="0.2">
      <c r="Q967" s="140">
        <v>40838</v>
      </c>
      <c r="R967" s="77">
        <v>13.2</v>
      </c>
      <c r="S967" s="77">
        <v>1.3</v>
      </c>
    </row>
    <row r="968" spans="17:19" customFormat="1" x14ac:dyDescent="0.2">
      <c r="Q968" s="140">
        <v>40839</v>
      </c>
      <c r="R968" s="77">
        <v>8</v>
      </c>
      <c r="S968" s="77">
        <v>1.2</v>
      </c>
    </row>
    <row r="969" spans="17:19" customFormat="1" x14ac:dyDescent="0.2">
      <c r="Q969" s="140">
        <v>40840</v>
      </c>
      <c r="R969" s="77">
        <v>8.6</v>
      </c>
      <c r="S969" s="77">
        <v>0.4</v>
      </c>
    </row>
    <row r="970" spans="17:19" customFormat="1" x14ac:dyDescent="0.2">
      <c r="Q970" s="140">
        <v>40841</v>
      </c>
      <c r="R970" s="77">
        <v>3.4</v>
      </c>
      <c r="S970" s="77">
        <v>5.5</v>
      </c>
    </row>
    <row r="971" spans="17:19" customFormat="1" x14ac:dyDescent="0.2">
      <c r="Q971" s="140">
        <v>40842</v>
      </c>
      <c r="R971" s="77">
        <v>12</v>
      </c>
      <c r="S971" s="77">
        <v>0.3</v>
      </c>
    </row>
    <row r="972" spans="17:19" customFormat="1" x14ac:dyDescent="0.2">
      <c r="Q972" s="140">
        <v>40843</v>
      </c>
      <c r="R972" s="77">
        <v>17.399999999999999</v>
      </c>
      <c r="S972" s="77">
        <v>0</v>
      </c>
    </row>
    <row r="973" spans="17:19" customFormat="1" x14ac:dyDescent="0.2">
      <c r="Q973" s="140">
        <v>40844</v>
      </c>
      <c r="R973" s="77">
        <v>20.7</v>
      </c>
      <c r="S973" s="77">
        <v>0</v>
      </c>
    </row>
    <row r="974" spans="17:19" customFormat="1" x14ac:dyDescent="0.2">
      <c r="Q974" s="140">
        <v>40845</v>
      </c>
      <c r="R974" s="77">
        <v>20.100000000000001</v>
      </c>
      <c r="S974" s="77">
        <v>0</v>
      </c>
    </row>
    <row r="975" spans="17:19" customFormat="1" x14ac:dyDescent="0.2">
      <c r="Q975" s="140">
        <v>40846</v>
      </c>
      <c r="R975" s="77">
        <v>15.8</v>
      </c>
      <c r="S975" s="77">
        <v>0</v>
      </c>
    </row>
    <row r="976" spans="17:19" customFormat="1" x14ac:dyDescent="0.2">
      <c r="Q976" s="140">
        <v>40847</v>
      </c>
      <c r="R976" s="77">
        <v>21.9</v>
      </c>
      <c r="S976" s="77">
        <v>0</v>
      </c>
    </row>
    <row r="977" spans="17:19" customFormat="1" x14ac:dyDescent="0.2">
      <c r="Q977" s="140">
        <v>40848</v>
      </c>
      <c r="R977" s="77">
        <v>10.5</v>
      </c>
      <c r="S977" s="77">
        <v>1.9</v>
      </c>
    </row>
    <row r="978" spans="17:19" customFormat="1" x14ac:dyDescent="0.2">
      <c r="Q978" s="140">
        <v>40849</v>
      </c>
      <c r="R978" s="77">
        <v>5.3</v>
      </c>
      <c r="S978" s="77">
        <v>1.5</v>
      </c>
    </row>
    <row r="979" spans="17:19" customFormat="1" x14ac:dyDescent="0.2">
      <c r="Q979" s="140">
        <v>40850</v>
      </c>
      <c r="R979" s="77">
        <v>16.100000000000001</v>
      </c>
      <c r="S979" s="77">
        <v>0</v>
      </c>
    </row>
    <row r="980" spans="17:19" customFormat="1" x14ac:dyDescent="0.2">
      <c r="Q980" s="140">
        <v>40851</v>
      </c>
      <c r="R980" s="77">
        <v>20.5</v>
      </c>
      <c r="S980" s="77">
        <v>0</v>
      </c>
    </row>
    <row r="981" spans="17:19" customFormat="1" x14ac:dyDescent="0.2">
      <c r="Q981" s="140">
        <v>40852</v>
      </c>
      <c r="R981" s="77">
        <v>16.8</v>
      </c>
      <c r="S981" s="77">
        <v>0</v>
      </c>
    </row>
    <row r="982" spans="17:19" customFormat="1" x14ac:dyDescent="0.2">
      <c r="Q982" s="140">
        <v>40853</v>
      </c>
      <c r="R982" s="77">
        <v>10.6</v>
      </c>
      <c r="S982" s="77">
        <v>0</v>
      </c>
    </row>
    <row r="983" spans="17:19" customFormat="1" x14ac:dyDescent="0.2">
      <c r="Q983" s="140">
        <v>40854</v>
      </c>
      <c r="R983" s="77">
        <v>8.9</v>
      </c>
      <c r="S983" s="77">
        <v>0</v>
      </c>
    </row>
    <row r="984" spans="17:19" customFormat="1" x14ac:dyDescent="0.2">
      <c r="Q984" s="140">
        <v>40855</v>
      </c>
      <c r="R984" s="77">
        <v>6.5</v>
      </c>
      <c r="S984" s="77">
        <v>0</v>
      </c>
    </row>
    <row r="985" spans="17:19" customFormat="1" x14ac:dyDescent="0.2">
      <c r="Q985" s="140">
        <v>40856</v>
      </c>
      <c r="R985" s="77">
        <v>18.100000000000001</v>
      </c>
      <c r="S985" s="77">
        <v>0</v>
      </c>
    </row>
    <row r="986" spans="17:19" customFormat="1" x14ac:dyDescent="0.2">
      <c r="Q986" s="140">
        <v>40857</v>
      </c>
      <c r="R986" s="77">
        <v>27.2</v>
      </c>
      <c r="S986" s="77">
        <v>0</v>
      </c>
    </row>
    <row r="987" spans="17:19" customFormat="1" x14ac:dyDescent="0.2">
      <c r="Q987" s="140">
        <v>40858</v>
      </c>
      <c r="R987" s="77">
        <v>23</v>
      </c>
      <c r="S987" s="77">
        <v>0</v>
      </c>
    </row>
    <row r="988" spans="17:19" customFormat="1" x14ac:dyDescent="0.2">
      <c r="Q988" s="140">
        <v>40859</v>
      </c>
      <c r="R988" s="77">
        <v>12.5</v>
      </c>
      <c r="S988" s="77">
        <v>0</v>
      </c>
    </row>
    <row r="989" spans="17:19" customFormat="1" x14ac:dyDescent="0.2">
      <c r="Q989" s="140">
        <v>40860</v>
      </c>
      <c r="R989" s="77">
        <v>4.3</v>
      </c>
      <c r="S989" s="77">
        <v>2.2000000000000002</v>
      </c>
    </row>
    <row r="990" spans="17:19" customFormat="1" x14ac:dyDescent="0.2">
      <c r="Q990" s="140">
        <v>40861</v>
      </c>
      <c r="R990" s="77">
        <v>8.5</v>
      </c>
      <c r="S990" s="77">
        <v>1.5</v>
      </c>
    </row>
    <row r="991" spans="17:19" customFormat="1" x14ac:dyDescent="0.2">
      <c r="Q991" s="140">
        <v>40862</v>
      </c>
      <c r="R991" s="77">
        <v>12.8</v>
      </c>
      <c r="S991" s="77">
        <v>0</v>
      </c>
    </row>
    <row r="992" spans="17:19" customFormat="1" x14ac:dyDescent="0.2">
      <c r="Q992" s="140">
        <v>40863</v>
      </c>
      <c r="R992" s="77">
        <v>24.9</v>
      </c>
      <c r="S992" s="77">
        <v>0</v>
      </c>
    </row>
    <row r="993" spans="17:19" customFormat="1" x14ac:dyDescent="0.2">
      <c r="Q993" s="140">
        <v>40864</v>
      </c>
      <c r="R993" s="77">
        <v>29.6</v>
      </c>
      <c r="S993" s="77">
        <v>0</v>
      </c>
    </row>
    <row r="994" spans="17:19" customFormat="1" x14ac:dyDescent="0.2">
      <c r="Q994" s="140">
        <v>40865</v>
      </c>
      <c r="R994" s="77">
        <v>21.9</v>
      </c>
      <c r="S994" s="77">
        <v>0</v>
      </c>
    </row>
    <row r="995" spans="17:19" customFormat="1" x14ac:dyDescent="0.2">
      <c r="Q995" s="140">
        <v>40866</v>
      </c>
      <c r="R995" s="77">
        <v>11.2</v>
      </c>
      <c r="S995" s="77">
        <v>0</v>
      </c>
    </row>
    <row r="996" spans="17:19" customFormat="1" x14ac:dyDescent="0.2">
      <c r="Q996" s="140">
        <v>40867</v>
      </c>
      <c r="R996" s="77">
        <v>22.1</v>
      </c>
      <c r="S996" s="77">
        <v>0</v>
      </c>
    </row>
    <row r="997" spans="17:19" customFormat="1" x14ac:dyDescent="0.2">
      <c r="Q997" s="140">
        <v>40868</v>
      </c>
      <c r="R997" s="77">
        <v>20.5</v>
      </c>
      <c r="S997" s="77">
        <v>0</v>
      </c>
    </row>
    <row r="998" spans="17:19" customFormat="1" x14ac:dyDescent="0.2">
      <c r="Q998" s="140">
        <v>40869</v>
      </c>
      <c r="R998" s="77">
        <v>20.9</v>
      </c>
      <c r="S998" s="77">
        <v>0</v>
      </c>
    </row>
    <row r="999" spans="17:19" customFormat="1" x14ac:dyDescent="0.2">
      <c r="Q999" s="140">
        <v>40870</v>
      </c>
      <c r="R999" s="77">
        <v>20.6</v>
      </c>
      <c r="S999" s="77">
        <v>0</v>
      </c>
    </row>
    <row r="1000" spans="17:19" customFormat="1" x14ac:dyDescent="0.2">
      <c r="Q1000" s="140">
        <v>40871</v>
      </c>
      <c r="R1000" s="77">
        <v>18.899999999999999</v>
      </c>
      <c r="S1000" s="77">
        <v>0</v>
      </c>
    </row>
    <row r="1001" spans="17:19" customFormat="1" x14ac:dyDescent="0.2">
      <c r="Q1001" s="140">
        <v>40872</v>
      </c>
      <c r="R1001" s="77">
        <v>13.7</v>
      </c>
      <c r="S1001" s="77">
        <v>0</v>
      </c>
    </row>
    <row r="1002" spans="17:19" customFormat="1" x14ac:dyDescent="0.2">
      <c r="Q1002" s="140">
        <v>40873</v>
      </c>
      <c r="R1002" s="77">
        <v>12.1</v>
      </c>
      <c r="S1002" s="77">
        <v>0</v>
      </c>
    </row>
    <row r="1003" spans="17:19" customFormat="1" x14ac:dyDescent="0.2">
      <c r="Q1003" s="140">
        <v>40874</v>
      </c>
      <c r="R1003" s="77">
        <v>26.5</v>
      </c>
      <c r="S1003" s="77">
        <v>0</v>
      </c>
    </row>
    <row r="1004" spans="17:19" customFormat="1" x14ac:dyDescent="0.2">
      <c r="Q1004" s="140">
        <v>40875</v>
      </c>
      <c r="R1004" s="77">
        <v>28.5</v>
      </c>
      <c r="S1004" s="77">
        <v>0</v>
      </c>
    </row>
    <row r="1005" spans="17:19" customFormat="1" x14ac:dyDescent="0.2">
      <c r="Q1005" s="140">
        <v>40876</v>
      </c>
      <c r="R1005" s="77">
        <v>29.9</v>
      </c>
      <c r="S1005" s="77">
        <v>0</v>
      </c>
    </row>
    <row r="1006" spans="17:19" customFormat="1" x14ac:dyDescent="0.2">
      <c r="Q1006" s="140">
        <v>40877</v>
      </c>
      <c r="R1006" s="77">
        <v>33</v>
      </c>
      <c r="S1006" s="77">
        <v>0</v>
      </c>
    </row>
    <row r="1007" spans="17:19" customFormat="1" x14ac:dyDescent="0.2">
      <c r="Q1007" s="140">
        <v>40878</v>
      </c>
      <c r="R1007" s="77">
        <v>27.5</v>
      </c>
      <c r="S1007" s="77">
        <v>0</v>
      </c>
    </row>
    <row r="1008" spans="17:19" customFormat="1" x14ac:dyDescent="0.2">
      <c r="Q1008" s="140">
        <v>40879</v>
      </c>
      <c r="R1008" s="77">
        <v>28.2</v>
      </c>
      <c r="S1008" s="77">
        <v>0</v>
      </c>
    </row>
    <row r="1009" spans="17:19" customFormat="1" x14ac:dyDescent="0.2">
      <c r="Q1009" s="140">
        <v>40880</v>
      </c>
      <c r="R1009" s="77">
        <v>15.1</v>
      </c>
      <c r="S1009" s="77">
        <v>0</v>
      </c>
    </row>
    <row r="1010" spans="17:19" customFormat="1" x14ac:dyDescent="0.2">
      <c r="Q1010" s="140">
        <v>40881</v>
      </c>
      <c r="R1010" s="77">
        <v>22.8</v>
      </c>
      <c r="S1010" s="77">
        <v>0</v>
      </c>
    </row>
    <row r="1011" spans="17:19" customFormat="1" x14ac:dyDescent="0.2">
      <c r="Q1011" s="140">
        <v>40882</v>
      </c>
      <c r="R1011" s="77">
        <v>32.200000000000003</v>
      </c>
      <c r="S1011" s="77">
        <v>0</v>
      </c>
    </row>
    <row r="1012" spans="17:19" customFormat="1" x14ac:dyDescent="0.2">
      <c r="Q1012" s="140">
        <v>40883</v>
      </c>
      <c r="R1012" s="77">
        <v>29.4</v>
      </c>
      <c r="S1012" s="77">
        <v>0</v>
      </c>
    </row>
    <row r="1013" spans="17:19" customFormat="1" x14ac:dyDescent="0.2">
      <c r="Q1013" s="140">
        <v>40884</v>
      </c>
      <c r="R1013" s="77">
        <v>34.200000000000003</v>
      </c>
      <c r="S1013" s="77">
        <v>0</v>
      </c>
    </row>
    <row r="1014" spans="17:19" customFormat="1" x14ac:dyDescent="0.2">
      <c r="Q1014" s="140">
        <v>40885</v>
      </c>
      <c r="R1014" s="77">
        <v>31.5</v>
      </c>
      <c r="S1014" s="77">
        <v>0</v>
      </c>
    </row>
    <row r="1015" spans="17:19" customFormat="1" x14ac:dyDescent="0.2">
      <c r="Q1015" s="140">
        <v>40886</v>
      </c>
      <c r="R1015" s="77">
        <v>36.9</v>
      </c>
      <c r="S1015" s="77">
        <v>0</v>
      </c>
    </row>
    <row r="1016" spans="17:19" customFormat="1" x14ac:dyDescent="0.2">
      <c r="Q1016" s="140">
        <v>40887</v>
      </c>
      <c r="R1016" s="77">
        <v>41.6</v>
      </c>
      <c r="S1016" s="77">
        <v>0</v>
      </c>
    </row>
    <row r="1017" spans="17:19" customFormat="1" x14ac:dyDescent="0.2">
      <c r="Q1017" s="140">
        <v>40888</v>
      </c>
      <c r="R1017" s="77">
        <v>31.1</v>
      </c>
      <c r="S1017" s="77">
        <v>0</v>
      </c>
    </row>
    <row r="1018" spans="17:19" customFormat="1" x14ac:dyDescent="0.2">
      <c r="Q1018" s="140">
        <v>40889</v>
      </c>
      <c r="R1018" s="77">
        <v>26.6</v>
      </c>
      <c r="S1018" s="77">
        <v>0</v>
      </c>
    </row>
    <row r="1019" spans="17:19" customFormat="1" x14ac:dyDescent="0.2">
      <c r="Q1019" s="140">
        <v>40890</v>
      </c>
      <c r="R1019" s="77">
        <v>22.5</v>
      </c>
      <c r="S1019" s="77">
        <v>0</v>
      </c>
    </row>
    <row r="1020" spans="17:19" customFormat="1" x14ac:dyDescent="0.2">
      <c r="Q1020" s="140">
        <v>40891</v>
      </c>
      <c r="R1020" s="77">
        <v>13.6</v>
      </c>
      <c r="S1020" s="77">
        <v>0</v>
      </c>
    </row>
    <row r="1021" spans="17:19" customFormat="1" x14ac:dyDescent="0.2">
      <c r="Q1021" s="140">
        <v>40892</v>
      </c>
      <c r="R1021" s="77">
        <v>22.2</v>
      </c>
      <c r="S1021" s="77">
        <v>0</v>
      </c>
    </row>
    <row r="1022" spans="17:19" customFormat="1" x14ac:dyDescent="0.2">
      <c r="Q1022" s="140">
        <v>40893</v>
      </c>
      <c r="R1022" s="77">
        <v>34.700000000000003</v>
      </c>
      <c r="S1022" s="77">
        <v>0</v>
      </c>
    </row>
    <row r="1023" spans="17:19" customFormat="1" x14ac:dyDescent="0.2">
      <c r="Q1023" s="140">
        <v>40894</v>
      </c>
      <c r="R1023" s="77">
        <v>32.200000000000003</v>
      </c>
      <c r="S1023" s="77">
        <v>0</v>
      </c>
    </row>
    <row r="1024" spans="17:19" customFormat="1" x14ac:dyDescent="0.2">
      <c r="Q1024" s="140">
        <v>40895</v>
      </c>
      <c r="R1024" s="77">
        <v>25.5</v>
      </c>
      <c r="S1024" s="77">
        <v>0</v>
      </c>
    </row>
    <row r="1025" spans="17:19" customFormat="1" x14ac:dyDescent="0.2">
      <c r="Q1025" s="140">
        <v>40896</v>
      </c>
      <c r="R1025" s="77">
        <v>17.5</v>
      </c>
      <c r="S1025" s="77">
        <v>0</v>
      </c>
    </row>
    <row r="1026" spans="17:19" customFormat="1" x14ac:dyDescent="0.2">
      <c r="Q1026" s="140">
        <v>40897</v>
      </c>
      <c r="R1026" s="77">
        <v>23.1</v>
      </c>
      <c r="S1026" s="77">
        <v>0</v>
      </c>
    </row>
    <row r="1027" spans="17:19" customFormat="1" x14ac:dyDescent="0.2">
      <c r="Q1027" s="140">
        <v>40898</v>
      </c>
      <c r="R1027" s="77">
        <v>23.9</v>
      </c>
      <c r="S1027" s="77">
        <v>0</v>
      </c>
    </row>
    <row r="1028" spans="17:19" customFormat="1" x14ac:dyDescent="0.2">
      <c r="Q1028" s="140">
        <v>40899</v>
      </c>
      <c r="R1028" s="77">
        <v>30.2</v>
      </c>
      <c r="S1028" s="77">
        <v>0</v>
      </c>
    </row>
    <row r="1029" spans="17:19" customFormat="1" x14ac:dyDescent="0.2">
      <c r="Q1029" s="140">
        <v>40900</v>
      </c>
      <c r="R1029" s="77">
        <v>35.299999999999997</v>
      </c>
      <c r="S1029" s="77">
        <v>0</v>
      </c>
    </row>
    <row r="1030" spans="17:19" customFormat="1" x14ac:dyDescent="0.2">
      <c r="Q1030" s="140">
        <v>40901</v>
      </c>
      <c r="R1030" s="77">
        <v>32.299999999999997</v>
      </c>
      <c r="S1030" s="77">
        <v>0</v>
      </c>
    </row>
    <row r="1031" spans="17:19" customFormat="1" x14ac:dyDescent="0.2">
      <c r="Q1031" s="140">
        <v>40902</v>
      </c>
      <c r="R1031" s="77">
        <v>28.4</v>
      </c>
      <c r="S1031" s="77">
        <v>0</v>
      </c>
    </row>
    <row r="1032" spans="17:19" customFormat="1" x14ac:dyDescent="0.2">
      <c r="Q1032" s="140">
        <v>40903</v>
      </c>
      <c r="R1032" s="77">
        <v>31.7</v>
      </c>
      <c r="S1032" s="77">
        <v>0</v>
      </c>
    </row>
    <row r="1033" spans="17:19" customFormat="1" x14ac:dyDescent="0.2">
      <c r="Q1033" s="140">
        <v>40904</v>
      </c>
      <c r="R1033" s="77">
        <v>29.2</v>
      </c>
      <c r="S1033" s="77">
        <v>0</v>
      </c>
    </row>
    <row r="1034" spans="17:19" customFormat="1" x14ac:dyDescent="0.2">
      <c r="Q1034" s="140">
        <v>40905</v>
      </c>
      <c r="R1034" s="77">
        <v>31.9</v>
      </c>
      <c r="S1034" s="77">
        <v>0</v>
      </c>
    </row>
    <row r="1035" spans="17:19" customFormat="1" x14ac:dyDescent="0.2">
      <c r="Q1035" s="140">
        <v>40906</v>
      </c>
      <c r="R1035" s="77">
        <v>20.3</v>
      </c>
      <c r="S1035" s="77">
        <v>0</v>
      </c>
    </row>
    <row r="1036" spans="17:19" customFormat="1" x14ac:dyDescent="0.2">
      <c r="Q1036" s="140">
        <v>40907</v>
      </c>
      <c r="R1036" s="77">
        <v>20.5</v>
      </c>
      <c r="S1036" s="77">
        <v>0</v>
      </c>
    </row>
    <row r="1037" spans="17:19" customFormat="1" x14ac:dyDescent="0.2">
      <c r="Q1037" s="140">
        <v>40908</v>
      </c>
      <c r="R1037" s="77">
        <v>20.3</v>
      </c>
      <c r="S1037" s="77">
        <v>0</v>
      </c>
    </row>
    <row r="1038" spans="17:19" customFormat="1" x14ac:dyDescent="0.2">
      <c r="Q1038" s="140">
        <v>40909</v>
      </c>
      <c r="R1038" s="77">
        <v>26.2</v>
      </c>
      <c r="S1038" s="77">
        <v>0</v>
      </c>
    </row>
    <row r="1039" spans="17:19" customFormat="1" x14ac:dyDescent="0.2">
      <c r="Q1039" s="140">
        <v>40910</v>
      </c>
      <c r="R1039" s="77">
        <v>40.200000000000003</v>
      </c>
      <c r="S1039" s="77">
        <v>0</v>
      </c>
    </row>
    <row r="1040" spans="17:19" customFormat="1" x14ac:dyDescent="0.2">
      <c r="Q1040" s="140">
        <v>40911</v>
      </c>
      <c r="R1040" s="77">
        <v>40.9</v>
      </c>
      <c r="S1040" s="77">
        <v>0</v>
      </c>
    </row>
    <row r="1041" spans="17:19" customFormat="1" x14ac:dyDescent="0.2">
      <c r="Q1041" s="140">
        <v>40912</v>
      </c>
      <c r="R1041" s="77">
        <v>27.7</v>
      </c>
      <c r="S1041" s="77">
        <v>0</v>
      </c>
    </row>
    <row r="1042" spans="17:19" customFormat="1" x14ac:dyDescent="0.2">
      <c r="Q1042" s="140">
        <v>40913</v>
      </c>
      <c r="R1042" s="77">
        <v>20.7</v>
      </c>
      <c r="S1042" s="77">
        <v>0</v>
      </c>
    </row>
    <row r="1043" spans="17:19" customFormat="1" x14ac:dyDescent="0.2">
      <c r="Q1043" s="140">
        <v>40914</v>
      </c>
      <c r="R1043" s="77">
        <v>15.2</v>
      </c>
      <c r="S1043" s="77">
        <v>0</v>
      </c>
    </row>
    <row r="1044" spans="17:19" customFormat="1" x14ac:dyDescent="0.2">
      <c r="Q1044" s="140">
        <v>40915</v>
      </c>
      <c r="R1044" s="77">
        <v>26</v>
      </c>
      <c r="S1044" s="77">
        <v>0</v>
      </c>
    </row>
    <row r="1045" spans="17:19" customFormat="1" x14ac:dyDescent="0.2">
      <c r="Q1045" s="140">
        <v>40916</v>
      </c>
      <c r="R1045" s="77">
        <v>30.9</v>
      </c>
      <c r="S1045" s="77">
        <v>0</v>
      </c>
    </row>
    <row r="1046" spans="17:19" customFormat="1" x14ac:dyDescent="0.2">
      <c r="Q1046" s="140">
        <v>40917</v>
      </c>
      <c r="R1046" s="77">
        <v>30.7</v>
      </c>
      <c r="S1046" s="77">
        <v>0</v>
      </c>
    </row>
    <row r="1047" spans="17:19" customFormat="1" x14ac:dyDescent="0.2">
      <c r="Q1047" s="140">
        <v>40918</v>
      </c>
      <c r="R1047" s="77">
        <v>25.3</v>
      </c>
      <c r="S1047" s="77">
        <v>0</v>
      </c>
    </row>
    <row r="1048" spans="17:19" customFormat="1" x14ac:dyDescent="0.2">
      <c r="Q1048" s="140">
        <v>40919</v>
      </c>
      <c r="R1048" s="77">
        <v>26.1</v>
      </c>
      <c r="S1048" s="77">
        <v>0</v>
      </c>
    </row>
    <row r="1049" spans="17:19" customFormat="1" x14ac:dyDescent="0.2">
      <c r="Q1049" s="140">
        <v>40920</v>
      </c>
      <c r="R1049" s="77">
        <v>45.9</v>
      </c>
      <c r="S1049" s="77">
        <v>0</v>
      </c>
    </row>
    <row r="1050" spans="17:19" customFormat="1" x14ac:dyDescent="0.2">
      <c r="Q1050" s="140">
        <v>40921</v>
      </c>
      <c r="R1050" s="77">
        <v>49.6</v>
      </c>
      <c r="S1050" s="77">
        <v>0</v>
      </c>
    </row>
    <row r="1051" spans="17:19" customFormat="1" x14ac:dyDescent="0.2">
      <c r="Q1051" s="140">
        <v>40922</v>
      </c>
      <c r="R1051" s="77">
        <v>47.4</v>
      </c>
      <c r="S1051" s="77">
        <v>0</v>
      </c>
    </row>
    <row r="1052" spans="17:19" customFormat="1" x14ac:dyDescent="0.2">
      <c r="Q1052" s="140">
        <v>40923</v>
      </c>
      <c r="R1052" s="77">
        <v>34.1</v>
      </c>
      <c r="S1052" s="77">
        <v>0</v>
      </c>
    </row>
    <row r="1053" spans="17:19" customFormat="1" x14ac:dyDescent="0.2">
      <c r="Q1053" s="140">
        <v>40924</v>
      </c>
      <c r="R1053" s="77">
        <v>15.3</v>
      </c>
      <c r="S1053" s="77">
        <v>0</v>
      </c>
    </row>
    <row r="1054" spans="17:19" customFormat="1" x14ac:dyDescent="0.2">
      <c r="Q1054" s="140">
        <v>40925</v>
      </c>
      <c r="R1054" s="77">
        <v>31.9</v>
      </c>
      <c r="S1054" s="77">
        <v>0</v>
      </c>
    </row>
    <row r="1055" spans="17:19" customFormat="1" x14ac:dyDescent="0.2">
      <c r="Q1055" s="140">
        <v>40926</v>
      </c>
      <c r="R1055" s="77">
        <v>43.2</v>
      </c>
      <c r="S1055" s="77">
        <v>0</v>
      </c>
    </row>
    <row r="1056" spans="17:19" customFormat="1" x14ac:dyDescent="0.2">
      <c r="Q1056" s="140">
        <v>40927</v>
      </c>
      <c r="R1056" s="77">
        <v>43.8</v>
      </c>
      <c r="S1056" s="77">
        <v>0</v>
      </c>
    </row>
    <row r="1057" spans="17:19" customFormat="1" x14ac:dyDescent="0.2">
      <c r="Q1057" s="140">
        <v>40928</v>
      </c>
      <c r="R1057" s="77">
        <v>46.5</v>
      </c>
      <c r="S1057" s="77">
        <v>0</v>
      </c>
    </row>
    <row r="1058" spans="17:19" customFormat="1" x14ac:dyDescent="0.2">
      <c r="Q1058" s="140">
        <v>40929</v>
      </c>
      <c r="R1058" s="77">
        <v>40.700000000000003</v>
      </c>
      <c r="S1058" s="77">
        <v>0</v>
      </c>
    </row>
    <row r="1059" spans="17:19" customFormat="1" x14ac:dyDescent="0.2">
      <c r="Q1059" s="140">
        <v>40930</v>
      </c>
      <c r="R1059" s="77">
        <v>29.4</v>
      </c>
      <c r="S1059" s="77">
        <v>0</v>
      </c>
    </row>
    <row r="1060" spans="17:19" customFormat="1" x14ac:dyDescent="0.2">
      <c r="Q1060" s="140">
        <v>40931</v>
      </c>
      <c r="R1060" s="77">
        <v>27</v>
      </c>
      <c r="S1060" s="77">
        <v>0</v>
      </c>
    </row>
    <row r="1061" spans="17:19" customFormat="1" x14ac:dyDescent="0.2">
      <c r="Q1061" s="140">
        <v>40932</v>
      </c>
      <c r="R1061" s="77">
        <v>32.700000000000003</v>
      </c>
      <c r="S1061" s="77">
        <v>0</v>
      </c>
    </row>
    <row r="1062" spans="17:19" customFormat="1" x14ac:dyDescent="0.2">
      <c r="Q1062" s="140">
        <v>40933</v>
      </c>
      <c r="R1062" s="77">
        <v>33.6</v>
      </c>
      <c r="S1062" s="77">
        <v>0</v>
      </c>
    </row>
    <row r="1063" spans="17:19" customFormat="1" x14ac:dyDescent="0.2">
      <c r="Q1063" s="140">
        <v>40934</v>
      </c>
      <c r="R1063" s="77">
        <v>30</v>
      </c>
      <c r="S1063" s="77">
        <v>0</v>
      </c>
    </row>
    <row r="1064" spans="17:19" customFormat="1" x14ac:dyDescent="0.2">
      <c r="Q1064" s="140">
        <v>40935</v>
      </c>
      <c r="R1064" s="77">
        <v>29.2</v>
      </c>
      <c r="S1064" s="77">
        <v>0</v>
      </c>
    </row>
    <row r="1065" spans="17:19" customFormat="1" x14ac:dyDescent="0.2">
      <c r="Q1065" s="140">
        <v>40936</v>
      </c>
      <c r="R1065" s="77">
        <v>30.6</v>
      </c>
      <c r="S1065" s="77">
        <v>0</v>
      </c>
    </row>
    <row r="1066" spans="17:19" customFormat="1" x14ac:dyDescent="0.2">
      <c r="Q1066" s="140">
        <v>40937</v>
      </c>
      <c r="R1066" s="77">
        <v>31.2</v>
      </c>
      <c r="S1066" s="77">
        <v>0</v>
      </c>
    </row>
    <row r="1067" spans="17:19" customFormat="1" x14ac:dyDescent="0.2">
      <c r="Q1067" s="140">
        <v>40938</v>
      </c>
      <c r="R1067" s="77">
        <v>18.2</v>
      </c>
      <c r="S1067" s="77">
        <v>0</v>
      </c>
    </row>
    <row r="1068" spans="17:19" customFormat="1" x14ac:dyDescent="0.2">
      <c r="Q1068" s="140">
        <v>40939</v>
      </c>
      <c r="R1068" s="77">
        <v>10.8</v>
      </c>
      <c r="S1068" s="77">
        <v>0</v>
      </c>
    </row>
    <row r="1069" spans="17:19" customFormat="1" x14ac:dyDescent="0.2">
      <c r="Q1069" s="140">
        <v>40940</v>
      </c>
      <c r="R1069" s="77">
        <v>21</v>
      </c>
      <c r="S1069" s="77">
        <v>0</v>
      </c>
    </row>
    <row r="1070" spans="17:19" customFormat="1" x14ac:dyDescent="0.2">
      <c r="Q1070" s="140">
        <v>40941</v>
      </c>
      <c r="R1070" s="77">
        <v>22.5</v>
      </c>
      <c r="S1070" s="77">
        <v>0</v>
      </c>
    </row>
    <row r="1071" spans="17:19" customFormat="1" x14ac:dyDescent="0.2">
      <c r="Q1071" s="140">
        <v>40942</v>
      </c>
      <c r="R1071" s="77">
        <v>19.399999999999999</v>
      </c>
      <c r="S1071" s="77">
        <v>0</v>
      </c>
    </row>
    <row r="1072" spans="17:19" customFormat="1" x14ac:dyDescent="0.2">
      <c r="Q1072" s="140">
        <v>40943</v>
      </c>
      <c r="R1072" s="77">
        <v>24.1</v>
      </c>
      <c r="S1072" s="77">
        <v>0</v>
      </c>
    </row>
    <row r="1073" spans="17:19" customFormat="1" x14ac:dyDescent="0.2">
      <c r="Q1073" s="140">
        <v>40944</v>
      </c>
      <c r="R1073" s="77">
        <v>25.7</v>
      </c>
      <c r="S1073" s="77">
        <v>0</v>
      </c>
    </row>
    <row r="1074" spans="17:19" customFormat="1" x14ac:dyDescent="0.2">
      <c r="Q1074" s="140">
        <v>40945</v>
      </c>
      <c r="R1074" s="77">
        <v>33.5</v>
      </c>
      <c r="S1074" s="77">
        <v>0</v>
      </c>
    </row>
    <row r="1075" spans="17:19" customFormat="1" x14ac:dyDescent="0.2">
      <c r="Q1075" s="140">
        <v>40946</v>
      </c>
      <c r="R1075" s="77">
        <v>34.700000000000003</v>
      </c>
      <c r="S1075" s="77">
        <v>0</v>
      </c>
    </row>
    <row r="1076" spans="17:19" customFormat="1" x14ac:dyDescent="0.2">
      <c r="Q1076" s="140">
        <v>40947</v>
      </c>
      <c r="R1076" s="77">
        <v>34.5</v>
      </c>
      <c r="S1076" s="77">
        <v>0</v>
      </c>
    </row>
    <row r="1077" spans="17:19" customFormat="1" x14ac:dyDescent="0.2">
      <c r="Q1077" s="140">
        <v>40948</v>
      </c>
      <c r="R1077" s="77">
        <v>35.1</v>
      </c>
      <c r="S1077" s="77">
        <v>0</v>
      </c>
    </row>
    <row r="1078" spans="17:19" customFormat="1" x14ac:dyDescent="0.2">
      <c r="Q1078" s="140">
        <v>40949</v>
      </c>
      <c r="R1078" s="77">
        <v>33.9</v>
      </c>
      <c r="S1078" s="77">
        <v>0</v>
      </c>
    </row>
    <row r="1079" spans="17:19" customFormat="1" x14ac:dyDescent="0.2">
      <c r="Q1079" s="140">
        <v>40950</v>
      </c>
      <c r="R1079" s="77">
        <v>45.5</v>
      </c>
      <c r="S1079" s="77">
        <v>0</v>
      </c>
    </row>
    <row r="1080" spans="17:19" customFormat="1" x14ac:dyDescent="0.2">
      <c r="Q1080" s="140">
        <v>40951</v>
      </c>
      <c r="R1080" s="77">
        <v>41.2</v>
      </c>
      <c r="S1080" s="77">
        <v>0</v>
      </c>
    </row>
    <row r="1081" spans="17:19" customFormat="1" x14ac:dyDescent="0.2">
      <c r="Q1081" s="140">
        <v>40952</v>
      </c>
      <c r="R1081" s="77">
        <v>35.700000000000003</v>
      </c>
      <c r="S1081" s="77">
        <v>0</v>
      </c>
    </row>
    <row r="1082" spans="17:19" customFormat="1" x14ac:dyDescent="0.2">
      <c r="Q1082" s="140">
        <v>40953</v>
      </c>
      <c r="R1082" s="77">
        <v>31.2</v>
      </c>
      <c r="S1082" s="77">
        <v>0</v>
      </c>
    </row>
    <row r="1083" spans="17:19" customFormat="1" x14ac:dyDescent="0.2">
      <c r="Q1083" s="140">
        <v>40954</v>
      </c>
      <c r="R1083" s="77">
        <v>25.7</v>
      </c>
      <c r="S1083" s="77">
        <v>0</v>
      </c>
    </row>
    <row r="1084" spans="17:19" customFormat="1" x14ac:dyDescent="0.2">
      <c r="Q1084" s="140">
        <v>40955</v>
      </c>
      <c r="R1084" s="77">
        <v>25.1</v>
      </c>
      <c r="S1084" s="77">
        <v>0</v>
      </c>
    </row>
    <row r="1085" spans="17:19" customFormat="1" x14ac:dyDescent="0.2">
      <c r="Q1085" s="140">
        <v>40956</v>
      </c>
      <c r="R1085" s="77">
        <v>24.6</v>
      </c>
      <c r="S1085" s="77">
        <v>0</v>
      </c>
    </row>
    <row r="1086" spans="17:19" customFormat="1" x14ac:dyDescent="0.2">
      <c r="Q1086" s="140">
        <v>40957</v>
      </c>
      <c r="R1086" s="77">
        <v>29.5</v>
      </c>
      <c r="S1086" s="77">
        <v>0</v>
      </c>
    </row>
    <row r="1087" spans="17:19" customFormat="1" x14ac:dyDescent="0.2">
      <c r="Q1087" s="140">
        <v>40958</v>
      </c>
      <c r="R1087" s="77">
        <v>34.200000000000003</v>
      </c>
      <c r="S1087" s="77">
        <v>0</v>
      </c>
    </row>
    <row r="1088" spans="17:19" customFormat="1" x14ac:dyDescent="0.2">
      <c r="Q1088" s="140">
        <v>40959</v>
      </c>
      <c r="R1088" s="77">
        <v>29.4</v>
      </c>
      <c r="S1088" s="77">
        <v>0</v>
      </c>
    </row>
    <row r="1089" spans="17:19" customFormat="1" x14ac:dyDescent="0.2">
      <c r="Q1089" s="140">
        <v>40960</v>
      </c>
      <c r="R1089" s="77">
        <v>20.7</v>
      </c>
      <c r="S1089" s="77">
        <v>0</v>
      </c>
    </row>
    <row r="1090" spans="17:19" customFormat="1" x14ac:dyDescent="0.2">
      <c r="Q1090" s="140">
        <v>40961</v>
      </c>
      <c r="R1090" s="77">
        <v>19.899999999999999</v>
      </c>
      <c r="S1090" s="77">
        <v>0</v>
      </c>
    </row>
    <row r="1091" spans="17:19" customFormat="1" x14ac:dyDescent="0.2">
      <c r="Q1091" s="140">
        <v>40962</v>
      </c>
      <c r="R1091" s="77">
        <v>20.7</v>
      </c>
      <c r="S1091" s="77">
        <v>0</v>
      </c>
    </row>
    <row r="1092" spans="17:19" customFormat="1" x14ac:dyDescent="0.2">
      <c r="Q1092" s="140">
        <v>40963</v>
      </c>
      <c r="R1092" s="77">
        <v>28.5</v>
      </c>
      <c r="S1092" s="77">
        <v>0</v>
      </c>
    </row>
    <row r="1093" spans="17:19" customFormat="1" x14ac:dyDescent="0.2">
      <c r="Q1093" s="140">
        <v>40964</v>
      </c>
      <c r="R1093" s="77">
        <v>35.299999999999997</v>
      </c>
      <c r="S1093" s="77">
        <v>0</v>
      </c>
    </row>
    <row r="1094" spans="17:19" customFormat="1" x14ac:dyDescent="0.2">
      <c r="Q1094" s="140">
        <v>40965</v>
      </c>
      <c r="R1094" s="77">
        <v>20.399999999999999</v>
      </c>
      <c r="S1094" s="77">
        <v>0</v>
      </c>
    </row>
    <row r="1095" spans="17:19" customFormat="1" x14ac:dyDescent="0.2">
      <c r="Q1095" s="140">
        <v>40966</v>
      </c>
      <c r="R1095" s="77">
        <v>26.7</v>
      </c>
      <c r="S1095" s="77">
        <v>0</v>
      </c>
    </row>
    <row r="1096" spans="17:19" customFormat="1" x14ac:dyDescent="0.2">
      <c r="Q1096" s="140">
        <v>40967</v>
      </c>
      <c r="R1096" s="77">
        <v>21.5</v>
      </c>
      <c r="S1096" s="77">
        <v>0</v>
      </c>
    </row>
    <row r="1097" spans="17:19" customFormat="1" x14ac:dyDescent="0.2">
      <c r="Q1097" s="140">
        <v>40968</v>
      </c>
      <c r="R1097" s="77">
        <v>10.7</v>
      </c>
      <c r="S1097" s="77">
        <v>0</v>
      </c>
    </row>
    <row r="1098" spans="17:19" customFormat="1" x14ac:dyDescent="0.2">
      <c r="Q1098" s="140">
        <v>40969</v>
      </c>
      <c r="R1098" s="77">
        <v>22.3</v>
      </c>
      <c r="S1098" s="77">
        <v>0</v>
      </c>
    </row>
    <row r="1099" spans="17:19" customFormat="1" x14ac:dyDescent="0.2">
      <c r="Q1099" s="140">
        <v>40970</v>
      </c>
      <c r="R1099" s="77">
        <v>23.2</v>
      </c>
      <c r="S1099" s="77">
        <v>0</v>
      </c>
    </row>
    <row r="1100" spans="17:19" customFormat="1" x14ac:dyDescent="0.2">
      <c r="Q1100" s="140">
        <v>40971</v>
      </c>
      <c r="R1100" s="77">
        <v>31.5</v>
      </c>
      <c r="S1100" s="77">
        <v>0</v>
      </c>
    </row>
    <row r="1101" spans="17:19" customFormat="1" x14ac:dyDescent="0.2">
      <c r="Q1101" s="140">
        <v>40972</v>
      </c>
      <c r="R1101" s="77">
        <v>35.1</v>
      </c>
      <c r="S1101" s="77">
        <v>0</v>
      </c>
    </row>
    <row r="1102" spans="17:19" customFormat="1" x14ac:dyDescent="0.2">
      <c r="Q1102" s="140">
        <v>40973</v>
      </c>
      <c r="R1102" s="77">
        <v>34.200000000000003</v>
      </c>
      <c r="S1102" s="77">
        <v>0</v>
      </c>
    </row>
    <row r="1103" spans="17:19" customFormat="1" x14ac:dyDescent="0.2">
      <c r="Q1103" s="140">
        <v>40974</v>
      </c>
      <c r="R1103" s="77">
        <v>11.3</v>
      </c>
      <c r="S1103" s="77">
        <v>1.2</v>
      </c>
    </row>
    <row r="1104" spans="17:19" customFormat="1" x14ac:dyDescent="0.2">
      <c r="Q1104" s="140">
        <v>40975</v>
      </c>
      <c r="R1104" s="77">
        <v>3.9</v>
      </c>
      <c r="S1104" s="77">
        <v>0.6</v>
      </c>
    </row>
    <row r="1105" spans="17:19" customFormat="1" x14ac:dyDescent="0.2">
      <c r="Q1105" s="140">
        <v>40976</v>
      </c>
      <c r="R1105" s="77">
        <v>23</v>
      </c>
      <c r="S1105" s="77">
        <v>0</v>
      </c>
    </row>
    <row r="1106" spans="17:19" customFormat="1" x14ac:dyDescent="0.2">
      <c r="Q1106" s="140">
        <v>40977</v>
      </c>
      <c r="R1106" s="77">
        <v>25.7</v>
      </c>
      <c r="S1106" s="77">
        <v>0</v>
      </c>
    </row>
    <row r="1107" spans="17:19" customFormat="1" x14ac:dyDescent="0.2">
      <c r="Q1107" s="140">
        <v>40978</v>
      </c>
      <c r="R1107" s="77">
        <v>18.8</v>
      </c>
      <c r="S1107" s="77">
        <v>0</v>
      </c>
    </row>
    <row r="1108" spans="17:19" customFormat="1" x14ac:dyDescent="0.2">
      <c r="Q1108" s="140">
        <v>40979</v>
      </c>
      <c r="R1108" s="77">
        <v>11.5</v>
      </c>
      <c r="S1108" s="77">
        <v>0.2</v>
      </c>
    </row>
    <row r="1109" spans="17:19" customFormat="1" x14ac:dyDescent="0.2">
      <c r="Q1109" s="140">
        <v>40980</v>
      </c>
      <c r="R1109" s="77">
        <v>4.9000000000000004</v>
      </c>
      <c r="S1109" s="77">
        <v>3.2</v>
      </c>
    </row>
    <row r="1110" spans="17:19" customFormat="1" x14ac:dyDescent="0.2">
      <c r="Q1110" s="140">
        <v>40981</v>
      </c>
      <c r="R1110" s="77">
        <v>7.9</v>
      </c>
      <c r="S1110" s="77">
        <v>3.3</v>
      </c>
    </row>
    <row r="1111" spans="17:19" customFormat="1" x14ac:dyDescent="0.2">
      <c r="Q1111" s="140">
        <v>40982</v>
      </c>
      <c r="R1111" s="77">
        <v>1.4</v>
      </c>
      <c r="S1111" s="77">
        <v>7.3</v>
      </c>
    </row>
    <row r="1112" spans="17:19" customFormat="1" x14ac:dyDescent="0.2">
      <c r="Q1112" s="140">
        <v>40983</v>
      </c>
      <c r="R1112" s="77">
        <v>0.4</v>
      </c>
      <c r="S1112" s="77">
        <v>6</v>
      </c>
    </row>
    <row r="1113" spans="17:19" customFormat="1" x14ac:dyDescent="0.2">
      <c r="Q1113" s="140">
        <v>40984</v>
      </c>
      <c r="R1113" s="77">
        <v>2.2999999999999998</v>
      </c>
      <c r="S1113" s="77">
        <v>4</v>
      </c>
    </row>
    <row r="1114" spans="17:19" customFormat="1" x14ac:dyDescent="0.2">
      <c r="Q1114" s="140">
        <v>40985</v>
      </c>
      <c r="R1114" s="77">
        <v>1.8</v>
      </c>
      <c r="S1114" s="77">
        <v>2.6</v>
      </c>
    </row>
    <row r="1115" spans="17:19" customFormat="1" x14ac:dyDescent="0.2">
      <c r="Q1115" s="140">
        <v>40986</v>
      </c>
      <c r="R1115" s="77">
        <v>1.2</v>
      </c>
      <c r="S1115" s="77">
        <v>5.4</v>
      </c>
    </row>
    <row r="1116" spans="17:19" customFormat="1" x14ac:dyDescent="0.2">
      <c r="Q1116" s="140">
        <v>40987</v>
      </c>
      <c r="R1116" s="77">
        <v>0</v>
      </c>
      <c r="S1116" s="77">
        <v>6.9</v>
      </c>
    </row>
    <row r="1117" spans="17:19" customFormat="1" x14ac:dyDescent="0.2">
      <c r="Q1117" s="140">
        <v>40988</v>
      </c>
      <c r="R1117" s="77">
        <v>0</v>
      </c>
      <c r="S1117" s="77">
        <v>7.7</v>
      </c>
    </row>
    <row r="1118" spans="17:19" customFormat="1" x14ac:dyDescent="0.2">
      <c r="Q1118" s="140">
        <v>40989</v>
      </c>
      <c r="R1118" s="77">
        <v>0.2</v>
      </c>
      <c r="S1118" s="77">
        <v>9</v>
      </c>
    </row>
    <row r="1119" spans="17:19" customFormat="1" x14ac:dyDescent="0.2">
      <c r="Q1119" s="140">
        <v>40990</v>
      </c>
      <c r="R1119" s="77">
        <v>0.5</v>
      </c>
      <c r="S1119" s="77">
        <v>2.5</v>
      </c>
    </row>
    <row r="1120" spans="17:19" customFormat="1" x14ac:dyDescent="0.2">
      <c r="Q1120" s="140">
        <v>40991</v>
      </c>
      <c r="R1120" s="77">
        <v>8.5</v>
      </c>
      <c r="S1120" s="77">
        <v>0.1</v>
      </c>
    </row>
    <row r="1121" spans="17:19" customFormat="1" x14ac:dyDescent="0.2">
      <c r="Q1121" s="140">
        <v>40992</v>
      </c>
      <c r="R1121" s="77">
        <v>7.7</v>
      </c>
      <c r="S1121" s="77">
        <v>1.8</v>
      </c>
    </row>
    <row r="1122" spans="17:19" customFormat="1" x14ac:dyDescent="0.2">
      <c r="Q1122" s="140">
        <v>40993</v>
      </c>
      <c r="R1122" s="77">
        <v>3.6</v>
      </c>
      <c r="S1122" s="77">
        <v>3</v>
      </c>
    </row>
    <row r="1123" spans="17:19" customFormat="1" x14ac:dyDescent="0.2">
      <c r="Q1123" s="140">
        <v>40994</v>
      </c>
      <c r="R1123" s="77">
        <v>11</v>
      </c>
      <c r="S1123" s="77">
        <v>0</v>
      </c>
    </row>
    <row r="1124" spans="17:19" customFormat="1" x14ac:dyDescent="0.2">
      <c r="Q1124" s="140">
        <v>40995</v>
      </c>
      <c r="R1124" s="77">
        <v>6.7</v>
      </c>
      <c r="S1124" s="77">
        <v>3</v>
      </c>
    </row>
    <row r="1125" spans="17:19" customFormat="1" x14ac:dyDescent="0.2">
      <c r="Q1125" s="140">
        <v>40996</v>
      </c>
      <c r="R1125" s="77">
        <v>1.3</v>
      </c>
      <c r="S1125" s="77">
        <v>4.5999999999999996</v>
      </c>
    </row>
    <row r="1126" spans="17:19" customFormat="1" x14ac:dyDescent="0.2">
      <c r="Q1126" s="140">
        <v>40997</v>
      </c>
      <c r="R1126" s="77">
        <v>12.2</v>
      </c>
      <c r="S1126" s="77">
        <v>0</v>
      </c>
    </row>
    <row r="1127" spans="17:19" customFormat="1" x14ac:dyDescent="0.2">
      <c r="Q1127" s="140">
        <v>40998</v>
      </c>
      <c r="R1127" s="77">
        <v>5</v>
      </c>
      <c r="S1127" s="77">
        <v>3.1</v>
      </c>
    </row>
    <row r="1128" spans="17:19" customFormat="1" x14ac:dyDescent="0.2">
      <c r="Q1128" s="140">
        <v>40999</v>
      </c>
      <c r="R1128" s="77">
        <v>9.3000000000000007</v>
      </c>
      <c r="S1128" s="77">
        <v>0.8</v>
      </c>
    </row>
    <row r="1129" spans="17:19" customFormat="1" x14ac:dyDescent="0.2">
      <c r="Q1129" s="140">
        <v>41000</v>
      </c>
      <c r="R1129" s="77">
        <v>1.8</v>
      </c>
      <c r="S1129" s="77">
        <v>8</v>
      </c>
    </row>
    <row r="1130" spans="17:19" customFormat="1" x14ac:dyDescent="0.2">
      <c r="Q1130" s="140">
        <v>41001</v>
      </c>
      <c r="R1130" s="77">
        <v>2</v>
      </c>
      <c r="S1130" s="77">
        <v>8.3000000000000007</v>
      </c>
    </row>
    <row r="1131" spans="17:19" customFormat="1" x14ac:dyDescent="0.2">
      <c r="Q1131" s="140">
        <v>41002</v>
      </c>
      <c r="R1131" s="77">
        <v>1.1000000000000001</v>
      </c>
      <c r="S1131" s="77">
        <v>8.1</v>
      </c>
    </row>
    <row r="1132" spans="17:19" customFormat="1" x14ac:dyDescent="0.2">
      <c r="Q1132" s="140">
        <v>41003</v>
      </c>
      <c r="R1132" s="77">
        <v>6.6</v>
      </c>
      <c r="S1132" s="77">
        <v>0.5</v>
      </c>
    </row>
    <row r="1133" spans="17:19" customFormat="1" x14ac:dyDescent="0.2">
      <c r="Q1133" s="140">
        <v>41004</v>
      </c>
      <c r="R1133" s="77">
        <v>12.5</v>
      </c>
      <c r="S1133" s="77">
        <v>0</v>
      </c>
    </row>
    <row r="1134" spans="17:19" customFormat="1" x14ac:dyDescent="0.2">
      <c r="Q1134" s="140">
        <v>41005</v>
      </c>
      <c r="R1134" s="77">
        <v>16.600000000000001</v>
      </c>
      <c r="S1134" s="77">
        <v>0</v>
      </c>
    </row>
    <row r="1135" spans="17:19" customFormat="1" x14ac:dyDescent="0.2">
      <c r="Q1135" s="140">
        <v>41006</v>
      </c>
      <c r="R1135" s="77">
        <v>10.4</v>
      </c>
      <c r="S1135" s="77">
        <v>0</v>
      </c>
    </row>
    <row r="1136" spans="17:19" customFormat="1" x14ac:dyDescent="0.2">
      <c r="Q1136" s="140">
        <v>41007</v>
      </c>
      <c r="R1136" s="77">
        <v>9.6</v>
      </c>
      <c r="S1136" s="77">
        <v>0.3</v>
      </c>
    </row>
    <row r="1137" spans="17:19" customFormat="1" x14ac:dyDescent="0.2">
      <c r="Q1137" s="140">
        <v>41008</v>
      </c>
      <c r="R1137" s="77">
        <v>8</v>
      </c>
      <c r="S1137" s="77">
        <v>1.1000000000000001</v>
      </c>
    </row>
    <row r="1138" spans="17:19" customFormat="1" x14ac:dyDescent="0.2">
      <c r="Q1138" s="140">
        <v>41009</v>
      </c>
      <c r="R1138" s="77">
        <v>16.5</v>
      </c>
      <c r="S1138" s="77">
        <v>0</v>
      </c>
    </row>
    <row r="1139" spans="17:19" customFormat="1" x14ac:dyDescent="0.2">
      <c r="Q1139" s="140">
        <v>41010</v>
      </c>
      <c r="R1139" s="77">
        <v>21.4</v>
      </c>
      <c r="S1139" s="77">
        <v>0</v>
      </c>
    </row>
    <row r="1140" spans="17:19" customFormat="1" x14ac:dyDescent="0.2">
      <c r="Q1140" s="140">
        <v>41011</v>
      </c>
      <c r="R1140" s="77">
        <v>14.9</v>
      </c>
      <c r="S1140" s="77">
        <v>0</v>
      </c>
    </row>
    <row r="1141" spans="17:19" customFormat="1" x14ac:dyDescent="0.2">
      <c r="Q1141" s="140">
        <v>41012</v>
      </c>
      <c r="R1141" s="77">
        <v>12.7</v>
      </c>
      <c r="S1141" s="77">
        <v>0</v>
      </c>
    </row>
    <row r="1142" spans="17:19" customFormat="1" x14ac:dyDescent="0.2">
      <c r="Q1142" s="140">
        <v>41013</v>
      </c>
      <c r="R1142" s="77">
        <v>4.7</v>
      </c>
      <c r="S1142" s="77">
        <v>0.9</v>
      </c>
    </row>
    <row r="1143" spans="17:19" customFormat="1" x14ac:dyDescent="0.2">
      <c r="Q1143" s="140">
        <v>41014</v>
      </c>
      <c r="R1143" s="77">
        <v>0.4</v>
      </c>
      <c r="S1143" s="77">
        <v>4.8</v>
      </c>
    </row>
    <row r="1144" spans="17:19" customFormat="1" x14ac:dyDescent="0.2">
      <c r="Q1144" s="140">
        <v>41015</v>
      </c>
      <c r="R1144" s="77">
        <v>8.4</v>
      </c>
      <c r="S1144" s="77">
        <v>0</v>
      </c>
    </row>
    <row r="1145" spans="17:19" customFormat="1" x14ac:dyDescent="0.2">
      <c r="Q1145" s="140">
        <v>41016</v>
      </c>
      <c r="R1145" s="77">
        <v>9.3000000000000007</v>
      </c>
      <c r="S1145" s="77">
        <v>0.4</v>
      </c>
    </row>
    <row r="1146" spans="17:19" customFormat="1" x14ac:dyDescent="0.2">
      <c r="Q1146" s="140">
        <v>41017</v>
      </c>
      <c r="R1146" s="77">
        <v>5.9</v>
      </c>
      <c r="S1146" s="77">
        <v>2.1</v>
      </c>
    </row>
    <row r="1147" spans="17:19" customFormat="1" x14ac:dyDescent="0.2">
      <c r="Q1147" s="140">
        <v>41018</v>
      </c>
      <c r="R1147" s="77">
        <v>2.6</v>
      </c>
      <c r="S1147" s="77">
        <v>4.2</v>
      </c>
    </row>
    <row r="1148" spans="17:19" customFormat="1" x14ac:dyDescent="0.2">
      <c r="Q1148" s="140">
        <v>41019</v>
      </c>
      <c r="R1148" s="77">
        <v>13.4</v>
      </c>
      <c r="S1148" s="77">
        <v>0</v>
      </c>
    </row>
    <row r="1149" spans="17:19" customFormat="1" x14ac:dyDescent="0.2">
      <c r="Q1149" s="140">
        <v>41020</v>
      </c>
      <c r="R1149" s="77">
        <v>15.9</v>
      </c>
      <c r="S1149" s="77">
        <v>0</v>
      </c>
    </row>
    <row r="1150" spans="17:19" customFormat="1" x14ac:dyDescent="0.2">
      <c r="Q1150" s="140">
        <v>41021</v>
      </c>
      <c r="R1150" s="77">
        <v>15.7</v>
      </c>
      <c r="S1150" s="77">
        <v>0</v>
      </c>
    </row>
    <row r="1151" spans="17:19" customFormat="1" x14ac:dyDescent="0.2">
      <c r="Q1151" s="140">
        <v>41022</v>
      </c>
      <c r="R1151" s="77">
        <v>14.4</v>
      </c>
      <c r="S1151" s="77">
        <v>0</v>
      </c>
    </row>
    <row r="1152" spans="17:19" customFormat="1" x14ac:dyDescent="0.2">
      <c r="Q1152" s="140">
        <v>41023</v>
      </c>
      <c r="R1152" s="77">
        <v>8.1999999999999993</v>
      </c>
      <c r="S1152" s="77">
        <v>1.2</v>
      </c>
    </row>
    <row r="1153" spans="17:19" customFormat="1" x14ac:dyDescent="0.2">
      <c r="Q1153" s="140">
        <v>41024</v>
      </c>
      <c r="R1153" s="77">
        <v>5</v>
      </c>
      <c r="S1153" s="77">
        <v>6.9</v>
      </c>
    </row>
    <row r="1154" spans="17:19" customFormat="1" x14ac:dyDescent="0.2">
      <c r="Q1154" s="140">
        <v>41025</v>
      </c>
      <c r="R1154" s="77">
        <v>3.2</v>
      </c>
      <c r="S1154" s="77">
        <v>2.6</v>
      </c>
    </row>
    <row r="1155" spans="17:19" customFormat="1" x14ac:dyDescent="0.2">
      <c r="Q1155" s="140">
        <v>41026</v>
      </c>
      <c r="R1155" s="77">
        <v>13.1</v>
      </c>
      <c r="S1155" s="77">
        <v>0</v>
      </c>
    </row>
    <row r="1156" spans="17:19" customFormat="1" x14ac:dyDescent="0.2">
      <c r="Q1156" s="140">
        <v>41027</v>
      </c>
      <c r="R1156" s="77">
        <v>7.9</v>
      </c>
      <c r="S1156" s="77">
        <v>0</v>
      </c>
    </row>
    <row r="1157" spans="17:19" customFormat="1" x14ac:dyDescent="0.2">
      <c r="Q1157" s="140">
        <v>41028</v>
      </c>
      <c r="R1157" s="77">
        <v>12.6</v>
      </c>
      <c r="S1157" s="77">
        <v>0</v>
      </c>
    </row>
    <row r="1158" spans="17:19" customFormat="1" x14ac:dyDescent="0.2">
      <c r="Q1158" s="140">
        <v>41029</v>
      </c>
      <c r="R1158" s="77">
        <v>2.6</v>
      </c>
      <c r="S1158" s="77">
        <v>0.3</v>
      </c>
    </row>
    <row r="1159" spans="17:19" customFormat="1" x14ac:dyDescent="0.2">
      <c r="Q1159" s="140">
        <v>41030</v>
      </c>
      <c r="R1159" s="77">
        <v>4</v>
      </c>
      <c r="S1159" s="77">
        <v>4.0999999999999996</v>
      </c>
    </row>
    <row r="1160" spans="17:19" customFormat="1" x14ac:dyDescent="0.2">
      <c r="Q1160" s="140">
        <v>41031</v>
      </c>
      <c r="R1160" s="77">
        <v>0</v>
      </c>
      <c r="S1160" s="77">
        <v>10</v>
      </c>
    </row>
    <row r="1161" spans="17:19" customFormat="1" x14ac:dyDescent="0.2">
      <c r="Q1161" s="140">
        <v>41032</v>
      </c>
      <c r="R1161" s="77">
        <v>0</v>
      </c>
      <c r="S1161" s="77">
        <v>10.8</v>
      </c>
    </row>
    <row r="1162" spans="17:19" customFormat="1" x14ac:dyDescent="0.2">
      <c r="Q1162" s="140">
        <v>41033</v>
      </c>
      <c r="R1162" s="77">
        <v>0.1</v>
      </c>
      <c r="S1162" s="77">
        <v>6.4</v>
      </c>
    </row>
    <row r="1163" spans="17:19" customFormat="1" x14ac:dyDescent="0.2">
      <c r="Q1163" s="140">
        <v>41034</v>
      </c>
      <c r="R1163" s="77">
        <v>0.4</v>
      </c>
      <c r="S1163" s="77">
        <v>10.199999999999999</v>
      </c>
    </row>
    <row r="1164" spans="17:19" customFormat="1" x14ac:dyDescent="0.2">
      <c r="Q1164" s="140">
        <v>41035</v>
      </c>
      <c r="R1164" s="77">
        <v>0</v>
      </c>
      <c r="S1164" s="77">
        <v>14.4</v>
      </c>
    </row>
    <row r="1165" spans="17:19" customFormat="1" x14ac:dyDescent="0.2">
      <c r="Q1165" s="140">
        <v>41036</v>
      </c>
      <c r="R1165" s="77">
        <v>0.5</v>
      </c>
      <c r="S1165" s="77">
        <v>4</v>
      </c>
    </row>
    <row r="1166" spans="17:19" customFormat="1" x14ac:dyDescent="0.2">
      <c r="Q1166" s="140">
        <v>41037</v>
      </c>
      <c r="R1166" s="77">
        <v>3.5</v>
      </c>
      <c r="S1166" s="77">
        <v>3.1</v>
      </c>
    </row>
    <row r="1167" spans="17:19" customFormat="1" x14ac:dyDescent="0.2">
      <c r="Q1167" s="140">
        <v>41038</v>
      </c>
      <c r="R1167" s="77">
        <v>5.6</v>
      </c>
      <c r="S1167" s="77">
        <v>1.1000000000000001</v>
      </c>
    </row>
    <row r="1168" spans="17:19" customFormat="1" x14ac:dyDescent="0.2">
      <c r="Q1168" s="140">
        <v>41039</v>
      </c>
      <c r="R1168" s="77">
        <v>6.3</v>
      </c>
      <c r="S1168" s="77">
        <v>1.8</v>
      </c>
    </row>
    <row r="1169" spans="17:19" customFormat="1" x14ac:dyDescent="0.2">
      <c r="Q1169" s="140">
        <v>41040</v>
      </c>
      <c r="R1169" s="77">
        <v>3.8</v>
      </c>
      <c r="S1169" s="77">
        <v>3.9</v>
      </c>
    </row>
    <row r="1170" spans="17:19" customFormat="1" x14ac:dyDescent="0.2">
      <c r="Q1170" s="140">
        <v>41041</v>
      </c>
      <c r="R1170" s="77">
        <v>2.9</v>
      </c>
      <c r="S1170" s="77">
        <v>3.8</v>
      </c>
    </row>
    <row r="1171" spans="17:19" customFormat="1" x14ac:dyDescent="0.2">
      <c r="Q1171" s="140">
        <v>41042</v>
      </c>
      <c r="R1171" s="77">
        <v>4.9000000000000004</v>
      </c>
      <c r="S1171" s="77">
        <v>4</v>
      </c>
    </row>
    <row r="1172" spans="17:19" customFormat="1" x14ac:dyDescent="0.2">
      <c r="Q1172" s="140">
        <v>41043</v>
      </c>
      <c r="R1172" s="77">
        <v>5.4</v>
      </c>
      <c r="S1172" s="77">
        <v>5.5</v>
      </c>
    </row>
    <row r="1173" spans="17:19" customFormat="1" x14ac:dyDescent="0.2">
      <c r="Q1173" s="140">
        <v>41044</v>
      </c>
      <c r="R1173" s="77">
        <v>4.4000000000000004</v>
      </c>
      <c r="S1173" s="77">
        <v>8.5</v>
      </c>
    </row>
    <row r="1174" spans="17:19" customFormat="1" x14ac:dyDescent="0.2">
      <c r="Q1174" s="140">
        <v>41045</v>
      </c>
      <c r="R1174" s="77">
        <v>1.9</v>
      </c>
      <c r="S1174" s="77">
        <v>3.7</v>
      </c>
    </row>
    <row r="1175" spans="17:19" customFormat="1" x14ac:dyDescent="0.2">
      <c r="Q1175" s="140">
        <v>41046</v>
      </c>
      <c r="R1175" s="77">
        <v>5.6</v>
      </c>
      <c r="S1175" s="77">
        <v>4.7</v>
      </c>
    </row>
    <row r="1176" spans="17:19" customFormat="1" x14ac:dyDescent="0.2">
      <c r="Q1176" s="140">
        <v>41047</v>
      </c>
      <c r="R1176" s="77">
        <v>2.6</v>
      </c>
      <c r="S1176" s="77">
        <v>8.6</v>
      </c>
    </row>
    <row r="1177" spans="17:19" customFormat="1" x14ac:dyDescent="0.2">
      <c r="Q1177" s="140">
        <v>41048</v>
      </c>
      <c r="R1177" s="77">
        <v>0</v>
      </c>
      <c r="S1177" s="77">
        <v>13.2</v>
      </c>
    </row>
    <row r="1178" spans="17:19" customFormat="1" x14ac:dyDescent="0.2">
      <c r="Q1178" s="140">
        <v>41049</v>
      </c>
      <c r="R1178" s="77">
        <v>0</v>
      </c>
      <c r="S1178" s="77">
        <v>11.4</v>
      </c>
    </row>
    <row r="1179" spans="17:19" customFormat="1" x14ac:dyDescent="0.2">
      <c r="Q1179" s="140">
        <v>41050</v>
      </c>
      <c r="R1179" s="77">
        <v>1.5</v>
      </c>
      <c r="S1179" s="77">
        <v>2.6</v>
      </c>
    </row>
    <row r="1180" spans="17:19" customFormat="1" x14ac:dyDescent="0.2">
      <c r="Q1180" s="140">
        <v>41051</v>
      </c>
      <c r="R1180" s="77">
        <v>6.3</v>
      </c>
      <c r="S1180" s="77">
        <v>3</v>
      </c>
    </row>
    <row r="1181" spans="17:19" customFormat="1" x14ac:dyDescent="0.2">
      <c r="Q1181" s="140">
        <v>41052</v>
      </c>
      <c r="R1181" s="77">
        <v>3.3</v>
      </c>
      <c r="S1181" s="77">
        <v>6.9</v>
      </c>
    </row>
    <row r="1182" spans="17:19" customFormat="1" x14ac:dyDescent="0.2">
      <c r="Q1182" s="140">
        <v>41053</v>
      </c>
      <c r="R1182" s="77">
        <v>0</v>
      </c>
      <c r="S1182" s="77">
        <v>13</v>
      </c>
    </row>
    <row r="1183" spans="17:19" customFormat="1" x14ac:dyDescent="0.2">
      <c r="Q1183" s="140">
        <v>41054</v>
      </c>
      <c r="R1183" s="77">
        <v>0</v>
      </c>
      <c r="S1183" s="77">
        <v>14.2</v>
      </c>
    </row>
    <row r="1184" spans="17:19" customFormat="1" x14ac:dyDescent="0.2">
      <c r="Q1184" s="140">
        <v>41055</v>
      </c>
      <c r="R1184" s="77">
        <v>0</v>
      </c>
      <c r="S1184" s="77">
        <v>17</v>
      </c>
    </row>
    <row r="1185" spans="17:19" customFormat="1" x14ac:dyDescent="0.2">
      <c r="Q1185" s="140">
        <v>41056</v>
      </c>
      <c r="R1185" s="77">
        <v>0</v>
      </c>
      <c r="S1185" s="77">
        <v>17.2</v>
      </c>
    </row>
    <row r="1186" spans="17:19" customFormat="1" x14ac:dyDescent="0.2">
      <c r="Q1186" s="140">
        <v>41057</v>
      </c>
      <c r="R1186" s="77">
        <v>0</v>
      </c>
      <c r="S1186" s="77">
        <v>17.3</v>
      </c>
    </row>
    <row r="1187" spans="17:19" customFormat="1" x14ac:dyDescent="0.2">
      <c r="Q1187" s="140">
        <v>41058</v>
      </c>
      <c r="R1187" s="77">
        <v>0.1</v>
      </c>
      <c r="S1187" s="77">
        <v>10.199999999999999</v>
      </c>
    </row>
    <row r="1188" spans="17:19" customFormat="1" x14ac:dyDescent="0.2">
      <c r="Q1188" s="140">
        <v>41059</v>
      </c>
      <c r="R1188" s="77">
        <v>2.2999999999999998</v>
      </c>
      <c r="S1188" s="77">
        <v>4.3</v>
      </c>
    </row>
    <row r="1189" spans="17:19" customFormat="1" x14ac:dyDescent="0.2">
      <c r="Q1189" s="140">
        <v>41060</v>
      </c>
      <c r="R1189" s="77">
        <v>10.3</v>
      </c>
      <c r="S1189" s="77">
        <v>0</v>
      </c>
    </row>
    <row r="1190" spans="17:19" customFormat="1" x14ac:dyDescent="0.2">
      <c r="Q1190" s="140">
        <v>41061</v>
      </c>
      <c r="R1190" s="77">
        <v>9.1999999999999993</v>
      </c>
      <c r="S1190" s="77">
        <v>0.1</v>
      </c>
    </row>
    <row r="1191" spans="17:19" customFormat="1" x14ac:dyDescent="0.2">
      <c r="Q1191" s="140">
        <v>41062</v>
      </c>
      <c r="R1191" s="77">
        <v>5.6</v>
      </c>
      <c r="S1191" s="77">
        <v>2.2000000000000002</v>
      </c>
    </row>
    <row r="1192" spans="17:19" customFormat="1" x14ac:dyDescent="0.2">
      <c r="Q1192" s="140">
        <v>41063</v>
      </c>
      <c r="R1192" s="77">
        <v>3.2</v>
      </c>
      <c r="S1192" s="77">
        <v>7.3</v>
      </c>
    </row>
    <row r="1193" spans="17:19" customFormat="1" x14ac:dyDescent="0.2">
      <c r="Q1193" s="140">
        <v>41064</v>
      </c>
      <c r="R1193" s="77">
        <v>0.7</v>
      </c>
      <c r="S1193" s="77">
        <v>4.5</v>
      </c>
    </row>
    <row r="1194" spans="17:19" customFormat="1" x14ac:dyDescent="0.2">
      <c r="Q1194" s="140">
        <v>41065</v>
      </c>
      <c r="R1194" s="77">
        <v>3.3</v>
      </c>
      <c r="S1194" s="77">
        <v>4.9000000000000004</v>
      </c>
    </row>
    <row r="1195" spans="17:19" customFormat="1" x14ac:dyDescent="0.2">
      <c r="Q1195" s="140">
        <v>41066</v>
      </c>
      <c r="R1195" s="77">
        <v>4.0999999999999996</v>
      </c>
      <c r="S1195" s="77">
        <v>4</v>
      </c>
    </row>
    <row r="1196" spans="17:19" customFormat="1" x14ac:dyDescent="0.2">
      <c r="Q1196" s="140">
        <v>41067</v>
      </c>
      <c r="R1196" s="77">
        <v>3.3</v>
      </c>
      <c r="S1196" s="77">
        <v>6.8</v>
      </c>
    </row>
    <row r="1197" spans="17:19" customFormat="1" x14ac:dyDescent="0.2">
      <c r="Q1197" s="140">
        <v>41068</v>
      </c>
      <c r="R1197" s="77">
        <v>3</v>
      </c>
      <c r="S1197" s="77">
        <v>8.8000000000000007</v>
      </c>
    </row>
    <row r="1198" spans="17:19" customFormat="1" x14ac:dyDescent="0.2">
      <c r="Q1198" s="140">
        <v>41069</v>
      </c>
      <c r="R1198" s="77">
        <v>0.7</v>
      </c>
      <c r="S1198" s="77">
        <v>11.7</v>
      </c>
    </row>
    <row r="1199" spans="17:19" customFormat="1" x14ac:dyDescent="0.2">
      <c r="Q1199" s="140">
        <v>41070</v>
      </c>
      <c r="R1199" s="77">
        <v>0</v>
      </c>
      <c r="S1199" s="77">
        <v>13.4</v>
      </c>
    </row>
    <row r="1200" spans="17:19" customFormat="1" x14ac:dyDescent="0.2">
      <c r="Q1200" s="140">
        <v>41071</v>
      </c>
      <c r="R1200" s="77">
        <v>0</v>
      </c>
      <c r="S1200" s="77">
        <v>8.1</v>
      </c>
    </row>
    <row r="1201" spans="17:19" customFormat="1" x14ac:dyDescent="0.2">
      <c r="Q1201" s="140">
        <v>41072</v>
      </c>
      <c r="R1201" s="77">
        <v>1.4</v>
      </c>
      <c r="S1201" s="77">
        <v>5.5</v>
      </c>
    </row>
    <row r="1202" spans="17:19" customFormat="1" x14ac:dyDescent="0.2">
      <c r="Q1202" s="140">
        <v>41073</v>
      </c>
      <c r="R1202" s="77">
        <v>3.8</v>
      </c>
      <c r="S1202" s="77">
        <v>4.8</v>
      </c>
    </row>
    <row r="1203" spans="17:19" customFormat="1" x14ac:dyDescent="0.2">
      <c r="Q1203" s="140">
        <v>41074</v>
      </c>
      <c r="R1203" s="77">
        <v>1.9</v>
      </c>
      <c r="S1203" s="77">
        <v>9.4</v>
      </c>
    </row>
    <row r="1204" spans="17:19" customFormat="1" x14ac:dyDescent="0.2">
      <c r="Q1204" s="140">
        <v>41075</v>
      </c>
      <c r="R1204" s="77">
        <v>0.2</v>
      </c>
      <c r="S1204" s="77">
        <v>12.7</v>
      </c>
    </row>
    <row r="1205" spans="17:19" customFormat="1" x14ac:dyDescent="0.2">
      <c r="Q1205" s="140">
        <v>41076</v>
      </c>
      <c r="R1205" s="77">
        <v>0</v>
      </c>
      <c r="S1205" s="77">
        <v>16.3</v>
      </c>
    </row>
    <row r="1206" spans="17:19" customFormat="1" x14ac:dyDescent="0.2">
      <c r="Q1206" s="140">
        <v>41077</v>
      </c>
      <c r="R1206" s="77">
        <v>0</v>
      </c>
      <c r="S1206" s="77">
        <v>11.7</v>
      </c>
    </row>
    <row r="1207" spans="17:19" customFormat="1" x14ac:dyDescent="0.2">
      <c r="Q1207" s="140">
        <v>41078</v>
      </c>
      <c r="R1207" s="77">
        <v>0</v>
      </c>
      <c r="S1207" s="77">
        <v>17.3</v>
      </c>
    </row>
    <row r="1208" spans="17:19" customFormat="1" x14ac:dyDescent="0.2">
      <c r="Q1208" s="140">
        <v>41079</v>
      </c>
      <c r="R1208" s="77">
        <v>0</v>
      </c>
      <c r="S1208" s="77">
        <v>17.600000000000001</v>
      </c>
    </row>
    <row r="1209" spans="17:19" customFormat="1" x14ac:dyDescent="0.2">
      <c r="Q1209" s="140">
        <v>41080</v>
      </c>
      <c r="R1209" s="77">
        <v>0</v>
      </c>
      <c r="S1209" s="77">
        <v>17.600000000000001</v>
      </c>
    </row>
    <row r="1210" spans="17:19" customFormat="1" x14ac:dyDescent="0.2">
      <c r="Q1210" s="140">
        <v>41081</v>
      </c>
      <c r="R1210" s="77">
        <v>0</v>
      </c>
      <c r="S1210" s="77">
        <v>11.8</v>
      </c>
    </row>
    <row r="1211" spans="17:19" customFormat="1" x14ac:dyDescent="0.2">
      <c r="Q1211" s="140">
        <v>41082</v>
      </c>
      <c r="R1211" s="77">
        <v>1.5</v>
      </c>
      <c r="S1211" s="77">
        <v>8.3000000000000007</v>
      </c>
    </row>
    <row r="1212" spans="17:19" customFormat="1" x14ac:dyDescent="0.2">
      <c r="Q1212" s="140">
        <v>41083</v>
      </c>
      <c r="R1212" s="77">
        <v>1.7</v>
      </c>
      <c r="S1212" s="77">
        <v>9</v>
      </c>
    </row>
    <row r="1213" spans="17:19" customFormat="1" x14ac:dyDescent="0.2">
      <c r="Q1213" s="140">
        <v>41084</v>
      </c>
      <c r="R1213" s="77">
        <v>0</v>
      </c>
      <c r="S1213" s="77">
        <v>10.199999999999999</v>
      </c>
    </row>
    <row r="1214" spans="17:19" customFormat="1" x14ac:dyDescent="0.2">
      <c r="Q1214" s="140">
        <v>41085</v>
      </c>
      <c r="R1214" s="77">
        <v>0.1</v>
      </c>
      <c r="S1214" s="77">
        <v>10.5</v>
      </c>
    </row>
    <row r="1215" spans="17:19" customFormat="1" x14ac:dyDescent="0.2">
      <c r="Q1215" s="140">
        <v>41086</v>
      </c>
      <c r="R1215" s="77">
        <v>2.9</v>
      </c>
      <c r="S1215" s="77">
        <v>7.4</v>
      </c>
    </row>
    <row r="1216" spans="17:19" customFormat="1" x14ac:dyDescent="0.2">
      <c r="Q1216" s="140">
        <v>41087</v>
      </c>
      <c r="R1216" s="77">
        <v>0.4</v>
      </c>
      <c r="S1216" s="77">
        <v>13.5</v>
      </c>
    </row>
    <row r="1217" spans="17:19" customFormat="1" x14ac:dyDescent="0.2">
      <c r="Q1217" s="140">
        <v>41088</v>
      </c>
      <c r="R1217" s="77">
        <v>0</v>
      </c>
      <c r="S1217" s="77">
        <v>20.7</v>
      </c>
    </row>
    <row r="1218" spans="17:19" customFormat="1" x14ac:dyDescent="0.2">
      <c r="Q1218" s="140">
        <v>41089</v>
      </c>
      <c r="R1218" s="77">
        <v>0</v>
      </c>
      <c r="S1218" s="77">
        <v>20.8</v>
      </c>
    </row>
    <row r="1219" spans="17:19" customFormat="1" x14ac:dyDescent="0.2">
      <c r="Q1219" s="140">
        <v>41090</v>
      </c>
      <c r="R1219" s="77">
        <v>0</v>
      </c>
      <c r="S1219" s="77">
        <v>17.8</v>
      </c>
    </row>
    <row r="1220" spans="17:19" customFormat="1" x14ac:dyDescent="0.2">
      <c r="Q1220" s="140">
        <v>41091</v>
      </c>
      <c r="R1220" s="77">
        <v>0</v>
      </c>
      <c r="S1220" s="77">
        <v>17</v>
      </c>
    </row>
    <row r="1221" spans="17:19" customFormat="1" x14ac:dyDescent="0.2">
      <c r="Q1221" s="140">
        <v>41092</v>
      </c>
      <c r="R1221" s="77">
        <v>0</v>
      </c>
      <c r="S1221" s="77">
        <v>18.899999999999999</v>
      </c>
    </row>
    <row r="1222" spans="17:19" customFormat="1" x14ac:dyDescent="0.2">
      <c r="Q1222" s="140">
        <v>41093</v>
      </c>
      <c r="R1222" s="77">
        <v>0</v>
      </c>
      <c r="S1222" s="77">
        <v>18.399999999999999</v>
      </c>
    </row>
    <row r="1223" spans="17:19" customFormat="1" x14ac:dyDescent="0.2">
      <c r="Q1223" s="140">
        <v>41094</v>
      </c>
      <c r="R1223" s="77">
        <v>0</v>
      </c>
      <c r="S1223" s="77">
        <v>21.3</v>
      </c>
    </row>
    <row r="1224" spans="17:19" customFormat="1" x14ac:dyDescent="0.2">
      <c r="Q1224" s="140">
        <v>41095</v>
      </c>
      <c r="R1224" s="77">
        <v>0</v>
      </c>
      <c r="S1224" s="77">
        <v>22.1</v>
      </c>
    </row>
    <row r="1225" spans="17:19" customFormat="1" x14ac:dyDescent="0.2">
      <c r="Q1225" s="140">
        <v>41096</v>
      </c>
      <c r="R1225" s="77">
        <v>0</v>
      </c>
      <c r="S1225" s="77">
        <v>23.9</v>
      </c>
    </row>
    <row r="1226" spans="17:19" customFormat="1" x14ac:dyDescent="0.2">
      <c r="Q1226" s="140">
        <v>41097</v>
      </c>
      <c r="R1226" s="77">
        <v>0</v>
      </c>
      <c r="S1226" s="77">
        <v>24.4</v>
      </c>
    </row>
    <row r="1227" spans="17:19" customFormat="1" x14ac:dyDescent="0.2">
      <c r="Q1227" s="140">
        <v>41098</v>
      </c>
      <c r="R1227" s="77">
        <v>0</v>
      </c>
      <c r="S1227" s="77">
        <v>14.4</v>
      </c>
    </row>
    <row r="1228" spans="17:19" customFormat="1" x14ac:dyDescent="0.2">
      <c r="Q1228" s="140">
        <v>41099</v>
      </c>
      <c r="R1228" s="77">
        <v>0.2</v>
      </c>
      <c r="S1228" s="77">
        <v>12.6</v>
      </c>
    </row>
    <row r="1229" spans="17:19" customFormat="1" x14ac:dyDescent="0.2">
      <c r="Q1229" s="140">
        <v>41100</v>
      </c>
      <c r="R1229" s="77">
        <v>0</v>
      </c>
      <c r="S1229" s="77">
        <v>14.5</v>
      </c>
    </row>
    <row r="1230" spans="17:19" customFormat="1" x14ac:dyDescent="0.2">
      <c r="Q1230" s="140">
        <v>41101</v>
      </c>
      <c r="R1230" s="77">
        <v>0</v>
      </c>
      <c r="S1230" s="77">
        <v>11.4</v>
      </c>
    </row>
    <row r="1231" spans="17:19" customFormat="1" x14ac:dyDescent="0.2">
      <c r="Q1231" s="140">
        <v>41102</v>
      </c>
      <c r="R1231" s="77">
        <v>0.1</v>
      </c>
      <c r="S1231" s="77">
        <v>14.9</v>
      </c>
    </row>
    <row r="1232" spans="17:19" customFormat="1" x14ac:dyDescent="0.2">
      <c r="Q1232" s="140">
        <v>41103</v>
      </c>
      <c r="R1232" s="77">
        <v>0</v>
      </c>
      <c r="S1232" s="77">
        <v>15.5</v>
      </c>
    </row>
    <row r="1233" spans="17:19" customFormat="1" x14ac:dyDescent="0.2">
      <c r="Q1233" s="140">
        <v>41104</v>
      </c>
      <c r="R1233" s="77">
        <v>0</v>
      </c>
      <c r="S1233" s="77">
        <v>14.3</v>
      </c>
    </row>
    <row r="1234" spans="17:19" customFormat="1" x14ac:dyDescent="0.2">
      <c r="Q1234" s="140">
        <v>41105</v>
      </c>
      <c r="R1234" s="77">
        <v>0</v>
      </c>
      <c r="S1234" s="77">
        <v>17.2</v>
      </c>
    </row>
    <row r="1235" spans="17:19" customFormat="1" x14ac:dyDescent="0.2">
      <c r="Q1235" s="140">
        <v>41106</v>
      </c>
      <c r="R1235" s="77">
        <v>0</v>
      </c>
      <c r="S1235" s="77">
        <v>19.899999999999999</v>
      </c>
    </row>
    <row r="1236" spans="17:19" customFormat="1" x14ac:dyDescent="0.2">
      <c r="Q1236" s="140">
        <v>41107</v>
      </c>
      <c r="R1236" s="77">
        <v>0</v>
      </c>
      <c r="S1236" s="77">
        <v>22.8</v>
      </c>
    </row>
    <row r="1237" spans="17:19" customFormat="1" x14ac:dyDescent="0.2">
      <c r="Q1237" s="140">
        <v>41108</v>
      </c>
      <c r="R1237" s="77">
        <v>0</v>
      </c>
      <c r="S1237" s="77">
        <v>24.3</v>
      </c>
    </row>
    <row r="1238" spans="17:19" customFormat="1" x14ac:dyDescent="0.2">
      <c r="Q1238" s="140">
        <v>41109</v>
      </c>
      <c r="R1238" s="77">
        <v>0</v>
      </c>
      <c r="S1238" s="77">
        <v>21.2</v>
      </c>
    </row>
    <row r="1239" spans="17:19" customFormat="1" x14ac:dyDescent="0.2">
      <c r="Q1239" s="140">
        <v>41110</v>
      </c>
      <c r="R1239" s="77">
        <v>0</v>
      </c>
      <c r="S1239" s="77">
        <v>11.1</v>
      </c>
    </row>
    <row r="1240" spans="17:19" customFormat="1" x14ac:dyDescent="0.2">
      <c r="Q1240" s="140">
        <v>41111</v>
      </c>
      <c r="R1240" s="77">
        <v>0.5</v>
      </c>
      <c r="S1240" s="77">
        <v>13.2</v>
      </c>
    </row>
    <row r="1241" spans="17:19" customFormat="1" x14ac:dyDescent="0.2">
      <c r="Q1241" s="140">
        <v>41112</v>
      </c>
      <c r="R1241" s="77">
        <v>0</v>
      </c>
      <c r="S1241" s="77">
        <v>19.3</v>
      </c>
    </row>
    <row r="1242" spans="17:19" customFormat="1" x14ac:dyDescent="0.2">
      <c r="Q1242" s="140">
        <v>41113</v>
      </c>
      <c r="R1242" s="77">
        <v>0</v>
      </c>
      <c r="S1242" s="77">
        <v>24.4</v>
      </c>
    </row>
    <row r="1243" spans="17:19" customFormat="1" x14ac:dyDescent="0.2">
      <c r="Q1243" s="140">
        <v>41114</v>
      </c>
      <c r="R1243" s="77">
        <v>0</v>
      </c>
      <c r="S1243" s="77">
        <v>24.9</v>
      </c>
    </row>
    <row r="1244" spans="17:19" customFormat="1" x14ac:dyDescent="0.2">
      <c r="Q1244" s="140">
        <v>41115</v>
      </c>
      <c r="R1244" s="77">
        <v>0</v>
      </c>
      <c r="S1244" s="77">
        <v>25.5</v>
      </c>
    </row>
    <row r="1245" spans="17:19" customFormat="1" x14ac:dyDescent="0.2">
      <c r="Q1245" s="140">
        <v>41116</v>
      </c>
      <c r="R1245" s="77">
        <v>0</v>
      </c>
      <c r="S1245" s="77">
        <v>17.8</v>
      </c>
    </row>
    <row r="1246" spans="17:19" customFormat="1" x14ac:dyDescent="0.2">
      <c r="Q1246" s="140">
        <v>41117</v>
      </c>
      <c r="R1246" s="77">
        <v>0</v>
      </c>
      <c r="S1246" s="77">
        <v>14.4</v>
      </c>
    </row>
    <row r="1247" spans="17:19" customFormat="1" x14ac:dyDescent="0.2">
      <c r="Q1247" s="140">
        <v>41118</v>
      </c>
      <c r="R1247" s="77">
        <v>0.4</v>
      </c>
      <c r="S1247" s="77">
        <v>10.8</v>
      </c>
    </row>
    <row r="1248" spans="17:19" customFormat="1" x14ac:dyDescent="0.2">
      <c r="Q1248" s="140">
        <v>41119</v>
      </c>
      <c r="R1248" s="77">
        <v>0</v>
      </c>
      <c r="S1248" s="77">
        <v>13.7</v>
      </c>
    </row>
    <row r="1249" spans="17:19" customFormat="1" x14ac:dyDescent="0.2">
      <c r="Q1249" s="140">
        <v>41120</v>
      </c>
      <c r="R1249" s="77">
        <v>0</v>
      </c>
      <c r="S1249" s="77">
        <v>16.8</v>
      </c>
    </row>
    <row r="1250" spans="17:19" customFormat="1" x14ac:dyDescent="0.2">
      <c r="Q1250" s="140">
        <v>41121</v>
      </c>
      <c r="R1250" s="77">
        <v>0</v>
      </c>
      <c r="S1250" s="77">
        <v>18.399999999999999</v>
      </c>
    </row>
    <row r="1251" spans="17:19" customFormat="1" x14ac:dyDescent="0.2">
      <c r="Q1251" s="140">
        <v>41122</v>
      </c>
      <c r="R1251" s="77">
        <v>0</v>
      </c>
      <c r="S1251" s="77">
        <v>16.5</v>
      </c>
    </row>
    <row r="1252" spans="17:19" customFormat="1" x14ac:dyDescent="0.2">
      <c r="Q1252" s="140">
        <v>41123</v>
      </c>
      <c r="R1252" s="77">
        <v>0</v>
      </c>
      <c r="S1252" s="77">
        <v>14.8</v>
      </c>
    </row>
    <row r="1253" spans="17:19" customFormat="1" x14ac:dyDescent="0.2">
      <c r="Q1253" s="140">
        <v>41124</v>
      </c>
      <c r="R1253" s="77">
        <v>0</v>
      </c>
      <c r="S1253" s="77">
        <v>15.5</v>
      </c>
    </row>
    <row r="1254" spans="17:19" customFormat="1" x14ac:dyDescent="0.2">
      <c r="Q1254" s="140">
        <v>41125</v>
      </c>
      <c r="R1254" s="77">
        <v>0</v>
      </c>
      <c r="S1254" s="77">
        <v>19.3</v>
      </c>
    </row>
    <row r="1255" spans="17:19" customFormat="1" x14ac:dyDescent="0.2">
      <c r="Q1255" s="140">
        <v>41126</v>
      </c>
      <c r="R1255" s="77">
        <v>0</v>
      </c>
      <c r="S1255" s="77">
        <v>13.6</v>
      </c>
    </row>
    <row r="1256" spans="17:19" customFormat="1" x14ac:dyDescent="0.2">
      <c r="Q1256" s="140">
        <v>41127</v>
      </c>
      <c r="R1256" s="77">
        <v>1.1000000000000001</v>
      </c>
      <c r="S1256" s="77">
        <v>11.2</v>
      </c>
    </row>
    <row r="1257" spans="17:19" customFormat="1" x14ac:dyDescent="0.2">
      <c r="Q1257" s="140">
        <v>41128</v>
      </c>
      <c r="R1257" s="77">
        <v>0.9</v>
      </c>
      <c r="S1257" s="77">
        <v>15.5</v>
      </c>
    </row>
    <row r="1258" spans="17:19" customFormat="1" x14ac:dyDescent="0.2">
      <c r="Q1258" s="140">
        <v>41129</v>
      </c>
      <c r="R1258" s="77">
        <v>0</v>
      </c>
      <c r="S1258" s="77">
        <v>12.6</v>
      </c>
    </row>
    <row r="1259" spans="17:19" customFormat="1" x14ac:dyDescent="0.2">
      <c r="Q1259" s="140">
        <v>41130</v>
      </c>
      <c r="R1259" s="77">
        <v>0</v>
      </c>
      <c r="S1259" s="77">
        <v>13.5</v>
      </c>
    </row>
    <row r="1260" spans="17:19" customFormat="1" x14ac:dyDescent="0.2">
      <c r="Q1260" s="140">
        <v>41131</v>
      </c>
      <c r="R1260" s="77">
        <v>0.7</v>
      </c>
      <c r="S1260" s="77">
        <v>5.5</v>
      </c>
    </row>
    <row r="1261" spans="17:19" customFormat="1" x14ac:dyDescent="0.2">
      <c r="Q1261" s="140">
        <v>41132</v>
      </c>
      <c r="R1261" s="77">
        <v>3.9</v>
      </c>
      <c r="S1261" s="77">
        <v>7</v>
      </c>
    </row>
    <row r="1262" spans="17:19" customFormat="1" x14ac:dyDescent="0.2">
      <c r="Q1262" s="140">
        <v>41133</v>
      </c>
      <c r="R1262" s="77">
        <v>3.4</v>
      </c>
      <c r="S1262" s="77">
        <v>6.2</v>
      </c>
    </row>
    <row r="1263" spans="17:19" customFormat="1" x14ac:dyDescent="0.2">
      <c r="Q1263" s="140">
        <v>41134</v>
      </c>
      <c r="R1263" s="77">
        <v>0.2</v>
      </c>
      <c r="S1263" s="77">
        <v>4.9000000000000004</v>
      </c>
    </row>
    <row r="1264" spans="17:19" customFormat="1" x14ac:dyDescent="0.2">
      <c r="Q1264" s="140">
        <v>41135</v>
      </c>
      <c r="R1264" s="77">
        <v>2</v>
      </c>
      <c r="S1264" s="77">
        <v>7.3</v>
      </c>
    </row>
    <row r="1265" spans="17:19" customFormat="1" x14ac:dyDescent="0.2">
      <c r="Q1265" s="140">
        <v>41136</v>
      </c>
      <c r="R1265" s="77">
        <v>1.3</v>
      </c>
      <c r="S1265" s="77">
        <v>11.2</v>
      </c>
    </row>
    <row r="1266" spans="17:19" customFormat="1" x14ac:dyDescent="0.2">
      <c r="Q1266" s="140">
        <v>41137</v>
      </c>
      <c r="R1266" s="77">
        <v>0.1</v>
      </c>
      <c r="S1266" s="77">
        <v>8.5</v>
      </c>
    </row>
    <row r="1267" spans="17:19" customFormat="1" x14ac:dyDescent="0.2">
      <c r="Q1267" s="140">
        <v>41138</v>
      </c>
      <c r="R1267" s="77">
        <v>2.9</v>
      </c>
      <c r="S1267" s="77">
        <v>4.5999999999999996</v>
      </c>
    </row>
    <row r="1268" spans="17:19" customFormat="1" x14ac:dyDescent="0.2">
      <c r="Q1268" s="140">
        <v>41139</v>
      </c>
      <c r="R1268" s="77">
        <v>4.4000000000000004</v>
      </c>
      <c r="S1268" s="77">
        <v>6.2</v>
      </c>
    </row>
    <row r="1269" spans="17:19" customFormat="1" x14ac:dyDescent="0.2">
      <c r="Q1269" s="140">
        <v>41140</v>
      </c>
      <c r="R1269" s="77">
        <v>2.2999999999999998</v>
      </c>
      <c r="S1269" s="77">
        <v>4.5</v>
      </c>
    </row>
    <row r="1270" spans="17:19" customFormat="1" x14ac:dyDescent="0.2">
      <c r="Q1270" s="140">
        <v>41141</v>
      </c>
      <c r="R1270" s="77">
        <v>4</v>
      </c>
      <c r="S1270" s="77">
        <v>6.8</v>
      </c>
    </row>
    <row r="1271" spans="17:19" customFormat="1" x14ac:dyDescent="0.2">
      <c r="Q1271" s="140">
        <v>41142</v>
      </c>
      <c r="R1271" s="77">
        <v>2.1</v>
      </c>
      <c r="S1271" s="77">
        <v>7.8</v>
      </c>
    </row>
    <row r="1272" spans="17:19" customFormat="1" x14ac:dyDescent="0.2">
      <c r="Q1272" s="140">
        <v>41143</v>
      </c>
      <c r="R1272" s="77">
        <v>2</v>
      </c>
      <c r="S1272" s="77">
        <v>11.5</v>
      </c>
    </row>
    <row r="1273" spans="17:19" customFormat="1" x14ac:dyDescent="0.2">
      <c r="Q1273" s="140">
        <v>41144</v>
      </c>
      <c r="R1273" s="77">
        <v>0</v>
      </c>
      <c r="S1273" s="77">
        <v>16.2</v>
      </c>
    </row>
    <row r="1274" spans="17:19" customFormat="1" x14ac:dyDescent="0.2">
      <c r="Q1274" s="140">
        <v>41145</v>
      </c>
      <c r="R1274" s="77">
        <v>0</v>
      </c>
      <c r="S1274" s="77">
        <v>16.7</v>
      </c>
    </row>
    <row r="1275" spans="17:19" customFormat="1" x14ac:dyDescent="0.2">
      <c r="Q1275" s="140">
        <v>41146</v>
      </c>
      <c r="R1275" s="77">
        <v>0</v>
      </c>
      <c r="S1275" s="77">
        <v>15.9</v>
      </c>
    </row>
    <row r="1276" spans="17:19" customFormat="1" x14ac:dyDescent="0.2">
      <c r="Q1276" s="140">
        <v>41147</v>
      </c>
      <c r="R1276" s="77">
        <v>0</v>
      </c>
      <c r="S1276" s="77">
        <v>11.5</v>
      </c>
    </row>
    <row r="1277" spans="17:19" customFormat="1" x14ac:dyDescent="0.2">
      <c r="Q1277" s="140">
        <v>41148</v>
      </c>
      <c r="R1277" s="77">
        <v>0</v>
      </c>
      <c r="S1277" s="77">
        <v>12.8</v>
      </c>
    </row>
    <row r="1278" spans="17:19" customFormat="1" x14ac:dyDescent="0.2">
      <c r="Q1278" s="140">
        <v>41149</v>
      </c>
      <c r="R1278" s="77">
        <v>1.1000000000000001</v>
      </c>
      <c r="S1278" s="77">
        <v>12.1</v>
      </c>
    </row>
    <row r="1279" spans="17:19" customFormat="1" x14ac:dyDescent="0.2">
      <c r="Q1279" s="140">
        <v>41150</v>
      </c>
      <c r="R1279" s="77">
        <v>0.7</v>
      </c>
      <c r="S1279" s="77">
        <v>12.9</v>
      </c>
    </row>
    <row r="1280" spans="17:19" customFormat="1" x14ac:dyDescent="0.2">
      <c r="Q1280" s="140">
        <v>41151</v>
      </c>
      <c r="R1280" s="77">
        <v>0</v>
      </c>
      <c r="S1280" s="77">
        <v>15.3</v>
      </c>
    </row>
    <row r="1281" spans="17:19" customFormat="1" x14ac:dyDescent="0.2">
      <c r="Q1281" s="140">
        <v>41152</v>
      </c>
      <c r="R1281" s="77">
        <v>0</v>
      </c>
      <c r="S1281" s="77">
        <v>12.9</v>
      </c>
    </row>
    <row r="1282" spans="17:19" customFormat="1" x14ac:dyDescent="0.2">
      <c r="Q1282" s="140">
        <v>41153</v>
      </c>
      <c r="R1282" s="77">
        <v>0</v>
      </c>
      <c r="S1282" s="77">
        <v>10.7</v>
      </c>
    </row>
    <row r="1283" spans="17:19" customFormat="1" x14ac:dyDescent="0.2">
      <c r="Q1283" s="140">
        <v>41154</v>
      </c>
      <c r="R1283" s="77">
        <v>0</v>
      </c>
      <c r="S1283" s="77">
        <v>11.3</v>
      </c>
    </row>
    <row r="1284" spans="17:19" customFormat="1" x14ac:dyDescent="0.2">
      <c r="Q1284" s="140">
        <v>41155</v>
      </c>
      <c r="R1284" s="77">
        <v>0</v>
      </c>
      <c r="S1284" s="77">
        <v>14.8</v>
      </c>
    </row>
    <row r="1285" spans="17:19" customFormat="1" x14ac:dyDescent="0.2">
      <c r="Q1285" s="140">
        <v>41156</v>
      </c>
      <c r="R1285" s="77">
        <v>0</v>
      </c>
      <c r="S1285" s="77">
        <v>15.5</v>
      </c>
    </row>
    <row r="1286" spans="17:19" customFormat="1" x14ac:dyDescent="0.2">
      <c r="Q1286" s="140">
        <v>41157</v>
      </c>
      <c r="R1286" s="77">
        <v>0</v>
      </c>
      <c r="S1286" s="77">
        <v>7.9</v>
      </c>
    </row>
    <row r="1287" spans="17:19" customFormat="1" x14ac:dyDescent="0.2">
      <c r="Q1287" s="140">
        <v>41158</v>
      </c>
      <c r="R1287" s="77">
        <v>0</v>
      </c>
      <c r="S1287" s="77">
        <v>12.1</v>
      </c>
    </row>
    <row r="1288" spans="17:19" customFormat="1" x14ac:dyDescent="0.2">
      <c r="Q1288" s="140">
        <v>41159</v>
      </c>
      <c r="R1288" s="77">
        <v>0.3</v>
      </c>
      <c r="S1288" s="77">
        <v>6</v>
      </c>
    </row>
    <row r="1289" spans="17:19" customFormat="1" x14ac:dyDescent="0.2">
      <c r="Q1289" s="140">
        <v>41160</v>
      </c>
      <c r="R1289" s="77">
        <v>3.7</v>
      </c>
      <c r="S1289" s="77">
        <v>2.6</v>
      </c>
    </row>
    <row r="1290" spans="17:19" customFormat="1" x14ac:dyDescent="0.2">
      <c r="Q1290" s="140">
        <v>41161</v>
      </c>
      <c r="R1290" s="77">
        <v>4.7</v>
      </c>
      <c r="S1290" s="77">
        <v>2.5</v>
      </c>
    </row>
    <row r="1291" spans="17:19" customFormat="1" x14ac:dyDescent="0.2">
      <c r="Q1291" s="140">
        <v>41162</v>
      </c>
      <c r="R1291" s="77">
        <v>6</v>
      </c>
      <c r="S1291" s="77">
        <v>3.9</v>
      </c>
    </row>
    <row r="1292" spans="17:19" customFormat="1" x14ac:dyDescent="0.2">
      <c r="Q1292" s="140">
        <v>41163</v>
      </c>
      <c r="R1292" s="77">
        <v>2.6</v>
      </c>
      <c r="S1292" s="77">
        <v>7.7</v>
      </c>
    </row>
    <row r="1293" spans="17:19" customFormat="1" x14ac:dyDescent="0.2">
      <c r="Q1293" s="140">
        <v>41164</v>
      </c>
      <c r="R1293" s="77">
        <v>1.1000000000000001</v>
      </c>
      <c r="S1293" s="77">
        <v>9.1</v>
      </c>
    </row>
    <row r="1294" spans="17:19" customFormat="1" x14ac:dyDescent="0.2">
      <c r="Q1294" s="140">
        <v>41165</v>
      </c>
      <c r="R1294" s="77">
        <v>1.9</v>
      </c>
      <c r="S1294" s="77">
        <v>4.5999999999999996</v>
      </c>
    </row>
    <row r="1295" spans="17:19" customFormat="1" x14ac:dyDescent="0.2">
      <c r="Q1295" s="140">
        <v>41166</v>
      </c>
      <c r="R1295" s="77">
        <v>5.8</v>
      </c>
      <c r="S1295" s="77">
        <v>1.4</v>
      </c>
    </row>
    <row r="1296" spans="17:19" customFormat="1" x14ac:dyDescent="0.2">
      <c r="Q1296" s="140">
        <v>41167</v>
      </c>
      <c r="R1296" s="77">
        <v>6.5</v>
      </c>
      <c r="S1296" s="77">
        <v>3.1</v>
      </c>
    </row>
    <row r="1297" spans="17:19" customFormat="1" x14ac:dyDescent="0.2">
      <c r="Q1297" s="140">
        <v>41168</v>
      </c>
      <c r="R1297" s="77">
        <v>5</v>
      </c>
      <c r="S1297" s="77">
        <v>3.9</v>
      </c>
    </row>
    <row r="1298" spans="17:19" customFormat="1" x14ac:dyDescent="0.2">
      <c r="Q1298" s="140">
        <v>41169</v>
      </c>
      <c r="R1298" s="77">
        <v>2.9</v>
      </c>
      <c r="S1298" s="77">
        <v>3.4</v>
      </c>
    </row>
    <row r="1299" spans="17:19" customFormat="1" x14ac:dyDescent="0.2">
      <c r="Q1299" s="140">
        <v>41170</v>
      </c>
      <c r="R1299" s="77">
        <v>9.6999999999999993</v>
      </c>
      <c r="S1299" s="77">
        <v>0</v>
      </c>
    </row>
    <row r="1300" spans="17:19" customFormat="1" x14ac:dyDescent="0.2">
      <c r="Q1300" s="140">
        <v>41171</v>
      </c>
      <c r="R1300" s="77">
        <v>8.1</v>
      </c>
      <c r="S1300" s="77">
        <v>2.8</v>
      </c>
    </row>
    <row r="1301" spans="17:19" customFormat="1" x14ac:dyDescent="0.2">
      <c r="Q1301" s="140">
        <v>41172</v>
      </c>
      <c r="R1301" s="77">
        <v>5.0999999999999996</v>
      </c>
      <c r="S1301" s="77">
        <v>2.9</v>
      </c>
    </row>
    <row r="1302" spans="17:19" customFormat="1" x14ac:dyDescent="0.2">
      <c r="Q1302" s="140">
        <v>41173</v>
      </c>
      <c r="R1302" s="77">
        <v>6.5</v>
      </c>
      <c r="S1302" s="77">
        <v>3.2</v>
      </c>
    </row>
    <row r="1303" spans="17:19" customFormat="1" x14ac:dyDescent="0.2">
      <c r="Q1303" s="140">
        <v>41174</v>
      </c>
      <c r="R1303" s="77">
        <v>11.8</v>
      </c>
      <c r="S1303" s="77">
        <v>0</v>
      </c>
    </row>
    <row r="1304" spans="17:19" customFormat="1" x14ac:dyDescent="0.2">
      <c r="Q1304" s="140">
        <v>41175</v>
      </c>
      <c r="R1304" s="77">
        <v>15.2</v>
      </c>
      <c r="S1304" s="77">
        <v>0.2</v>
      </c>
    </row>
    <row r="1305" spans="17:19" customFormat="1" x14ac:dyDescent="0.2">
      <c r="Q1305" s="140">
        <v>41176</v>
      </c>
      <c r="R1305" s="77">
        <v>10.8</v>
      </c>
      <c r="S1305" s="77">
        <v>1.8</v>
      </c>
    </row>
    <row r="1306" spans="17:19" customFormat="1" x14ac:dyDescent="0.2">
      <c r="Q1306" s="140">
        <v>41177</v>
      </c>
      <c r="R1306" s="77">
        <v>2.4</v>
      </c>
      <c r="S1306" s="77">
        <v>2.8</v>
      </c>
    </row>
    <row r="1307" spans="17:19" customFormat="1" x14ac:dyDescent="0.2">
      <c r="Q1307" s="140">
        <v>41178</v>
      </c>
      <c r="R1307" s="77">
        <v>0.1</v>
      </c>
      <c r="S1307" s="77">
        <v>2.8</v>
      </c>
    </row>
    <row r="1308" spans="17:19" customFormat="1" x14ac:dyDescent="0.2">
      <c r="Q1308" s="140">
        <v>41179</v>
      </c>
      <c r="R1308" s="77">
        <v>3.8</v>
      </c>
      <c r="S1308" s="77">
        <v>2.2000000000000002</v>
      </c>
    </row>
    <row r="1309" spans="17:19" customFormat="1" x14ac:dyDescent="0.2">
      <c r="Q1309" s="140">
        <v>41180</v>
      </c>
      <c r="R1309" s="77">
        <v>6.5</v>
      </c>
      <c r="S1309" s="77">
        <v>1.4</v>
      </c>
    </row>
    <row r="1310" spans="17:19" customFormat="1" x14ac:dyDescent="0.2">
      <c r="Q1310" s="140">
        <v>41181</v>
      </c>
      <c r="R1310" s="77">
        <v>8.1</v>
      </c>
      <c r="S1310" s="77">
        <v>3.1</v>
      </c>
    </row>
    <row r="1311" spans="17:19" customFormat="1" x14ac:dyDescent="0.2">
      <c r="Q1311" s="140">
        <v>41182</v>
      </c>
      <c r="R1311" s="77">
        <v>6.2</v>
      </c>
      <c r="S1311" s="77">
        <v>2.6</v>
      </c>
    </row>
    <row r="1312" spans="17:19" customFormat="1" x14ac:dyDescent="0.2">
      <c r="Q1312" s="140">
        <v>41183</v>
      </c>
      <c r="R1312" s="77">
        <v>7.7</v>
      </c>
      <c r="S1312" s="77">
        <v>0</v>
      </c>
    </row>
    <row r="1313" spans="17:19" customFormat="1" x14ac:dyDescent="0.2">
      <c r="Q1313" s="140">
        <v>41184</v>
      </c>
      <c r="R1313" s="77">
        <v>7.2</v>
      </c>
      <c r="S1313" s="77">
        <v>1.3</v>
      </c>
    </row>
    <row r="1314" spans="17:19" customFormat="1" x14ac:dyDescent="0.2">
      <c r="Q1314" s="140">
        <v>41185</v>
      </c>
      <c r="R1314" s="77">
        <v>3.3</v>
      </c>
      <c r="S1314" s="77">
        <v>1</v>
      </c>
    </row>
    <row r="1315" spans="17:19" customFormat="1" x14ac:dyDescent="0.2">
      <c r="Q1315" s="140">
        <v>41186</v>
      </c>
      <c r="R1315" s="77">
        <v>5.2</v>
      </c>
      <c r="S1315" s="77">
        <v>3.8</v>
      </c>
    </row>
    <row r="1316" spans="17:19" customFormat="1" x14ac:dyDescent="0.2">
      <c r="Q1316" s="140">
        <v>41187</v>
      </c>
      <c r="R1316" s="77">
        <v>20.2</v>
      </c>
      <c r="S1316" s="77">
        <v>0</v>
      </c>
    </row>
    <row r="1317" spans="17:19" customFormat="1" x14ac:dyDescent="0.2">
      <c r="Q1317" s="140">
        <v>41188</v>
      </c>
      <c r="R1317" s="77">
        <v>24</v>
      </c>
      <c r="S1317" s="77">
        <v>0</v>
      </c>
    </row>
    <row r="1318" spans="17:19" customFormat="1" x14ac:dyDescent="0.2">
      <c r="Q1318" s="140">
        <v>41189</v>
      </c>
      <c r="R1318" s="77">
        <v>22.3</v>
      </c>
      <c r="S1318" s="77">
        <v>0</v>
      </c>
    </row>
    <row r="1319" spans="17:19" customFormat="1" x14ac:dyDescent="0.2">
      <c r="Q1319" s="140">
        <v>41190</v>
      </c>
      <c r="R1319" s="77">
        <v>18.899999999999999</v>
      </c>
      <c r="S1319" s="77">
        <v>0</v>
      </c>
    </row>
    <row r="1320" spans="17:19" customFormat="1" x14ac:dyDescent="0.2">
      <c r="Q1320" s="140">
        <v>41191</v>
      </c>
      <c r="R1320" s="77">
        <v>11.2</v>
      </c>
      <c r="S1320" s="77">
        <v>0.1</v>
      </c>
    </row>
    <row r="1321" spans="17:19" customFormat="1" x14ac:dyDescent="0.2">
      <c r="Q1321" s="140">
        <v>41192</v>
      </c>
      <c r="R1321" s="77">
        <v>19.2</v>
      </c>
      <c r="S1321" s="77">
        <v>0</v>
      </c>
    </row>
    <row r="1322" spans="17:19" customFormat="1" x14ac:dyDescent="0.2">
      <c r="Q1322" s="140">
        <v>41193</v>
      </c>
      <c r="R1322" s="77">
        <v>13</v>
      </c>
      <c r="S1322" s="77">
        <v>0.1</v>
      </c>
    </row>
    <row r="1323" spans="17:19" customFormat="1" x14ac:dyDescent="0.2">
      <c r="Q1323" s="140">
        <v>41194</v>
      </c>
      <c r="R1323" s="77">
        <v>12.5</v>
      </c>
      <c r="S1323" s="77">
        <v>0</v>
      </c>
    </row>
    <row r="1324" spans="17:19" customFormat="1" x14ac:dyDescent="0.2">
      <c r="Q1324" s="140">
        <v>41195</v>
      </c>
      <c r="R1324" s="77">
        <v>4.7</v>
      </c>
      <c r="S1324" s="77">
        <v>1.6</v>
      </c>
    </row>
    <row r="1325" spans="17:19" customFormat="1" x14ac:dyDescent="0.2">
      <c r="Q1325" s="140">
        <v>41196</v>
      </c>
      <c r="R1325" s="77">
        <v>3.7</v>
      </c>
      <c r="S1325" s="77">
        <v>1</v>
      </c>
    </row>
    <row r="1326" spans="17:19" customFormat="1" x14ac:dyDescent="0.2">
      <c r="Q1326" s="140">
        <v>41197</v>
      </c>
      <c r="R1326" s="77">
        <v>11.6</v>
      </c>
      <c r="S1326" s="77">
        <v>0</v>
      </c>
    </row>
    <row r="1327" spans="17:19" customFormat="1" x14ac:dyDescent="0.2">
      <c r="Q1327" s="140">
        <v>41198</v>
      </c>
      <c r="R1327" s="77">
        <v>6.3</v>
      </c>
      <c r="S1327" s="77">
        <v>2.8</v>
      </c>
    </row>
    <row r="1328" spans="17:19" customFormat="1" x14ac:dyDescent="0.2">
      <c r="Q1328" s="140">
        <v>41199</v>
      </c>
      <c r="R1328" s="77">
        <v>5</v>
      </c>
      <c r="S1328" s="77">
        <v>0</v>
      </c>
    </row>
    <row r="1329" spans="17:19" customFormat="1" x14ac:dyDescent="0.2">
      <c r="Q1329" s="140">
        <v>41200</v>
      </c>
      <c r="R1329" s="77">
        <v>14.5</v>
      </c>
      <c r="S1329" s="77">
        <v>0</v>
      </c>
    </row>
    <row r="1330" spans="17:19" customFormat="1" x14ac:dyDescent="0.2">
      <c r="Q1330" s="140">
        <v>41201</v>
      </c>
      <c r="R1330" s="77">
        <v>16.5</v>
      </c>
      <c r="S1330" s="77">
        <v>0</v>
      </c>
    </row>
    <row r="1331" spans="17:19" customFormat="1" x14ac:dyDescent="0.2">
      <c r="Q1331" s="140">
        <v>41202</v>
      </c>
      <c r="R1331" s="77">
        <v>14.4</v>
      </c>
      <c r="S1331" s="77">
        <v>0</v>
      </c>
    </row>
    <row r="1332" spans="17:19" customFormat="1" x14ac:dyDescent="0.2">
      <c r="Q1332" s="140">
        <v>41203</v>
      </c>
      <c r="R1332" s="77">
        <v>8.4</v>
      </c>
      <c r="S1332" s="77">
        <v>1.5</v>
      </c>
    </row>
    <row r="1333" spans="17:19" customFormat="1" x14ac:dyDescent="0.2">
      <c r="Q1333" s="140">
        <v>41204</v>
      </c>
      <c r="R1333" s="77">
        <v>0.5</v>
      </c>
      <c r="S1333" s="77">
        <v>2.4</v>
      </c>
    </row>
    <row r="1334" spans="17:19" customFormat="1" x14ac:dyDescent="0.2">
      <c r="Q1334" s="140">
        <v>41205</v>
      </c>
      <c r="R1334" s="77">
        <v>0</v>
      </c>
      <c r="S1334" s="77">
        <v>2.7</v>
      </c>
    </row>
    <row r="1335" spans="17:19" customFormat="1" x14ac:dyDescent="0.2">
      <c r="Q1335" s="140">
        <v>41206</v>
      </c>
      <c r="R1335" s="77">
        <v>0.3</v>
      </c>
      <c r="S1335" s="77">
        <v>6.2</v>
      </c>
    </row>
    <row r="1336" spans="17:19" customFormat="1" x14ac:dyDescent="0.2">
      <c r="Q1336" s="140">
        <v>41207</v>
      </c>
      <c r="R1336" s="77">
        <v>5.6</v>
      </c>
      <c r="S1336" s="77">
        <v>3.7</v>
      </c>
    </row>
    <row r="1337" spans="17:19" customFormat="1" x14ac:dyDescent="0.2">
      <c r="Q1337" s="140">
        <v>41208</v>
      </c>
      <c r="R1337" s="77">
        <v>22</v>
      </c>
      <c r="S1337" s="77">
        <v>0</v>
      </c>
    </row>
    <row r="1338" spans="17:19" customFormat="1" x14ac:dyDescent="0.2">
      <c r="Q1338" s="140">
        <v>41209</v>
      </c>
      <c r="R1338" s="77">
        <v>25.1</v>
      </c>
      <c r="S1338" s="77">
        <v>0</v>
      </c>
    </row>
    <row r="1339" spans="17:19" customFormat="1" x14ac:dyDescent="0.2">
      <c r="Q1339" s="140">
        <v>41210</v>
      </c>
      <c r="R1339" s="77">
        <v>24.7</v>
      </c>
      <c r="S1339" s="77">
        <v>0</v>
      </c>
    </row>
    <row r="1340" spans="17:19" customFormat="1" x14ac:dyDescent="0.2">
      <c r="Q1340" s="140">
        <v>41211</v>
      </c>
      <c r="R1340" s="77">
        <v>23</v>
      </c>
      <c r="S1340" s="77">
        <v>0</v>
      </c>
    </row>
    <row r="1341" spans="17:19" customFormat="1" x14ac:dyDescent="0.2">
      <c r="Q1341" s="140">
        <v>41212</v>
      </c>
      <c r="R1341" s="77">
        <v>21.2</v>
      </c>
      <c r="S1341" s="77">
        <v>0</v>
      </c>
    </row>
    <row r="1342" spans="17:19" customFormat="1" x14ac:dyDescent="0.2">
      <c r="Q1342" s="140">
        <v>41213</v>
      </c>
      <c r="R1342" s="77">
        <v>25.2</v>
      </c>
      <c r="S1342" s="77">
        <v>0</v>
      </c>
    </row>
    <row r="1343" spans="17:19" customFormat="1" x14ac:dyDescent="0.2">
      <c r="Q1343" s="140">
        <v>41214</v>
      </c>
      <c r="R1343" s="77">
        <v>20.5</v>
      </c>
      <c r="S1343" s="77">
        <v>0</v>
      </c>
    </row>
    <row r="1344" spans="17:19" customFormat="1" x14ac:dyDescent="0.2">
      <c r="Q1344" s="140">
        <v>41215</v>
      </c>
      <c r="R1344" s="77">
        <v>22.2</v>
      </c>
      <c r="S1344" s="77">
        <v>0</v>
      </c>
    </row>
    <row r="1345" spans="17:19" customFormat="1" x14ac:dyDescent="0.2">
      <c r="Q1345" s="140">
        <v>41216</v>
      </c>
      <c r="R1345" s="77">
        <v>24.8</v>
      </c>
      <c r="S1345" s="77">
        <v>0</v>
      </c>
    </row>
    <row r="1346" spans="17:19" customFormat="1" x14ac:dyDescent="0.2">
      <c r="Q1346" s="140">
        <v>41217</v>
      </c>
      <c r="R1346" s="77">
        <v>29.9</v>
      </c>
      <c r="S1346" s="77">
        <v>0</v>
      </c>
    </row>
    <row r="1347" spans="17:19" customFormat="1" x14ac:dyDescent="0.2">
      <c r="Q1347" s="140">
        <v>41218</v>
      </c>
      <c r="R1347" s="77">
        <v>24.3</v>
      </c>
      <c r="S1347" s="77">
        <v>0</v>
      </c>
    </row>
    <row r="1348" spans="17:19" customFormat="1" x14ac:dyDescent="0.2">
      <c r="Q1348" s="140">
        <v>41219</v>
      </c>
      <c r="R1348" s="77">
        <v>23.8</v>
      </c>
      <c r="S1348" s="77">
        <v>0</v>
      </c>
    </row>
    <row r="1349" spans="17:19" customFormat="1" x14ac:dyDescent="0.2">
      <c r="Q1349" s="140">
        <v>41220</v>
      </c>
      <c r="R1349" s="77">
        <v>19</v>
      </c>
      <c r="S1349" s="77">
        <v>0</v>
      </c>
    </row>
    <row r="1350" spans="17:19" customFormat="1" x14ac:dyDescent="0.2">
      <c r="Q1350" s="140">
        <v>41221</v>
      </c>
      <c r="R1350" s="77">
        <v>20.100000000000001</v>
      </c>
      <c r="S1350" s="77">
        <v>0</v>
      </c>
    </row>
    <row r="1351" spans="17:19" customFormat="1" x14ac:dyDescent="0.2">
      <c r="Q1351" s="140">
        <v>41222</v>
      </c>
      <c r="R1351" s="77">
        <v>9.3000000000000007</v>
      </c>
      <c r="S1351" s="77">
        <v>0.2</v>
      </c>
    </row>
    <row r="1352" spans="17:19" customFormat="1" x14ac:dyDescent="0.2">
      <c r="Q1352" s="140">
        <v>41223</v>
      </c>
      <c r="R1352" s="77">
        <v>2.7</v>
      </c>
      <c r="S1352" s="77">
        <v>2.5</v>
      </c>
    </row>
    <row r="1353" spans="17:19" customFormat="1" x14ac:dyDescent="0.2">
      <c r="Q1353" s="140">
        <v>41224</v>
      </c>
      <c r="R1353" s="77">
        <v>5.6</v>
      </c>
      <c r="S1353" s="77">
        <v>0.8</v>
      </c>
    </row>
    <row r="1354" spans="17:19" customFormat="1" x14ac:dyDescent="0.2">
      <c r="Q1354" s="140">
        <v>41225</v>
      </c>
      <c r="R1354" s="77">
        <v>27.3</v>
      </c>
      <c r="S1354" s="77">
        <v>0</v>
      </c>
    </row>
    <row r="1355" spans="17:19" customFormat="1" x14ac:dyDescent="0.2">
      <c r="Q1355" s="140">
        <v>41226</v>
      </c>
      <c r="R1355" s="77">
        <v>28.1</v>
      </c>
      <c r="S1355" s="77">
        <v>0</v>
      </c>
    </row>
    <row r="1356" spans="17:19" customFormat="1" x14ac:dyDescent="0.2">
      <c r="Q1356" s="140">
        <v>41227</v>
      </c>
      <c r="R1356" s="77">
        <v>25.8</v>
      </c>
      <c r="S1356" s="77">
        <v>0</v>
      </c>
    </row>
    <row r="1357" spans="17:19" customFormat="1" x14ac:dyDescent="0.2">
      <c r="Q1357" s="140">
        <v>41228</v>
      </c>
      <c r="R1357" s="77">
        <v>26</v>
      </c>
      <c r="S1357" s="77">
        <v>0</v>
      </c>
    </row>
    <row r="1358" spans="17:19" customFormat="1" x14ac:dyDescent="0.2">
      <c r="Q1358" s="140">
        <v>41229</v>
      </c>
      <c r="R1358" s="77">
        <v>21.3</v>
      </c>
      <c r="S1358" s="77">
        <v>0</v>
      </c>
    </row>
    <row r="1359" spans="17:19" customFormat="1" x14ac:dyDescent="0.2">
      <c r="Q1359" s="140">
        <v>41230</v>
      </c>
      <c r="R1359" s="77">
        <v>21.9</v>
      </c>
      <c r="S1359" s="77">
        <v>0</v>
      </c>
    </row>
    <row r="1360" spans="17:19" customFormat="1" x14ac:dyDescent="0.2">
      <c r="Q1360" s="140">
        <v>41231</v>
      </c>
      <c r="R1360" s="77">
        <v>20.2</v>
      </c>
      <c r="S1360" s="77">
        <v>0</v>
      </c>
    </row>
    <row r="1361" spans="17:19" customFormat="1" x14ac:dyDescent="0.2">
      <c r="Q1361" s="140">
        <v>41232</v>
      </c>
      <c r="R1361" s="77">
        <v>14.3</v>
      </c>
      <c r="S1361" s="77">
        <v>0</v>
      </c>
    </row>
    <row r="1362" spans="17:19" customFormat="1" x14ac:dyDescent="0.2">
      <c r="Q1362" s="140">
        <v>41233</v>
      </c>
      <c r="R1362" s="77">
        <v>10.8</v>
      </c>
      <c r="S1362" s="77">
        <v>0</v>
      </c>
    </row>
    <row r="1363" spans="17:19" customFormat="1" x14ac:dyDescent="0.2">
      <c r="Q1363" s="140">
        <v>41234</v>
      </c>
      <c r="R1363" s="77">
        <v>16.8</v>
      </c>
      <c r="S1363" s="77">
        <v>0</v>
      </c>
    </row>
    <row r="1364" spans="17:19" customFormat="1" x14ac:dyDescent="0.2">
      <c r="Q1364" s="140">
        <v>41235</v>
      </c>
      <c r="R1364" s="77">
        <v>8.4</v>
      </c>
      <c r="S1364" s="77">
        <v>0</v>
      </c>
    </row>
    <row r="1365" spans="17:19" customFormat="1" x14ac:dyDescent="0.2">
      <c r="Q1365" s="140">
        <v>41236</v>
      </c>
      <c r="R1365" s="77">
        <v>26.2</v>
      </c>
      <c r="S1365" s="77">
        <v>0</v>
      </c>
    </row>
    <row r="1366" spans="17:19" customFormat="1" x14ac:dyDescent="0.2">
      <c r="Q1366" s="140">
        <v>41237</v>
      </c>
      <c r="R1366" s="77">
        <v>34.200000000000003</v>
      </c>
      <c r="S1366" s="77">
        <v>0</v>
      </c>
    </row>
    <row r="1367" spans="17:19" customFormat="1" x14ac:dyDescent="0.2">
      <c r="Q1367" s="140">
        <v>41238</v>
      </c>
      <c r="R1367" s="77">
        <v>22.4</v>
      </c>
      <c r="S1367" s="77">
        <v>0</v>
      </c>
    </row>
    <row r="1368" spans="17:19" customFormat="1" x14ac:dyDescent="0.2">
      <c r="Q1368" s="140">
        <v>41239</v>
      </c>
      <c r="R1368" s="77">
        <v>29.7</v>
      </c>
      <c r="S1368" s="77">
        <v>0</v>
      </c>
    </row>
    <row r="1369" spans="17:19" customFormat="1" x14ac:dyDescent="0.2">
      <c r="Q1369" s="140">
        <v>41240</v>
      </c>
      <c r="R1369" s="77">
        <v>34.9</v>
      </c>
      <c r="S1369" s="77">
        <v>0</v>
      </c>
    </row>
    <row r="1370" spans="17:19" customFormat="1" x14ac:dyDescent="0.2">
      <c r="Q1370" s="140">
        <v>41241</v>
      </c>
      <c r="R1370" s="77">
        <v>27.7</v>
      </c>
      <c r="S1370" s="77">
        <v>0</v>
      </c>
    </row>
    <row r="1371" spans="17:19" customFormat="1" x14ac:dyDescent="0.2">
      <c r="Q1371" s="140">
        <v>41242</v>
      </c>
      <c r="R1371" s="77">
        <v>18.8</v>
      </c>
      <c r="S1371" s="77">
        <v>0</v>
      </c>
    </row>
    <row r="1372" spans="17:19" customFormat="1" x14ac:dyDescent="0.2">
      <c r="Q1372" s="140">
        <v>41243</v>
      </c>
      <c r="R1372" s="77">
        <v>13.9</v>
      </c>
      <c r="S1372" s="77">
        <v>0</v>
      </c>
    </row>
    <row r="1373" spans="17:19" customFormat="1" x14ac:dyDescent="0.2">
      <c r="Q1373" s="140">
        <v>41244</v>
      </c>
      <c r="R1373" s="77">
        <v>8</v>
      </c>
      <c r="S1373" s="77">
        <v>0.2</v>
      </c>
    </row>
    <row r="1374" spans="17:19" customFormat="1" x14ac:dyDescent="0.2">
      <c r="Q1374" s="140">
        <v>41245</v>
      </c>
      <c r="R1374" s="77">
        <v>4.0999999999999996</v>
      </c>
      <c r="S1374" s="77">
        <v>0.7</v>
      </c>
    </row>
    <row r="1375" spans="17:19" customFormat="1" x14ac:dyDescent="0.2">
      <c r="Q1375" s="140">
        <v>41246</v>
      </c>
      <c r="R1375" s="77">
        <v>1.7</v>
      </c>
      <c r="S1375" s="77">
        <v>1.8</v>
      </c>
    </row>
    <row r="1376" spans="17:19" customFormat="1" x14ac:dyDescent="0.2">
      <c r="Q1376" s="140">
        <v>41247</v>
      </c>
      <c r="R1376" s="77">
        <v>14.1</v>
      </c>
      <c r="S1376" s="77">
        <v>0</v>
      </c>
    </row>
    <row r="1377" spans="17:19" customFormat="1" x14ac:dyDescent="0.2">
      <c r="Q1377" s="140">
        <v>41248</v>
      </c>
      <c r="R1377" s="77">
        <v>22.8</v>
      </c>
      <c r="S1377" s="77">
        <v>0</v>
      </c>
    </row>
    <row r="1378" spans="17:19" customFormat="1" x14ac:dyDescent="0.2">
      <c r="Q1378" s="140">
        <v>41249</v>
      </c>
      <c r="R1378" s="77">
        <v>19.3</v>
      </c>
      <c r="S1378" s="77">
        <v>0</v>
      </c>
    </row>
    <row r="1379" spans="17:19" customFormat="1" x14ac:dyDescent="0.2">
      <c r="Q1379" s="140">
        <v>41250</v>
      </c>
      <c r="R1379" s="77">
        <v>16.3</v>
      </c>
      <c r="S1379" s="77">
        <v>0</v>
      </c>
    </row>
    <row r="1380" spans="17:19" customFormat="1" x14ac:dyDescent="0.2">
      <c r="Q1380" s="140">
        <v>41251</v>
      </c>
      <c r="R1380" s="77">
        <v>20.100000000000001</v>
      </c>
      <c r="S1380" s="77">
        <v>0</v>
      </c>
    </row>
    <row r="1381" spans="17:19" customFormat="1" x14ac:dyDescent="0.2">
      <c r="Q1381" s="140">
        <v>41252</v>
      </c>
      <c r="R1381" s="77">
        <v>20</v>
      </c>
      <c r="S1381" s="77">
        <v>0</v>
      </c>
    </row>
    <row r="1382" spans="17:19" customFormat="1" x14ac:dyDescent="0.2">
      <c r="Q1382" s="140">
        <v>41253</v>
      </c>
      <c r="R1382" s="77">
        <v>34.299999999999997</v>
      </c>
      <c r="S1382" s="77">
        <v>0</v>
      </c>
    </row>
    <row r="1383" spans="17:19" customFormat="1" x14ac:dyDescent="0.2">
      <c r="Q1383" s="140">
        <v>41254</v>
      </c>
      <c r="R1383" s="77">
        <v>33.799999999999997</v>
      </c>
      <c r="S1383" s="77">
        <v>0</v>
      </c>
    </row>
    <row r="1384" spans="17:19" customFormat="1" x14ac:dyDescent="0.2">
      <c r="Q1384" s="140">
        <v>41255</v>
      </c>
      <c r="R1384" s="77">
        <v>27.3</v>
      </c>
      <c r="S1384" s="77">
        <v>0</v>
      </c>
    </row>
    <row r="1385" spans="17:19" customFormat="1" x14ac:dyDescent="0.2">
      <c r="Q1385" s="140">
        <v>41256</v>
      </c>
      <c r="R1385" s="77">
        <v>24.1</v>
      </c>
      <c r="S1385" s="77">
        <v>0</v>
      </c>
    </row>
    <row r="1386" spans="17:19" customFormat="1" x14ac:dyDescent="0.2">
      <c r="Q1386" s="140">
        <v>41257</v>
      </c>
      <c r="R1386" s="77">
        <v>20.5</v>
      </c>
      <c r="S1386" s="77">
        <v>0</v>
      </c>
    </row>
    <row r="1387" spans="17:19" customFormat="1" x14ac:dyDescent="0.2">
      <c r="Q1387" s="140">
        <v>41258</v>
      </c>
      <c r="R1387" s="77">
        <v>16.3</v>
      </c>
      <c r="S1387" s="77">
        <v>0</v>
      </c>
    </row>
    <row r="1388" spans="17:19" customFormat="1" x14ac:dyDescent="0.2">
      <c r="Q1388" s="140">
        <v>41259</v>
      </c>
      <c r="R1388" s="77">
        <v>21.3</v>
      </c>
      <c r="S1388" s="77">
        <v>0</v>
      </c>
    </row>
    <row r="1389" spans="17:19" customFormat="1" x14ac:dyDescent="0.2">
      <c r="Q1389" s="140">
        <v>41260</v>
      </c>
      <c r="R1389" s="77">
        <v>29.1</v>
      </c>
      <c r="S1389" s="77">
        <v>0</v>
      </c>
    </row>
    <row r="1390" spans="17:19" customFormat="1" x14ac:dyDescent="0.2">
      <c r="Q1390" s="140">
        <v>41261</v>
      </c>
      <c r="R1390" s="77">
        <v>25.8</v>
      </c>
      <c r="S1390" s="77">
        <v>0</v>
      </c>
    </row>
    <row r="1391" spans="17:19" customFormat="1" x14ac:dyDescent="0.2">
      <c r="Q1391" s="140">
        <v>41262</v>
      </c>
      <c r="R1391" s="77">
        <v>27.3</v>
      </c>
      <c r="S1391" s="77">
        <v>0</v>
      </c>
    </row>
    <row r="1392" spans="17:19" customFormat="1" x14ac:dyDescent="0.2">
      <c r="Q1392" s="140">
        <v>41263</v>
      </c>
      <c r="R1392" s="77">
        <v>25.7</v>
      </c>
      <c r="S1392" s="77">
        <v>0</v>
      </c>
    </row>
    <row r="1393" spans="17:19" customFormat="1" x14ac:dyDescent="0.2">
      <c r="Q1393" s="140">
        <v>41264</v>
      </c>
      <c r="R1393" s="77">
        <v>41.5</v>
      </c>
      <c r="S1393" s="77">
        <v>0</v>
      </c>
    </row>
    <row r="1394" spans="17:19" customFormat="1" x14ac:dyDescent="0.2">
      <c r="Q1394" s="140">
        <v>41265</v>
      </c>
      <c r="R1394" s="77">
        <v>39</v>
      </c>
      <c r="S1394" s="77">
        <v>0</v>
      </c>
    </row>
    <row r="1395" spans="17:19" customFormat="1" x14ac:dyDescent="0.2">
      <c r="Q1395" s="140">
        <v>41266</v>
      </c>
      <c r="R1395" s="77">
        <v>34.9</v>
      </c>
      <c r="S1395" s="77">
        <v>0</v>
      </c>
    </row>
    <row r="1396" spans="17:19" customFormat="1" x14ac:dyDescent="0.2">
      <c r="Q1396" s="140">
        <v>41267</v>
      </c>
      <c r="R1396" s="77">
        <v>37.799999999999997</v>
      </c>
      <c r="S1396" s="77">
        <v>0</v>
      </c>
    </row>
    <row r="1397" spans="17:19" customFormat="1" x14ac:dyDescent="0.2">
      <c r="Q1397" s="140">
        <v>41268</v>
      </c>
      <c r="R1397" s="77">
        <v>38.200000000000003</v>
      </c>
      <c r="S1397" s="77">
        <v>0</v>
      </c>
    </row>
    <row r="1398" spans="17:19" customFormat="1" x14ac:dyDescent="0.2">
      <c r="Q1398" s="140">
        <v>41269</v>
      </c>
      <c r="R1398" s="77">
        <v>36.1</v>
      </c>
      <c r="S1398" s="77">
        <v>0</v>
      </c>
    </row>
    <row r="1399" spans="17:19" customFormat="1" x14ac:dyDescent="0.2">
      <c r="Q1399" s="140">
        <v>41270</v>
      </c>
      <c r="R1399" s="77">
        <v>37</v>
      </c>
      <c r="S1399" s="77">
        <v>0</v>
      </c>
    </row>
    <row r="1400" spans="17:19" customFormat="1" x14ac:dyDescent="0.2">
      <c r="Q1400" s="140">
        <v>41271</v>
      </c>
      <c r="R1400" s="77">
        <v>34</v>
      </c>
      <c r="S1400" s="77">
        <v>0</v>
      </c>
    </row>
    <row r="1401" spans="17:19" customFormat="1" x14ac:dyDescent="0.2">
      <c r="Q1401" s="140">
        <v>41272</v>
      </c>
      <c r="R1401" s="77">
        <v>39.4</v>
      </c>
      <c r="S1401" s="77">
        <v>0</v>
      </c>
    </row>
    <row r="1402" spans="17:19" customFormat="1" x14ac:dyDescent="0.2">
      <c r="Q1402" s="140">
        <v>41273</v>
      </c>
      <c r="R1402" s="77">
        <v>36.299999999999997</v>
      </c>
      <c r="S1402" s="77">
        <v>0</v>
      </c>
    </row>
    <row r="1403" spans="17:19" customFormat="1" x14ac:dyDescent="0.2">
      <c r="Q1403" s="140">
        <v>41274</v>
      </c>
      <c r="R1403" s="77">
        <v>33.799999999999997</v>
      </c>
      <c r="S1403" s="77">
        <v>0</v>
      </c>
    </row>
    <row r="1404" spans="17:19" customFormat="1" x14ac:dyDescent="0.2">
      <c r="Q1404" s="140">
        <v>41275</v>
      </c>
      <c r="R1404" s="77">
        <v>47.4</v>
      </c>
      <c r="S1404" s="77">
        <v>0</v>
      </c>
    </row>
    <row r="1405" spans="17:19" customFormat="1" x14ac:dyDescent="0.2">
      <c r="Q1405" s="140">
        <v>41276</v>
      </c>
      <c r="R1405" s="77">
        <v>49.2</v>
      </c>
      <c r="S1405" s="77">
        <v>0</v>
      </c>
    </row>
    <row r="1406" spans="17:19" customFormat="1" x14ac:dyDescent="0.2">
      <c r="Q1406" s="140">
        <v>41277</v>
      </c>
      <c r="R1406" s="77">
        <v>39.700000000000003</v>
      </c>
      <c r="S1406" s="77">
        <v>0</v>
      </c>
    </row>
    <row r="1407" spans="17:19" customFormat="1" x14ac:dyDescent="0.2">
      <c r="Q1407" s="140">
        <v>41278</v>
      </c>
      <c r="R1407" s="77">
        <v>41.1</v>
      </c>
      <c r="S1407" s="77">
        <v>0</v>
      </c>
    </row>
    <row r="1408" spans="17:19" customFormat="1" x14ac:dyDescent="0.2">
      <c r="Q1408" s="140">
        <v>41279</v>
      </c>
      <c r="R1408" s="77">
        <v>32.299999999999997</v>
      </c>
      <c r="S1408" s="77">
        <v>0</v>
      </c>
    </row>
    <row r="1409" spans="17:19" customFormat="1" x14ac:dyDescent="0.2">
      <c r="Q1409" s="140">
        <v>41280</v>
      </c>
      <c r="R1409" s="77">
        <v>35.700000000000003</v>
      </c>
      <c r="S1409" s="77">
        <v>0</v>
      </c>
    </row>
    <row r="1410" spans="17:19" customFormat="1" x14ac:dyDescent="0.2">
      <c r="Q1410" s="140">
        <v>41281</v>
      </c>
      <c r="R1410" s="77">
        <v>34.9</v>
      </c>
      <c r="S1410" s="77">
        <v>0</v>
      </c>
    </row>
    <row r="1411" spans="17:19" customFormat="1" x14ac:dyDescent="0.2">
      <c r="Q1411" s="140">
        <v>41282</v>
      </c>
      <c r="R1411" s="77">
        <v>27.8</v>
      </c>
      <c r="S1411" s="77">
        <v>0</v>
      </c>
    </row>
    <row r="1412" spans="17:19" customFormat="1" x14ac:dyDescent="0.2">
      <c r="Q1412" s="140">
        <v>41283</v>
      </c>
      <c r="R1412" s="77">
        <v>25.1</v>
      </c>
      <c r="S1412" s="77">
        <v>0</v>
      </c>
    </row>
    <row r="1413" spans="17:19" customFormat="1" x14ac:dyDescent="0.2">
      <c r="Q1413" s="140">
        <v>41284</v>
      </c>
      <c r="R1413" s="77">
        <v>24.5</v>
      </c>
      <c r="S1413" s="77">
        <v>0</v>
      </c>
    </row>
    <row r="1414" spans="17:19" customFormat="1" x14ac:dyDescent="0.2">
      <c r="Q1414" s="140">
        <v>41285</v>
      </c>
      <c r="R1414" s="77">
        <v>11.3</v>
      </c>
      <c r="S1414" s="77">
        <v>0</v>
      </c>
    </row>
    <row r="1415" spans="17:19" customFormat="1" x14ac:dyDescent="0.2">
      <c r="Q1415" s="140">
        <v>41286</v>
      </c>
      <c r="R1415" s="77">
        <v>20.8</v>
      </c>
      <c r="S1415" s="77">
        <v>0</v>
      </c>
    </row>
    <row r="1416" spans="17:19" customFormat="1" x14ac:dyDescent="0.2">
      <c r="Q1416" s="140">
        <v>41287</v>
      </c>
      <c r="R1416" s="77">
        <v>43.7</v>
      </c>
      <c r="S1416" s="77">
        <v>0</v>
      </c>
    </row>
    <row r="1417" spans="17:19" customFormat="1" x14ac:dyDescent="0.2">
      <c r="Q1417" s="140">
        <v>41288</v>
      </c>
      <c r="R1417" s="77">
        <v>47.3</v>
      </c>
      <c r="S1417" s="77">
        <v>0</v>
      </c>
    </row>
    <row r="1418" spans="17:19" customFormat="1" x14ac:dyDescent="0.2">
      <c r="Q1418" s="140">
        <v>41289</v>
      </c>
      <c r="R1418" s="77">
        <v>44.1</v>
      </c>
      <c r="S1418" s="77">
        <v>0</v>
      </c>
    </row>
    <row r="1419" spans="17:19" customFormat="1" x14ac:dyDescent="0.2">
      <c r="Q1419" s="140">
        <v>41290</v>
      </c>
      <c r="R1419" s="77">
        <v>35.700000000000003</v>
      </c>
      <c r="S1419" s="77">
        <v>0</v>
      </c>
    </row>
    <row r="1420" spans="17:19" customFormat="1" x14ac:dyDescent="0.2">
      <c r="Q1420" s="140">
        <v>41291</v>
      </c>
      <c r="R1420" s="77">
        <v>33.700000000000003</v>
      </c>
      <c r="S1420" s="77">
        <v>0</v>
      </c>
    </row>
    <row r="1421" spans="17:19" customFormat="1" x14ac:dyDescent="0.2">
      <c r="Q1421" s="140">
        <v>41292</v>
      </c>
      <c r="R1421" s="77">
        <v>30.6</v>
      </c>
      <c r="S1421" s="77">
        <v>0</v>
      </c>
    </row>
    <row r="1422" spans="17:19" customFormat="1" x14ac:dyDescent="0.2">
      <c r="Q1422" s="140">
        <v>41293</v>
      </c>
      <c r="R1422" s="77">
        <v>21.5</v>
      </c>
      <c r="S1422" s="77">
        <v>0</v>
      </c>
    </row>
    <row r="1423" spans="17:19" customFormat="1" x14ac:dyDescent="0.2">
      <c r="Q1423" s="140">
        <v>41294</v>
      </c>
      <c r="R1423" s="77">
        <v>41.7</v>
      </c>
      <c r="S1423" s="77">
        <v>0</v>
      </c>
    </row>
    <row r="1424" spans="17:19" customFormat="1" x14ac:dyDescent="0.2">
      <c r="Q1424" s="140">
        <v>41295</v>
      </c>
      <c r="R1424" s="77">
        <v>51.6</v>
      </c>
      <c r="S1424" s="77">
        <v>0</v>
      </c>
    </row>
    <row r="1425" spans="17:19" customFormat="1" x14ac:dyDescent="0.2">
      <c r="Q1425" s="140">
        <v>41296</v>
      </c>
      <c r="R1425" s="77">
        <v>54.5</v>
      </c>
      <c r="S1425" s="77">
        <v>0</v>
      </c>
    </row>
    <row r="1426" spans="17:19" customFormat="1" x14ac:dyDescent="0.2">
      <c r="Q1426" s="140">
        <v>41297</v>
      </c>
      <c r="R1426" s="77">
        <v>49.4</v>
      </c>
      <c r="S1426" s="77">
        <v>0</v>
      </c>
    </row>
    <row r="1427" spans="17:19" customFormat="1" x14ac:dyDescent="0.2">
      <c r="Q1427" s="140">
        <v>41298</v>
      </c>
      <c r="R1427" s="77">
        <v>44.2</v>
      </c>
      <c r="S1427" s="77">
        <v>0</v>
      </c>
    </row>
    <row r="1428" spans="17:19" customFormat="1" x14ac:dyDescent="0.2">
      <c r="Q1428" s="140">
        <v>41299</v>
      </c>
      <c r="R1428" s="77">
        <v>35.700000000000003</v>
      </c>
      <c r="S1428" s="77">
        <v>0</v>
      </c>
    </row>
    <row r="1429" spans="17:19" customFormat="1" x14ac:dyDescent="0.2">
      <c r="Q1429" s="140">
        <v>41300</v>
      </c>
      <c r="R1429" s="77">
        <v>40.6</v>
      </c>
      <c r="S1429" s="77">
        <v>0</v>
      </c>
    </row>
    <row r="1430" spans="17:19" customFormat="1" x14ac:dyDescent="0.2">
      <c r="Q1430" s="140">
        <v>41301</v>
      </c>
      <c r="R1430" s="77">
        <v>31.5</v>
      </c>
      <c r="S1430" s="77">
        <v>0</v>
      </c>
    </row>
    <row r="1431" spans="17:19" customFormat="1" x14ac:dyDescent="0.2">
      <c r="Q1431" s="140">
        <v>41302</v>
      </c>
      <c r="R1431" s="77">
        <v>9.3000000000000007</v>
      </c>
      <c r="S1431" s="77">
        <v>0</v>
      </c>
    </row>
    <row r="1432" spans="17:19" customFormat="1" x14ac:dyDescent="0.2">
      <c r="Q1432" s="140">
        <v>41303</v>
      </c>
      <c r="R1432" s="77">
        <v>6.2</v>
      </c>
      <c r="S1432" s="77">
        <v>0</v>
      </c>
    </row>
    <row r="1433" spans="17:19" customFormat="1" x14ac:dyDescent="0.2">
      <c r="Q1433" s="140">
        <v>41304</v>
      </c>
      <c r="R1433" s="77">
        <v>28.5</v>
      </c>
      <c r="S1433" s="77">
        <v>0</v>
      </c>
    </row>
    <row r="1434" spans="17:19" customFormat="1" x14ac:dyDescent="0.2">
      <c r="Q1434" s="140">
        <v>41305</v>
      </c>
      <c r="R1434" s="77">
        <v>45.9</v>
      </c>
      <c r="S1434" s="77">
        <v>0</v>
      </c>
    </row>
    <row r="1435" spans="17:19" customFormat="1" x14ac:dyDescent="0.2">
      <c r="Q1435" s="140">
        <v>41306</v>
      </c>
      <c r="R1435" s="77">
        <v>51.4</v>
      </c>
      <c r="S1435" s="77">
        <v>0</v>
      </c>
    </row>
    <row r="1436" spans="17:19" customFormat="1" x14ac:dyDescent="0.2">
      <c r="Q1436" s="140">
        <v>41307</v>
      </c>
      <c r="R1436" s="77">
        <v>39.6</v>
      </c>
      <c r="S1436" s="77">
        <v>0</v>
      </c>
    </row>
    <row r="1437" spans="17:19" customFormat="1" x14ac:dyDescent="0.2">
      <c r="Q1437" s="140">
        <v>41308</v>
      </c>
      <c r="R1437" s="77">
        <v>38.299999999999997</v>
      </c>
      <c r="S1437" s="77">
        <v>0</v>
      </c>
    </row>
    <row r="1438" spans="17:19" customFormat="1" x14ac:dyDescent="0.2">
      <c r="Q1438" s="140">
        <v>41309</v>
      </c>
      <c r="R1438" s="77">
        <v>31.6</v>
      </c>
      <c r="S1438" s="77">
        <v>0</v>
      </c>
    </row>
    <row r="1439" spans="17:19" customFormat="1" x14ac:dyDescent="0.2">
      <c r="Q1439" s="140">
        <v>41310</v>
      </c>
      <c r="R1439" s="77">
        <v>31.2</v>
      </c>
      <c r="S1439" s="77">
        <v>0</v>
      </c>
    </row>
    <row r="1440" spans="17:19" customFormat="1" x14ac:dyDescent="0.2">
      <c r="Q1440" s="140">
        <v>41311</v>
      </c>
      <c r="R1440" s="77">
        <v>29.5</v>
      </c>
      <c r="S1440" s="77">
        <v>0</v>
      </c>
    </row>
    <row r="1441" spans="17:19" customFormat="1" x14ac:dyDescent="0.2">
      <c r="Q1441" s="140">
        <v>41312</v>
      </c>
      <c r="R1441" s="77">
        <v>26.5</v>
      </c>
      <c r="S1441" s="77">
        <v>0</v>
      </c>
    </row>
    <row r="1442" spans="17:19" customFormat="1" x14ac:dyDescent="0.2">
      <c r="Q1442" s="140">
        <v>41313</v>
      </c>
      <c r="R1442" s="77">
        <v>34.299999999999997</v>
      </c>
      <c r="S1442" s="77">
        <v>0</v>
      </c>
    </row>
    <row r="1443" spans="17:19" customFormat="1" x14ac:dyDescent="0.2">
      <c r="Q1443" s="140">
        <v>41314</v>
      </c>
      <c r="R1443" s="77">
        <v>31.6</v>
      </c>
      <c r="S1443" s="77">
        <v>0</v>
      </c>
    </row>
    <row r="1444" spans="17:19" customFormat="1" x14ac:dyDescent="0.2">
      <c r="Q1444" s="140">
        <v>41315</v>
      </c>
      <c r="R1444" s="77">
        <v>20.7</v>
      </c>
      <c r="S1444" s="77">
        <v>0</v>
      </c>
    </row>
    <row r="1445" spans="17:19" customFormat="1" x14ac:dyDescent="0.2">
      <c r="Q1445" s="140">
        <v>41316</v>
      </c>
      <c r="R1445" s="77">
        <v>27.6</v>
      </c>
      <c r="S1445" s="77">
        <v>0</v>
      </c>
    </row>
    <row r="1446" spans="17:19" customFormat="1" x14ac:dyDescent="0.2">
      <c r="Q1446" s="140">
        <v>41317</v>
      </c>
      <c r="R1446" s="77">
        <v>34</v>
      </c>
      <c r="S1446" s="77">
        <v>0</v>
      </c>
    </row>
    <row r="1447" spans="17:19" customFormat="1" x14ac:dyDescent="0.2">
      <c r="Q1447" s="140">
        <v>41318</v>
      </c>
      <c r="R1447" s="77">
        <v>27.5</v>
      </c>
      <c r="S1447" s="77">
        <v>0</v>
      </c>
    </row>
    <row r="1448" spans="17:19" customFormat="1" x14ac:dyDescent="0.2">
      <c r="Q1448" s="140">
        <v>41319</v>
      </c>
      <c r="R1448" s="77">
        <v>26</v>
      </c>
      <c r="S1448" s="77">
        <v>0</v>
      </c>
    </row>
    <row r="1449" spans="17:19" customFormat="1" x14ac:dyDescent="0.2">
      <c r="Q1449" s="140">
        <v>41320</v>
      </c>
      <c r="R1449" s="77">
        <v>34.799999999999997</v>
      </c>
      <c r="S1449" s="77">
        <v>0</v>
      </c>
    </row>
    <row r="1450" spans="17:19" customFormat="1" x14ac:dyDescent="0.2">
      <c r="Q1450" s="140">
        <v>41321</v>
      </c>
      <c r="R1450" s="77">
        <v>41.8</v>
      </c>
      <c r="S1450" s="77">
        <v>0</v>
      </c>
    </row>
    <row r="1451" spans="17:19" customFormat="1" x14ac:dyDescent="0.2">
      <c r="Q1451" s="140">
        <v>41322</v>
      </c>
      <c r="R1451" s="77">
        <v>36.700000000000003</v>
      </c>
      <c r="S1451" s="77">
        <v>0</v>
      </c>
    </row>
    <row r="1452" spans="17:19" customFormat="1" x14ac:dyDescent="0.2">
      <c r="Q1452" s="140">
        <v>41323</v>
      </c>
      <c r="R1452" s="77">
        <v>22.7</v>
      </c>
      <c r="S1452" s="77">
        <v>0</v>
      </c>
    </row>
    <row r="1453" spans="17:19" customFormat="1" x14ac:dyDescent="0.2">
      <c r="Q1453" s="140">
        <v>41324</v>
      </c>
      <c r="R1453" s="77">
        <v>41.7</v>
      </c>
      <c r="S1453" s="77">
        <v>0</v>
      </c>
    </row>
    <row r="1454" spans="17:19" customFormat="1" x14ac:dyDescent="0.2">
      <c r="Q1454" s="140">
        <v>41325</v>
      </c>
      <c r="R1454" s="77">
        <v>46.8</v>
      </c>
      <c r="S1454" s="77">
        <v>0</v>
      </c>
    </row>
    <row r="1455" spans="17:19" customFormat="1" x14ac:dyDescent="0.2">
      <c r="Q1455" s="140">
        <v>41326</v>
      </c>
      <c r="R1455" s="77">
        <v>41.2</v>
      </c>
      <c r="S1455" s="77">
        <v>0</v>
      </c>
    </row>
    <row r="1456" spans="17:19" customFormat="1" x14ac:dyDescent="0.2">
      <c r="Q1456" s="140">
        <v>41327</v>
      </c>
      <c r="R1456" s="77">
        <v>34.1</v>
      </c>
      <c r="S1456" s="77">
        <v>0</v>
      </c>
    </row>
    <row r="1457" spans="17:19" customFormat="1" x14ac:dyDescent="0.2">
      <c r="Q1457" s="140">
        <v>41328</v>
      </c>
      <c r="R1457" s="77">
        <v>42.3</v>
      </c>
      <c r="S1457" s="77">
        <v>0</v>
      </c>
    </row>
    <row r="1458" spans="17:19" customFormat="1" x14ac:dyDescent="0.2">
      <c r="Q1458" s="140">
        <v>41329</v>
      </c>
      <c r="R1458" s="77">
        <v>37.5</v>
      </c>
      <c r="S1458" s="77">
        <v>0</v>
      </c>
    </row>
    <row r="1459" spans="17:19" customFormat="1" x14ac:dyDescent="0.2">
      <c r="Q1459" s="140">
        <v>41330</v>
      </c>
      <c r="R1459" s="77">
        <v>30</v>
      </c>
      <c r="S1459" s="77">
        <v>0</v>
      </c>
    </row>
    <row r="1460" spans="17:19" customFormat="1" x14ac:dyDescent="0.2">
      <c r="Q1460" s="140">
        <v>41331</v>
      </c>
      <c r="R1460" s="77">
        <v>31.4</v>
      </c>
      <c r="S1460" s="77">
        <v>0</v>
      </c>
    </row>
    <row r="1461" spans="17:19" customFormat="1" x14ac:dyDescent="0.2">
      <c r="Q1461" s="140">
        <v>41332</v>
      </c>
      <c r="R1461" s="77">
        <v>33.200000000000003</v>
      </c>
      <c r="S1461" s="77">
        <v>0</v>
      </c>
    </row>
    <row r="1462" spans="17:19" customFormat="1" x14ac:dyDescent="0.2">
      <c r="Q1462" s="140">
        <v>41333</v>
      </c>
      <c r="R1462" s="77">
        <v>32.299999999999997</v>
      </c>
      <c r="S1462" s="77">
        <v>0</v>
      </c>
    </row>
    <row r="1463" spans="17:19" customFormat="1" x14ac:dyDescent="0.2">
      <c r="Q1463" s="140">
        <v>41334</v>
      </c>
      <c r="R1463" s="77">
        <v>36.1</v>
      </c>
      <c r="S1463" s="77">
        <v>0</v>
      </c>
    </row>
    <row r="1464" spans="17:19" customFormat="1" x14ac:dyDescent="0.2">
      <c r="Q1464" s="140">
        <v>41335</v>
      </c>
      <c r="R1464" s="77">
        <v>39.1</v>
      </c>
      <c r="S1464" s="77">
        <v>0</v>
      </c>
    </row>
    <row r="1465" spans="17:19" customFormat="1" x14ac:dyDescent="0.2">
      <c r="Q1465" s="140">
        <v>41336</v>
      </c>
      <c r="R1465" s="77">
        <v>39.9</v>
      </c>
      <c r="S1465" s="77">
        <v>0</v>
      </c>
    </row>
    <row r="1466" spans="17:19" customFormat="1" x14ac:dyDescent="0.2">
      <c r="Q1466" s="140">
        <v>41337</v>
      </c>
      <c r="R1466" s="77">
        <v>31</v>
      </c>
      <c r="S1466" s="77">
        <v>0</v>
      </c>
    </row>
    <row r="1467" spans="17:19" customFormat="1" x14ac:dyDescent="0.2">
      <c r="Q1467" s="140">
        <v>41338</v>
      </c>
      <c r="R1467" s="77">
        <v>32.6</v>
      </c>
      <c r="S1467" s="77">
        <v>0</v>
      </c>
    </row>
    <row r="1468" spans="17:19" customFormat="1" x14ac:dyDescent="0.2">
      <c r="Q1468" s="140">
        <v>41339</v>
      </c>
      <c r="R1468" s="77">
        <v>36.299999999999997</v>
      </c>
      <c r="S1468" s="77">
        <v>0</v>
      </c>
    </row>
    <row r="1469" spans="17:19" customFormat="1" x14ac:dyDescent="0.2">
      <c r="Q1469" s="140">
        <v>41340</v>
      </c>
      <c r="R1469" s="77">
        <v>34.200000000000003</v>
      </c>
      <c r="S1469" s="77">
        <v>0</v>
      </c>
    </row>
    <row r="1470" spans="17:19" customFormat="1" x14ac:dyDescent="0.2">
      <c r="Q1470" s="140">
        <v>41341</v>
      </c>
      <c r="R1470" s="77">
        <v>27.4</v>
      </c>
      <c r="S1470" s="77">
        <v>0</v>
      </c>
    </row>
    <row r="1471" spans="17:19" customFormat="1" x14ac:dyDescent="0.2">
      <c r="Q1471" s="140">
        <v>41342</v>
      </c>
      <c r="R1471" s="77">
        <v>18.7</v>
      </c>
      <c r="S1471" s="77">
        <v>0</v>
      </c>
    </row>
    <row r="1472" spans="17:19" customFormat="1" x14ac:dyDescent="0.2">
      <c r="Q1472" s="140">
        <v>41343</v>
      </c>
      <c r="R1472" s="77">
        <v>13</v>
      </c>
      <c r="S1472" s="77">
        <v>0</v>
      </c>
    </row>
    <row r="1473" spans="17:19" customFormat="1" x14ac:dyDescent="0.2">
      <c r="Q1473" s="140">
        <v>41344</v>
      </c>
      <c r="R1473" s="77">
        <v>29.1</v>
      </c>
      <c r="S1473" s="77">
        <v>0</v>
      </c>
    </row>
    <row r="1474" spans="17:19" customFormat="1" x14ac:dyDescent="0.2">
      <c r="Q1474" s="140">
        <v>41345</v>
      </c>
      <c r="R1474" s="77">
        <v>31.4</v>
      </c>
      <c r="S1474" s="77">
        <v>0</v>
      </c>
    </row>
    <row r="1475" spans="17:19" customFormat="1" x14ac:dyDescent="0.2">
      <c r="Q1475" s="140">
        <v>41346</v>
      </c>
      <c r="R1475" s="77">
        <v>35.5</v>
      </c>
      <c r="S1475" s="77">
        <v>0</v>
      </c>
    </row>
    <row r="1476" spans="17:19" customFormat="1" x14ac:dyDescent="0.2">
      <c r="Q1476" s="140">
        <v>41347</v>
      </c>
      <c r="R1476" s="77">
        <v>30</v>
      </c>
      <c r="S1476" s="77">
        <v>0</v>
      </c>
    </row>
    <row r="1477" spans="17:19" customFormat="1" x14ac:dyDescent="0.2">
      <c r="Q1477" s="140">
        <v>41348</v>
      </c>
      <c r="R1477" s="77">
        <v>19.3</v>
      </c>
      <c r="S1477" s="77">
        <v>0</v>
      </c>
    </row>
    <row r="1478" spans="17:19" customFormat="1" x14ac:dyDescent="0.2">
      <c r="Q1478" s="140">
        <v>41349</v>
      </c>
      <c r="R1478" s="77">
        <v>25.1</v>
      </c>
      <c r="S1478" s="77">
        <v>0</v>
      </c>
    </row>
    <row r="1479" spans="17:19" customFormat="1" x14ac:dyDescent="0.2">
      <c r="Q1479" s="140">
        <v>41350</v>
      </c>
      <c r="R1479" s="77">
        <v>30</v>
      </c>
      <c r="S1479" s="77">
        <v>0</v>
      </c>
    </row>
    <row r="1480" spans="17:19" customFormat="1" x14ac:dyDescent="0.2">
      <c r="Q1480" s="140">
        <v>41351</v>
      </c>
      <c r="R1480" s="77">
        <v>28.8</v>
      </c>
      <c r="S1480" s="77">
        <v>0</v>
      </c>
    </row>
    <row r="1481" spans="17:19" customFormat="1" x14ac:dyDescent="0.2">
      <c r="Q1481" s="140">
        <v>41352</v>
      </c>
      <c r="R1481" s="77">
        <v>32.6</v>
      </c>
      <c r="S1481" s="77">
        <v>0</v>
      </c>
    </row>
    <row r="1482" spans="17:19" customFormat="1" x14ac:dyDescent="0.2">
      <c r="Q1482" s="140">
        <v>41353</v>
      </c>
      <c r="R1482" s="77">
        <v>38.700000000000003</v>
      </c>
      <c r="S1482" s="77">
        <v>0</v>
      </c>
    </row>
    <row r="1483" spans="17:19" customFormat="1" x14ac:dyDescent="0.2">
      <c r="Q1483" s="140">
        <v>41354</v>
      </c>
      <c r="R1483" s="77">
        <v>39.700000000000003</v>
      </c>
      <c r="S1483" s="77">
        <v>0</v>
      </c>
    </row>
    <row r="1484" spans="17:19" customFormat="1" x14ac:dyDescent="0.2">
      <c r="Q1484" s="140">
        <v>41355</v>
      </c>
      <c r="R1484" s="77">
        <v>33.9</v>
      </c>
      <c r="S1484" s="77">
        <v>0</v>
      </c>
    </row>
    <row r="1485" spans="17:19" customFormat="1" x14ac:dyDescent="0.2">
      <c r="Q1485" s="140">
        <v>41356</v>
      </c>
      <c r="R1485" s="77">
        <v>23.4</v>
      </c>
      <c r="S1485" s="77">
        <v>0</v>
      </c>
    </row>
    <row r="1486" spans="17:19" customFormat="1" x14ac:dyDescent="0.2">
      <c r="Q1486" s="140">
        <v>41357</v>
      </c>
      <c r="R1486" s="77">
        <v>34.299999999999997</v>
      </c>
      <c r="S1486" s="77">
        <v>0</v>
      </c>
    </row>
    <row r="1487" spans="17:19" customFormat="1" x14ac:dyDescent="0.2">
      <c r="Q1487" s="140">
        <v>41358</v>
      </c>
      <c r="R1487" s="77">
        <v>33.799999999999997</v>
      </c>
      <c r="S1487" s="77">
        <v>0</v>
      </c>
    </row>
    <row r="1488" spans="17:19" customFormat="1" x14ac:dyDescent="0.2">
      <c r="Q1488" s="140">
        <v>41359</v>
      </c>
      <c r="R1488" s="77">
        <v>31.7</v>
      </c>
      <c r="S1488" s="77">
        <v>0</v>
      </c>
    </row>
    <row r="1489" spans="17:19" customFormat="1" x14ac:dyDescent="0.2">
      <c r="Q1489" s="140">
        <v>41360</v>
      </c>
      <c r="R1489" s="77">
        <v>32.700000000000003</v>
      </c>
      <c r="S1489" s="77">
        <v>0</v>
      </c>
    </row>
    <row r="1490" spans="17:19" customFormat="1" x14ac:dyDescent="0.2">
      <c r="Q1490" s="140">
        <v>41361</v>
      </c>
      <c r="R1490" s="77">
        <v>30</v>
      </c>
      <c r="S1490" s="77">
        <v>0</v>
      </c>
    </row>
    <row r="1491" spans="17:19" customFormat="1" x14ac:dyDescent="0.2">
      <c r="Q1491" s="140">
        <v>41362</v>
      </c>
      <c r="R1491" s="77">
        <v>19.5</v>
      </c>
      <c r="S1491" s="77">
        <v>0</v>
      </c>
    </row>
    <row r="1492" spans="17:19" customFormat="1" x14ac:dyDescent="0.2">
      <c r="Q1492" s="140">
        <v>41363</v>
      </c>
      <c r="R1492" s="77">
        <v>18.399999999999999</v>
      </c>
      <c r="S1492" s="77">
        <v>0</v>
      </c>
    </row>
    <row r="1493" spans="17:19" customFormat="1" x14ac:dyDescent="0.2">
      <c r="Q1493" s="140">
        <v>41364</v>
      </c>
      <c r="R1493" s="77">
        <v>14.2</v>
      </c>
      <c r="S1493" s="77">
        <v>0</v>
      </c>
    </row>
    <row r="1494" spans="17:19" customFormat="1" x14ac:dyDescent="0.2">
      <c r="Q1494" s="140">
        <v>41365</v>
      </c>
      <c r="R1494" s="77">
        <v>26.2</v>
      </c>
      <c r="S1494" s="77">
        <v>0</v>
      </c>
    </row>
    <row r="1495" spans="17:19" customFormat="1" x14ac:dyDescent="0.2">
      <c r="Q1495" s="140">
        <v>41366</v>
      </c>
      <c r="R1495" s="77">
        <v>28.9</v>
      </c>
      <c r="S1495" s="77">
        <v>0</v>
      </c>
    </row>
    <row r="1496" spans="17:19" customFormat="1" x14ac:dyDescent="0.2">
      <c r="Q1496" s="140">
        <v>41367</v>
      </c>
      <c r="R1496" s="77">
        <v>25.7</v>
      </c>
      <c r="S1496" s="77">
        <v>0</v>
      </c>
    </row>
    <row r="1497" spans="17:19" customFormat="1" x14ac:dyDescent="0.2">
      <c r="Q1497" s="140">
        <v>41368</v>
      </c>
      <c r="R1497" s="77">
        <v>20.2</v>
      </c>
      <c r="S1497" s="77">
        <v>0</v>
      </c>
    </row>
    <row r="1498" spans="17:19" customFormat="1" x14ac:dyDescent="0.2">
      <c r="Q1498" s="140">
        <v>41369</v>
      </c>
      <c r="R1498" s="77">
        <v>15</v>
      </c>
      <c r="S1498" s="77">
        <v>0</v>
      </c>
    </row>
    <row r="1499" spans="17:19" customFormat="1" x14ac:dyDescent="0.2">
      <c r="Q1499" s="140">
        <v>41370</v>
      </c>
      <c r="R1499" s="77">
        <v>7</v>
      </c>
      <c r="S1499" s="77">
        <v>1.2</v>
      </c>
    </row>
    <row r="1500" spans="17:19" customFormat="1" x14ac:dyDescent="0.2">
      <c r="Q1500" s="140">
        <v>41371</v>
      </c>
      <c r="R1500" s="77">
        <v>6.4</v>
      </c>
      <c r="S1500" s="77">
        <v>2.2999999999999998</v>
      </c>
    </row>
    <row r="1501" spans="17:19" customFormat="1" x14ac:dyDescent="0.2">
      <c r="Q1501" s="140">
        <v>41372</v>
      </c>
      <c r="R1501" s="77">
        <v>1.9</v>
      </c>
      <c r="S1501" s="77">
        <v>2.5</v>
      </c>
    </row>
    <row r="1502" spans="17:19" customFormat="1" x14ac:dyDescent="0.2">
      <c r="Q1502" s="140">
        <v>41373</v>
      </c>
      <c r="R1502" s="77">
        <v>0.4</v>
      </c>
      <c r="S1502" s="77">
        <v>4.4000000000000004</v>
      </c>
    </row>
    <row r="1503" spans="17:19" customFormat="1" x14ac:dyDescent="0.2">
      <c r="Q1503" s="140">
        <v>41374</v>
      </c>
      <c r="R1503" s="77">
        <v>9.1</v>
      </c>
      <c r="S1503" s="77">
        <v>0.7</v>
      </c>
    </row>
    <row r="1504" spans="17:19" customFormat="1" x14ac:dyDescent="0.2">
      <c r="Q1504" s="140">
        <v>41375</v>
      </c>
      <c r="R1504" s="77">
        <v>18.5</v>
      </c>
      <c r="S1504" s="77">
        <v>0</v>
      </c>
    </row>
    <row r="1505" spans="17:19" customFormat="1" x14ac:dyDescent="0.2">
      <c r="Q1505" s="140">
        <v>41376</v>
      </c>
      <c r="R1505" s="77">
        <v>24.8</v>
      </c>
      <c r="S1505" s="77">
        <v>0</v>
      </c>
    </row>
    <row r="1506" spans="17:19" customFormat="1" x14ac:dyDescent="0.2">
      <c r="Q1506" s="140">
        <v>41377</v>
      </c>
      <c r="R1506" s="77">
        <v>19.7</v>
      </c>
      <c r="S1506" s="77">
        <v>0</v>
      </c>
    </row>
    <row r="1507" spans="17:19" customFormat="1" x14ac:dyDescent="0.2">
      <c r="Q1507" s="140">
        <v>41378</v>
      </c>
      <c r="R1507" s="77">
        <v>6.1</v>
      </c>
      <c r="S1507" s="77">
        <v>2.9</v>
      </c>
    </row>
    <row r="1508" spans="17:19" customFormat="1" x14ac:dyDescent="0.2">
      <c r="Q1508" s="140">
        <v>41379</v>
      </c>
      <c r="R1508" s="77">
        <v>8.9</v>
      </c>
      <c r="S1508" s="77">
        <v>0</v>
      </c>
    </row>
    <row r="1509" spans="17:19" customFormat="1" x14ac:dyDescent="0.2">
      <c r="Q1509" s="140">
        <v>41380</v>
      </c>
      <c r="R1509" s="77">
        <v>18.3</v>
      </c>
      <c r="S1509" s="77">
        <v>0</v>
      </c>
    </row>
    <row r="1510" spans="17:19" customFormat="1" x14ac:dyDescent="0.2">
      <c r="Q1510" s="140">
        <v>41381</v>
      </c>
      <c r="R1510" s="77">
        <v>13.2</v>
      </c>
      <c r="S1510" s="77">
        <v>0.4</v>
      </c>
    </row>
    <row r="1511" spans="17:19" customFormat="1" x14ac:dyDescent="0.2">
      <c r="Q1511" s="140">
        <v>41382</v>
      </c>
      <c r="R1511" s="77">
        <v>8.4</v>
      </c>
      <c r="S1511" s="77">
        <v>0.7</v>
      </c>
    </row>
    <row r="1512" spans="17:19" customFormat="1" x14ac:dyDescent="0.2">
      <c r="Q1512" s="140">
        <v>41383</v>
      </c>
      <c r="R1512" s="77">
        <v>25.6</v>
      </c>
      <c r="S1512" s="77">
        <v>0</v>
      </c>
    </row>
    <row r="1513" spans="17:19" customFormat="1" x14ac:dyDescent="0.2">
      <c r="Q1513" s="140">
        <v>41384</v>
      </c>
      <c r="R1513" s="77">
        <v>24.7</v>
      </c>
      <c r="S1513" s="77">
        <v>0</v>
      </c>
    </row>
    <row r="1514" spans="17:19" customFormat="1" x14ac:dyDescent="0.2">
      <c r="Q1514" s="140">
        <v>41385</v>
      </c>
      <c r="R1514" s="77">
        <v>16.899999999999999</v>
      </c>
      <c r="S1514" s="77">
        <v>0</v>
      </c>
    </row>
    <row r="1515" spans="17:19" customFormat="1" x14ac:dyDescent="0.2">
      <c r="Q1515" s="140">
        <v>41386</v>
      </c>
      <c r="R1515" s="77">
        <v>9.8000000000000007</v>
      </c>
      <c r="S1515" s="77">
        <v>0.4</v>
      </c>
    </row>
    <row r="1516" spans="17:19" customFormat="1" x14ac:dyDescent="0.2">
      <c r="Q1516" s="140">
        <v>41387</v>
      </c>
      <c r="R1516" s="77">
        <v>15.3</v>
      </c>
      <c r="S1516" s="77">
        <v>0</v>
      </c>
    </row>
    <row r="1517" spans="17:19" customFormat="1" x14ac:dyDescent="0.2">
      <c r="Q1517" s="140">
        <v>41388</v>
      </c>
      <c r="R1517" s="77">
        <v>22.4</v>
      </c>
      <c r="S1517" s="77">
        <v>0</v>
      </c>
    </row>
    <row r="1518" spans="17:19" customFormat="1" x14ac:dyDescent="0.2">
      <c r="Q1518" s="140">
        <v>41389</v>
      </c>
      <c r="R1518" s="77">
        <v>16.899999999999999</v>
      </c>
      <c r="S1518" s="77">
        <v>0</v>
      </c>
    </row>
    <row r="1519" spans="17:19" customFormat="1" x14ac:dyDescent="0.2">
      <c r="Q1519" s="140">
        <v>41390</v>
      </c>
      <c r="R1519" s="77">
        <v>12</v>
      </c>
      <c r="S1519" s="77">
        <v>0</v>
      </c>
    </row>
    <row r="1520" spans="17:19" customFormat="1" x14ac:dyDescent="0.2">
      <c r="Q1520" s="140">
        <v>41391</v>
      </c>
      <c r="R1520" s="77">
        <v>13.2</v>
      </c>
      <c r="S1520" s="77">
        <v>0</v>
      </c>
    </row>
    <row r="1521" spans="17:19" customFormat="1" x14ac:dyDescent="0.2">
      <c r="Q1521" s="140">
        <v>41392</v>
      </c>
      <c r="R1521" s="77">
        <v>9.1999999999999993</v>
      </c>
      <c r="S1521" s="77">
        <v>0</v>
      </c>
    </row>
    <row r="1522" spans="17:19" customFormat="1" x14ac:dyDescent="0.2">
      <c r="Q1522" s="140">
        <v>41393</v>
      </c>
      <c r="R1522" s="77">
        <v>6.1</v>
      </c>
      <c r="S1522" s="77">
        <v>2.9</v>
      </c>
    </row>
    <row r="1523" spans="17:19" customFormat="1" x14ac:dyDescent="0.2">
      <c r="Q1523" s="140">
        <v>41394</v>
      </c>
      <c r="R1523" s="77">
        <v>0.9</v>
      </c>
      <c r="S1523" s="77">
        <v>7.9</v>
      </c>
    </row>
    <row r="1524" spans="17:19" customFormat="1" x14ac:dyDescent="0.2">
      <c r="Q1524" s="140">
        <v>41395</v>
      </c>
      <c r="R1524" s="77">
        <v>1.3</v>
      </c>
      <c r="S1524" s="77">
        <v>7.5</v>
      </c>
    </row>
    <row r="1525" spans="17:19" customFormat="1" x14ac:dyDescent="0.2">
      <c r="Q1525" s="140">
        <v>41396</v>
      </c>
      <c r="R1525" s="77">
        <v>5</v>
      </c>
      <c r="S1525" s="77">
        <v>1.6</v>
      </c>
    </row>
    <row r="1526" spans="17:19" customFormat="1" x14ac:dyDescent="0.2">
      <c r="Q1526" s="140">
        <v>41397</v>
      </c>
      <c r="R1526" s="77">
        <v>15</v>
      </c>
      <c r="S1526" s="77">
        <v>0</v>
      </c>
    </row>
    <row r="1527" spans="17:19" customFormat="1" x14ac:dyDescent="0.2">
      <c r="Q1527" s="140">
        <v>41398</v>
      </c>
      <c r="R1527" s="77">
        <v>14.5</v>
      </c>
      <c r="S1527" s="77">
        <v>0</v>
      </c>
    </row>
    <row r="1528" spans="17:19" customFormat="1" x14ac:dyDescent="0.2">
      <c r="Q1528" s="140">
        <v>41399</v>
      </c>
      <c r="R1528" s="77">
        <v>8.1</v>
      </c>
      <c r="S1528" s="77">
        <v>0</v>
      </c>
    </row>
    <row r="1529" spans="17:19" customFormat="1" x14ac:dyDescent="0.2">
      <c r="Q1529" s="140">
        <v>41400</v>
      </c>
      <c r="R1529" s="77">
        <v>4.4000000000000004</v>
      </c>
      <c r="S1529" s="77">
        <v>1.3</v>
      </c>
    </row>
    <row r="1530" spans="17:19" customFormat="1" x14ac:dyDescent="0.2">
      <c r="Q1530" s="140">
        <v>41401</v>
      </c>
      <c r="R1530" s="77">
        <v>2</v>
      </c>
      <c r="S1530" s="77">
        <v>4.5999999999999996</v>
      </c>
    </row>
    <row r="1531" spans="17:19" customFormat="1" x14ac:dyDescent="0.2">
      <c r="Q1531" s="140">
        <v>41402</v>
      </c>
      <c r="R1531" s="77">
        <v>3.5</v>
      </c>
      <c r="S1531" s="77">
        <v>5.9</v>
      </c>
    </row>
    <row r="1532" spans="17:19" customFormat="1" x14ac:dyDescent="0.2">
      <c r="Q1532" s="140">
        <v>41403</v>
      </c>
      <c r="R1532" s="77">
        <v>1.5</v>
      </c>
      <c r="S1532" s="77">
        <v>0.3</v>
      </c>
    </row>
    <row r="1533" spans="17:19" customFormat="1" x14ac:dyDescent="0.2">
      <c r="Q1533" s="140">
        <v>41404</v>
      </c>
      <c r="R1533" s="77">
        <v>7.8</v>
      </c>
      <c r="S1533" s="77">
        <v>0</v>
      </c>
    </row>
    <row r="1534" spans="17:19" customFormat="1" x14ac:dyDescent="0.2">
      <c r="Q1534" s="140">
        <v>41405</v>
      </c>
      <c r="R1534" s="77">
        <v>9.9</v>
      </c>
      <c r="S1534" s="77">
        <v>0</v>
      </c>
    </row>
    <row r="1535" spans="17:19" customFormat="1" x14ac:dyDescent="0.2">
      <c r="Q1535" s="140">
        <v>41406</v>
      </c>
      <c r="R1535" s="77">
        <v>16</v>
      </c>
      <c r="S1535" s="77">
        <v>0</v>
      </c>
    </row>
    <row r="1536" spans="17:19" customFormat="1" x14ac:dyDescent="0.2">
      <c r="Q1536" s="140">
        <v>41407</v>
      </c>
      <c r="R1536" s="77">
        <v>9.5</v>
      </c>
      <c r="S1536" s="77">
        <v>0.6</v>
      </c>
    </row>
    <row r="1537" spans="17:19" customFormat="1" x14ac:dyDescent="0.2">
      <c r="Q1537" s="140">
        <v>41408</v>
      </c>
      <c r="R1537" s="77">
        <v>2.6</v>
      </c>
      <c r="S1537" s="77">
        <v>10.5</v>
      </c>
    </row>
    <row r="1538" spans="17:19" customFormat="1" x14ac:dyDescent="0.2">
      <c r="Q1538" s="140">
        <v>41409</v>
      </c>
      <c r="R1538" s="77">
        <v>0</v>
      </c>
      <c r="S1538" s="77">
        <v>13.4</v>
      </c>
    </row>
    <row r="1539" spans="17:19" customFormat="1" x14ac:dyDescent="0.2">
      <c r="Q1539" s="140">
        <v>41410</v>
      </c>
      <c r="R1539" s="77">
        <v>0</v>
      </c>
      <c r="S1539" s="77">
        <v>8</v>
      </c>
    </row>
    <row r="1540" spans="17:19" customFormat="1" x14ac:dyDescent="0.2">
      <c r="Q1540" s="140">
        <v>41411</v>
      </c>
      <c r="R1540" s="77">
        <v>0.9</v>
      </c>
      <c r="S1540" s="77">
        <v>5.6</v>
      </c>
    </row>
    <row r="1541" spans="17:19" customFormat="1" x14ac:dyDescent="0.2">
      <c r="Q1541" s="140">
        <v>41412</v>
      </c>
      <c r="R1541" s="77">
        <v>0.2</v>
      </c>
      <c r="S1541" s="77">
        <v>6.9</v>
      </c>
    </row>
    <row r="1542" spans="17:19" customFormat="1" x14ac:dyDescent="0.2">
      <c r="Q1542" s="140">
        <v>41413</v>
      </c>
      <c r="R1542" s="77">
        <v>0</v>
      </c>
      <c r="S1542" s="77">
        <v>12.1</v>
      </c>
    </row>
    <row r="1543" spans="17:19" customFormat="1" x14ac:dyDescent="0.2">
      <c r="Q1543" s="140">
        <v>41414</v>
      </c>
      <c r="R1543" s="77">
        <v>0.3</v>
      </c>
      <c r="S1543" s="77">
        <v>9</v>
      </c>
    </row>
    <row r="1544" spans="17:19" customFormat="1" x14ac:dyDescent="0.2">
      <c r="Q1544" s="140">
        <v>41415</v>
      </c>
      <c r="R1544" s="77">
        <v>0.2</v>
      </c>
      <c r="S1544" s="77">
        <v>6.6</v>
      </c>
    </row>
    <row r="1545" spans="17:19" customFormat="1" x14ac:dyDescent="0.2">
      <c r="Q1545" s="140">
        <v>41416</v>
      </c>
      <c r="R1545" s="77">
        <v>0.5</v>
      </c>
      <c r="S1545" s="77">
        <v>2.7</v>
      </c>
    </row>
    <row r="1546" spans="17:19" customFormat="1" x14ac:dyDescent="0.2">
      <c r="Q1546" s="140">
        <v>41417</v>
      </c>
      <c r="R1546" s="77">
        <v>6.6</v>
      </c>
      <c r="S1546" s="77">
        <v>0</v>
      </c>
    </row>
    <row r="1547" spans="17:19" customFormat="1" x14ac:dyDescent="0.2">
      <c r="Q1547" s="140">
        <v>41418</v>
      </c>
      <c r="R1547" s="77">
        <v>10.9</v>
      </c>
      <c r="S1547" s="77">
        <v>0.5</v>
      </c>
    </row>
    <row r="1548" spans="17:19" customFormat="1" x14ac:dyDescent="0.2">
      <c r="Q1548" s="140">
        <v>41419</v>
      </c>
      <c r="R1548" s="77">
        <v>12.3</v>
      </c>
      <c r="S1548" s="77">
        <v>0</v>
      </c>
    </row>
    <row r="1549" spans="17:19" customFormat="1" x14ac:dyDescent="0.2">
      <c r="Q1549" s="140">
        <v>41420</v>
      </c>
      <c r="R1549" s="77">
        <v>6.8</v>
      </c>
      <c r="S1549" s="77">
        <v>0.2</v>
      </c>
    </row>
    <row r="1550" spans="17:19" customFormat="1" x14ac:dyDescent="0.2">
      <c r="Q1550" s="140">
        <v>41421</v>
      </c>
      <c r="R1550" s="77">
        <v>1.4</v>
      </c>
      <c r="S1550" s="77">
        <v>1.8</v>
      </c>
    </row>
    <row r="1551" spans="17:19" customFormat="1" x14ac:dyDescent="0.2">
      <c r="Q1551" s="140">
        <v>41422</v>
      </c>
      <c r="R1551" s="77">
        <v>0.1</v>
      </c>
      <c r="S1551" s="77">
        <v>7.2</v>
      </c>
    </row>
    <row r="1552" spans="17:19" customFormat="1" x14ac:dyDescent="0.2">
      <c r="Q1552" s="140">
        <v>41423</v>
      </c>
      <c r="R1552" s="77">
        <v>0.3</v>
      </c>
      <c r="S1552" s="77">
        <v>10.1</v>
      </c>
    </row>
    <row r="1553" spans="17:19" customFormat="1" x14ac:dyDescent="0.2">
      <c r="Q1553" s="140">
        <v>41424</v>
      </c>
      <c r="R1553" s="77">
        <v>0.1</v>
      </c>
      <c r="S1553" s="77">
        <v>9.5</v>
      </c>
    </row>
    <row r="1554" spans="17:19" customFormat="1" x14ac:dyDescent="0.2">
      <c r="Q1554" s="140">
        <v>41425</v>
      </c>
      <c r="R1554" s="77">
        <v>0.2</v>
      </c>
      <c r="S1554" s="77">
        <v>4.7</v>
      </c>
    </row>
    <row r="1555" spans="17:19" customFormat="1" x14ac:dyDescent="0.2">
      <c r="Q1555" s="140">
        <v>41426</v>
      </c>
      <c r="R1555" s="77">
        <v>0.4</v>
      </c>
      <c r="S1555" s="77">
        <v>3.3</v>
      </c>
    </row>
    <row r="1556" spans="17:19" customFormat="1" x14ac:dyDescent="0.2">
      <c r="Q1556" s="140">
        <v>41427</v>
      </c>
      <c r="R1556" s="77">
        <v>3.3</v>
      </c>
      <c r="S1556" s="77">
        <v>0</v>
      </c>
    </row>
    <row r="1557" spans="17:19" customFormat="1" x14ac:dyDescent="0.2">
      <c r="Q1557" s="140">
        <v>41428</v>
      </c>
      <c r="R1557" s="77">
        <v>5.2</v>
      </c>
      <c r="S1557" s="77">
        <v>0.2</v>
      </c>
    </row>
    <row r="1558" spans="17:19" customFormat="1" x14ac:dyDescent="0.2">
      <c r="Q1558" s="140">
        <v>41429</v>
      </c>
      <c r="R1558" s="77">
        <v>4.3</v>
      </c>
      <c r="S1558" s="77">
        <v>2.5</v>
      </c>
    </row>
    <row r="1559" spans="17:19" customFormat="1" x14ac:dyDescent="0.2">
      <c r="Q1559" s="140">
        <v>41430</v>
      </c>
      <c r="R1559" s="77">
        <v>2.8</v>
      </c>
      <c r="S1559" s="77">
        <v>6</v>
      </c>
    </row>
    <row r="1560" spans="17:19" customFormat="1" x14ac:dyDescent="0.2">
      <c r="Q1560" s="140">
        <v>41431</v>
      </c>
      <c r="R1560" s="77">
        <v>1</v>
      </c>
      <c r="S1560" s="77">
        <v>3.8</v>
      </c>
    </row>
    <row r="1561" spans="17:19" customFormat="1" x14ac:dyDescent="0.2">
      <c r="Q1561" s="140">
        <v>41432</v>
      </c>
      <c r="R1561" s="77">
        <v>3</v>
      </c>
      <c r="S1561" s="77">
        <v>3.1</v>
      </c>
    </row>
    <row r="1562" spans="17:19" customFormat="1" x14ac:dyDescent="0.2">
      <c r="Q1562" s="140">
        <v>41433</v>
      </c>
      <c r="R1562" s="77">
        <v>2.7</v>
      </c>
      <c r="S1562" s="77">
        <v>5.2</v>
      </c>
    </row>
    <row r="1563" spans="17:19" customFormat="1" x14ac:dyDescent="0.2">
      <c r="Q1563" s="140">
        <v>41434</v>
      </c>
      <c r="R1563" s="77">
        <v>0.3</v>
      </c>
      <c r="S1563" s="77">
        <v>4.7</v>
      </c>
    </row>
    <row r="1564" spans="17:19" customFormat="1" x14ac:dyDescent="0.2">
      <c r="Q1564" s="140">
        <v>41435</v>
      </c>
      <c r="R1564" s="77">
        <v>0.5</v>
      </c>
      <c r="S1564" s="77">
        <v>4.7</v>
      </c>
    </row>
    <row r="1565" spans="17:19" customFormat="1" x14ac:dyDescent="0.2">
      <c r="Q1565" s="140">
        <v>41436</v>
      </c>
      <c r="R1565" s="77">
        <v>1.8</v>
      </c>
      <c r="S1565" s="77">
        <v>11.4</v>
      </c>
    </row>
    <row r="1566" spans="17:19" customFormat="1" x14ac:dyDescent="0.2">
      <c r="Q1566" s="140">
        <v>41437</v>
      </c>
      <c r="R1566" s="77">
        <v>0</v>
      </c>
      <c r="S1566" s="77">
        <v>19.2</v>
      </c>
    </row>
    <row r="1567" spans="17:19" customFormat="1" x14ac:dyDescent="0.2">
      <c r="Q1567" s="140">
        <v>41438</v>
      </c>
      <c r="R1567" s="77">
        <v>0</v>
      </c>
      <c r="S1567" s="77">
        <v>11.2</v>
      </c>
    </row>
    <row r="1568" spans="17:19" customFormat="1" x14ac:dyDescent="0.2">
      <c r="Q1568" s="140">
        <v>41439</v>
      </c>
      <c r="R1568" s="77">
        <v>0.9</v>
      </c>
      <c r="S1568" s="77">
        <v>7.1</v>
      </c>
    </row>
    <row r="1569" spans="17:19" customFormat="1" x14ac:dyDescent="0.2">
      <c r="Q1569" s="140">
        <v>41440</v>
      </c>
      <c r="R1569" s="77">
        <v>0</v>
      </c>
      <c r="S1569" s="77">
        <v>6.5</v>
      </c>
    </row>
    <row r="1570" spans="17:19" customFormat="1" x14ac:dyDescent="0.2">
      <c r="Q1570" s="140">
        <v>41441</v>
      </c>
      <c r="R1570" s="77">
        <v>0</v>
      </c>
      <c r="S1570" s="77">
        <v>8.5</v>
      </c>
    </row>
    <row r="1571" spans="17:19" customFormat="1" x14ac:dyDescent="0.2">
      <c r="Q1571" s="140">
        <v>41442</v>
      </c>
      <c r="R1571" s="77">
        <v>0.1</v>
      </c>
      <c r="S1571" s="77">
        <v>10.1</v>
      </c>
    </row>
    <row r="1572" spans="17:19" customFormat="1" x14ac:dyDescent="0.2">
      <c r="Q1572" s="140">
        <v>41443</v>
      </c>
      <c r="R1572" s="77">
        <v>0</v>
      </c>
      <c r="S1572" s="77">
        <v>9.6999999999999993</v>
      </c>
    </row>
    <row r="1573" spans="17:19" customFormat="1" x14ac:dyDescent="0.2">
      <c r="Q1573" s="140">
        <v>41444</v>
      </c>
      <c r="R1573" s="77">
        <v>1.3</v>
      </c>
      <c r="S1573" s="77">
        <v>8.6999999999999993</v>
      </c>
    </row>
    <row r="1574" spans="17:19" customFormat="1" x14ac:dyDescent="0.2">
      <c r="Q1574" s="140">
        <v>41445</v>
      </c>
      <c r="R1574" s="77">
        <v>0</v>
      </c>
      <c r="S1574" s="77">
        <v>13.7</v>
      </c>
    </row>
    <row r="1575" spans="17:19" customFormat="1" x14ac:dyDescent="0.2">
      <c r="Q1575" s="140">
        <v>41446</v>
      </c>
      <c r="R1575" s="77">
        <v>0</v>
      </c>
      <c r="S1575" s="77">
        <v>15.9</v>
      </c>
    </row>
    <row r="1576" spans="17:19" customFormat="1" x14ac:dyDescent="0.2">
      <c r="Q1576" s="140">
        <v>41447</v>
      </c>
      <c r="R1576" s="77">
        <v>0</v>
      </c>
      <c r="S1576" s="77">
        <v>12.5</v>
      </c>
    </row>
    <row r="1577" spans="17:19" customFormat="1" x14ac:dyDescent="0.2">
      <c r="Q1577" s="140">
        <v>41448</v>
      </c>
      <c r="R1577" s="77">
        <v>0</v>
      </c>
      <c r="S1577" s="77">
        <v>10.1</v>
      </c>
    </row>
    <row r="1578" spans="17:19" customFormat="1" x14ac:dyDescent="0.2">
      <c r="Q1578" s="140">
        <v>41449</v>
      </c>
      <c r="R1578" s="77">
        <v>0</v>
      </c>
      <c r="S1578" s="77">
        <v>11.5</v>
      </c>
    </row>
    <row r="1579" spans="17:19" customFormat="1" x14ac:dyDescent="0.2">
      <c r="Q1579" s="140">
        <v>41450</v>
      </c>
      <c r="R1579" s="77">
        <v>0</v>
      </c>
      <c r="S1579" s="77">
        <v>13.5</v>
      </c>
    </row>
    <row r="1580" spans="17:19" customFormat="1" x14ac:dyDescent="0.2">
      <c r="Q1580" s="140">
        <v>41451</v>
      </c>
      <c r="R1580" s="77">
        <v>0</v>
      </c>
      <c r="S1580" s="77">
        <v>10.5</v>
      </c>
    </row>
    <row r="1581" spans="17:19" customFormat="1" x14ac:dyDescent="0.2">
      <c r="Q1581" s="140">
        <v>41452</v>
      </c>
      <c r="R1581" s="77">
        <v>0</v>
      </c>
      <c r="S1581" s="77">
        <v>14.9</v>
      </c>
    </row>
    <row r="1582" spans="17:19" customFormat="1" x14ac:dyDescent="0.2">
      <c r="Q1582" s="140">
        <v>41453</v>
      </c>
      <c r="R1582" s="77">
        <v>0</v>
      </c>
      <c r="S1582" s="77">
        <v>13.2</v>
      </c>
    </row>
    <row r="1583" spans="17:19" customFormat="1" x14ac:dyDescent="0.2">
      <c r="Q1583" s="140">
        <v>41454</v>
      </c>
      <c r="R1583" s="77">
        <v>0</v>
      </c>
      <c r="S1583" s="77">
        <v>4.2</v>
      </c>
    </row>
    <row r="1584" spans="17:19" customFormat="1" x14ac:dyDescent="0.2">
      <c r="Q1584" s="140">
        <v>41455</v>
      </c>
      <c r="R1584" s="77">
        <v>0.6</v>
      </c>
      <c r="S1584" s="77">
        <v>4.0999999999999996</v>
      </c>
    </row>
    <row r="1585" spans="17:19" customFormat="1" x14ac:dyDescent="0.2">
      <c r="Q1585" s="140">
        <v>41456</v>
      </c>
      <c r="R1585" s="77">
        <v>0.5</v>
      </c>
      <c r="S1585" s="77">
        <v>6.1</v>
      </c>
    </row>
    <row r="1586" spans="17:19" customFormat="1" x14ac:dyDescent="0.2">
      <c r="Q1586" s="140">
        <v>41457</v>
      </c>
      <c r="R1586" s="77">
        <v>0.9</v>
      </c>
      <c r="S1586" s="77">
        <v>2</v>
      </c>
    </row>
    <row r="1587" spans="17:19" customFormat="1" x14ac:dyDescent="0.2">
      <c r="Q1587" s="140">
        <v>41458</v>
      </c>
      <c r="R1587" s="77">
        <v>1.5</v>
      </c>
      <c r="S1587" s="77">
        <v>6.5</v>
      </c>
    </row>
    <row r="1588" spans="17:19" customFormat="1" x14ac:dyDescent="0.2">
      <c r="Q1588" s="140">
        <v>41459</v>
      </c>
      <c r="R1588" s="77">
        <v>0</v>
      </c>
      <c r="S1588" s="77">
        <v>9.6</v>
      </c>
    </row>
    <row r="1589" spans="17:19" customFormat="1" x14ac:dyDescent="0.2">
      <c r="Q1589" s="140">
        <v>41460</v>
      </c>
      <c r="R1589" s="77">
        <v>0</v>
      </c>
      <c r="S1589" s="77">
        <v>9.1999999999999993</v>
      </c>
    </row>
    <row r="1590" spans="17:19" customFormat="1" x14ac:dyDescent="0.2">
      <c r="Q1590" s="140">
        <v>41461</v>
      </c>
      <c r="R1590" s="77">
        <v>0</v>
      </c>
      <c r="S1590" s="77">
        <v>10.5</v>
      </c>
    </row>
    <row r="1591" spans="17:19" customFormat="1" x14ac:dyDescent="0.2">
      <c r="Q1591" s="140">
        <v>41462</v>
      </c>
      <c r="R1591" s="77">
        <v>0</v>
      </c>
      <c r="S1591" s="77">
        <v>13.9</v>
      </c>
    </row>
    <row r="1592" spans="17:19" customFormat="1" x14ac:dyDescent="0.2">
      <c r="Q1592" s="140">
        <v>41463</v>
      </c>
      <c r="R1592" s="77">
        <v>0</v>
      </c>
      <c r="S1592" s="77">
        <v>15.4</v>
      </c>
    </row>
    <row r="1593" spans="17:19" customFormat="1" x14ac:dyDescent="0.2">
      <c r="Q1593" s="140">
        <v>41464</v>
      </c>
      <c r="R1593" s="77">
        <v>0</v>
      </c>
      <c r="S1593" s="77">
        <v>18.7</v>
      </c>
    </row>
    <row r="1594" spans="17:19" customFormat="1" x14ac:dyDescent="0.2">
      <c r="Q1594" s="140">
        <v>41465</v>
      </c>
      <c r="R1594" s="77">
        <v>0</v>
      </c>
      <c r="S1594" s="77">
        <v>14.9</v>
      </c>
    </row>
    <row r="1595" spans="17:19" customFormat="1" x14ac:dyDescent="0.2">
      <c r="Q1595" s="140">
        <v>41466</v>
      </c>
      <c r="R1595" s="77">
        <v>0.2</v>
      </c>
      <c r="S1595" s="77">
        <v>7.7</v>
      </c>
    </row>
    <row r="1596" spans="17:19" customFormat="1" x14ac:dyDescent="0.2">
      <c r="Q1596" s="140">
        <v>41467</v>
      </c>
      <c r="R1596" s="77">
        <v>1.6</v>
      </c>
      <c r="S1596" s="77">
        <v>7.6</v>
      </c>
    </row>
    <row r="1597" spans="17:19" customFormat="1" x14ac:dyDescent="0.2">
      <c r="Q1597" s="140">
        <v>41468</v>
      </c>
      <c r="R1597" s="77">
        <v>0.9</v>
      </c>
      <c r="S1597" s="77">
        <v>8.9</v>
      </c>
    </row>
    <row r="1598" spans="17:19" customFormat="1" x14ac:dyDescent="0.2">
      <c r="Q1598" s="140">
        <v>41469</v>
      </c>
      <c r="R1598" s="77">
        <v>0</v>
      </c>
      <c r="S1598" s="77">
        <v>11.6</v>
      </c>
    </row>
    <row r="1599" spans="17:19" customFormat="1" x14ac:dyDescent="0.2">
      <c r="Q1599" s="140">
        <v>41470</v>
      </c>
      <c r="R1599" s="77">
        <v>0</v>
      </c>
      <c r="S1599" s="77">
        <v>15.9</v>
      </c>
    </row>
    <row r="1600" spans="17:19" customFormat="1" x14ac:dyDescent="0.2">
      <c r="Q1600" s="140">
        <v>41471</v>
      </c>
      <c r="R1600" s="77">
        <v>0</v>
      </c>
      <c r="S1600" s="77">
        <v>16.899999999999999</v>
      </c>
    </row>
    <row r="1601" spans="17:19" customFormat="1" x14ac:dyDescent="0.2">
      <c r="Q1601" s="140">
        <v>41472</v>
      </c>
      <c r="R1601" s="77">
        <v>0</v>
      </c>
      <c r="S1601" s="77">
        <v>17.8</v>
      </c>
    </row>
    <row r="1602" spans="17:19" customFormat="1" x14ac:dyDescent="0.2">
      <c r="Q1602" s="140">
        <v>41473</v>
      </c>
      <c r="R1602" s="77">
        <v>0</v>
      </c>
      <c r="S1602" s="77">
        <v>18.8</v>
      </c>
    </row>
    <row r="1603" spans="17:19" customFormat="1" x14ac:dyDescent="0.2">
      <c r="Q1603" s="140">
        <v>41474</v>
      </c>
      <c r="R1603" s="77">
        <v>0</v>
      </c>
      <c r="S1603" s="77">
        <v>20</v>
      </c>
    </row>
    <row r="1604" spans="17:19" customFormat="1" x14ac:dyDescent="0.2">
      <c r="Q1604" s="140">
        <v>41475</v>
      </c>
      <c r="R1604" s="77">
        <v>0</v>
      </c>
      <c r="S1604" s="77">
        <v>15.7</v>
      </c>
    </row>
    <row r="1605" spans="17:19" customFormat="1" x14ac:dyDescent="0.2">
      <c r="Q1605" s="140">
        <v>41476</v>
      </c>
      <c r="R1605" s="77">
        <v>0</v>
      </c>
      <c r="S1605" s="77">
        <v>9.4</v>
      </c>
    </row>
    <row r="1606" spans="17:19" customFormat="1" x14ac:dyDescent="0.2">
      <c r="Q1606" s="140">
        <v>41477</v>
      </c>
      <c r="R1606" s="77">
        <v>0</v>
      </c>
      <c r="S1606" s="77">
        <v>12.2</v>
      </c>
    </row>
    <row r="1607" spans="17:19" customFormat="1" x14ac:dyDescent="0.2">
      <c r="Q1607" s="140">
        <v>41478</v>
      </c>
      <c r="R1607" s="77">
        <v>0</v>
      </c>
      <c r="S1607" s="77">
        <v>11</v>
      </c>
    </row>
    <row r="1608" spans="17:19" customFormat="1" x14ac:dyDescent="0.2">
      <c r="Q1608" s="140">
        <v>41479</v>
      </c>
      <c r="R1608" s="77">
        <v>1.4</v>
      </c>
      <c r="S1608" s="77">
        <v>4.2</v>
      </c>
    </row>
    <row r="1609" spans="17:19" customFormat="1" x14ac:dyDescent="0.2">
      <c r="Q1609" s="140">
        <v>41480</v>
      </c>
      <c r="R1609" s="77">
        <v>2.2999999999999998</v>
      </c>
      <c r="S1609" s="77">
        <v>6.1</v>
      </c>
    </row>
    <row r="1610" spans="17:19" customFormat="1" x14ac:dyDescent="0.2">
      <c r="Q1610" s="140">
        <v>41481</v>
      </c>
      <c r="R1610" s="77">
        <v>0.8</v>
      </c>
      <c r="S1610" s="77">
        <v>3.4</v>
      </c>
    </row>
    <row r="1611" spans="17:19" customFormat="1" x14ac:dyDescent="0.2">
      <c r="Q1611" s="140">
        <v>41482</v>
      </c>
      <c r="R1611" s="77">
        <v>3.6</v>
      </c>
      <c r="S1611" s="77">
        <v>1.2</v>
      </c>
    </row>
    <row r="1612" spans="17:19" customFormat="1" x14ac:dyDescent="0.2">
      <c r="Q1612" s="140">
        <v>41483</v>
      </c>
      <c r="R1612" s="77">
        <v>5.6</v>
      </c>
      <c r="S1612" s="77">
        <v>3.3</v>
      </c>
    </row>
    <row r="1613" spans="17:19" customFormat="1" x14ac:dyDescent="0.2">
      <c r="Q1613" s="140">
        <v>41484</v>
      </c>
      <c r="R1613" s="77">
        <v>3.6</v>
      </c>
      <c r="S1613" s="77">
        <v>5.4</v>
      </c>
    </row>
    <row r="1614" spans="17:19" customFormat="1" x14ac:dyDescent="0.2">
      <c r="Q1614" s="140">
        <v>41485</v>
      </c>
      <c r="R1614" s="77">
        <v>0</v>
      </c>
      <c r="S1614" s="77">
        <v>4</v>
      </c>
    </row>
    <row r="1615" spans="17:19" customFormat="1" x14ac:dyDescent="0.2">
      <c r="Q1615" s="140">
        <v>41486</v>
      </c>
      <c r="R1615" s="77">
        <v>0</v>
      </c>
      <c r="S1615" s="77">
        <v>6</v>
      </c>
    </row>
    <row r="1616" spans="17:19" customFormat="1" x14ac:dyDescent="0.2">
      <c r="Q1616" s="140">
        <v>41487</v>
      </c>
      <c r="R1616" s="77">
        <v>0.5</v>
      </c>
      <c r="S1616" s="77">
        <v>8.1</v>
      </c>
    </row>
    <row r="1617" spans="17:19" customFormat="1" x14ac:dyDescent="0.2">
      <c r="Q1617" s="140">
        <v>41488</v>
      </c>
      <c r="R1617" s="77">
        <v>0</v>
      </c>
      <c r="S1617" s="77">
        <v>7.3</v>
      </c>
    </row>
    <row r="1618" spans="17:19" customFormat="1" x14ac:dyDescent="0.2">
      <c r="Q1618" s="140">
        <v>41489</v>
      </c>
      <c r="R1618" s="77">
        <v>0.1</v>
      </c>
      <c r="S1618" s="77">
        <v>8.3000000000000007</v>
      </c>
    </row>
    <row r="1619" spans="17:19" customFormat="1" x14ac:dyDescent="0.2">
      <c r="Q1619" s="140">
        <v>41490</v>
      </c>
      <c r="R1619" s="77">
        <v>1.9</v>
      </c>
      <c r="S1619" s="77">
        <v>6</v>
      </c>
    </row>
    <row r="1620" spans="17:19" customFormat="1" x14ac:dyDescent="0.2">
      <c r="Q1620" s="140">
        <v>41491</v>
      </c>
      <c r="R1620" s="77">
        <v>0.9</v>
      </c>
      <c r="S1620" s="77">
        <v>5.4</v>
      </c>
    </row>
    <row r="1621" spans="17:19" customFormat="1" x14ac:dyDescent="0.2">
      <c r="Q1621" s="140">
        <v>41492</v>
      </c>
      <c r="R1621" s="77">
        <v>0</v>
      </c>
      <c r="S1621" s="77">
        <v>10.199999999999999</v>
      </c>
    </row>
    <row r="1622" spans="17:19" customFormat="1" x14ac:dyDescent="0.2">
      <c r="Q1622" s="140">
        <v>41493</v>
      </c>
      <c r="R1622" s="77">
        <v>0</v>
      </c>
      <c r="S1622" s="77">
        <v>10.4</v>
      </c>
    </row>
    <row r="1623" spans="17:19" customFormat="1" x14ac:dyDescent="0.2">
      <c r="Q1623" s="140">
        <v>41494</v>
      </c>
      <c r="R1623" s="77">
        <v>0</v>
      </c>
      <c r="S1623" s="77">
        <v>8.4</v>
      </c>
    </row>
    <row r="1624" spans="17:19" customFormat="1" x14ac:dyDescent="0.2">
      <c r="Q1624" s="140">
        <v>41495</v>
      </c>
      <c r="R1624" s="77">
        <v>0.7</v>
      </c>
      <c r="S1624" s="77">
        <v>7</v>
      </c>
    </row>
    <row r="1625" spans="17:19" customFormat="1" x14ac:dyDescent="0.2">
      <c r="Q1625" s="140">
        <v>41496</v>
      </c>
      <c r="R1625" s="77">
        <v>0.2</v>
      </c>
      <c r="S1625" s="77">
        <v>8</v>
      </c>
    </row>
    <row r="1626" spans="17:19" customFormat="1" x14ac:dyDescent="0.2">
      <c r="Q1626" s="140">
        <v>41497</v>
      </c>
      <c r="R1626" s="77">
        <v>2.6</v>
      </c>
      <c r="S1626" s="77">
        <v>8.1</v>
      </c>
    </row>
    <row r="1627" spans="17:19" customFormat="1" x14ac:dyDescent="0.2">
      <c r="Q1627" s="140">
        <v>41498</v>
      </c>
      <c r="R1627" s="77">
        <v>0</v>
      </c>
      <c r="S1627" s="77">
        <v>7.9</v>
      </c>
    </row>
    <row r="1628" spans="17:19" customFormat="1" x14ac:dyDescent="0.2">
      <c r="Q1628" s="140">
        <v>41499</v>
      </c>
      <c r="R1628" s="77">
        <v>1.3</v>
      </c>
      <c r="S1628" s="77">
        <v>3.7</v>
      </c>
    </row>
    <row r="1629" spans="17:19" customFormat="1" x14ac:dyDescent="0.2">
      <c r="Q1629" s="140">
        <v>41500</v>
      </c>
      <c r="R1629" s="77">
        <v>5.9</v>
      </c>
      <c r="S1629" s="77">
        <v>2.9</v>
      </c>
    </row>
    <row r="1630" spans="17:19" customFormat="1" x14ac:dyDescent="0.2">
      <c r="Q1630" s="140">
        <v>41501</v>
      </c>
      <c r="R1630" s="77">
        <v>4.0999999999999996</v>
      </c>
      <c r="S1630" s="77">
        <v>2.8</v>
      </c>
    </row>
    <row r="1631" spans="17:19" customFormat="1" x14ac:dyDescent="0.2">
      <c r="Q1631" s="140">
        <v>41502</v>
      </c>
      <c r="R1631" s="77">
        <v>2.2999999999999998</v>
      </c>
      <c r="S1631" s="77">
        <v>4.7</v>
      </c>
    </row>
    <row r="1632" spans="17:19" customFormat="1" x14ac:dyDescent="0.2">
      <c r="Q1632" s="140">
        <v>41503</v>
      </c>
      <c r="R1632" s="77">
        <v>3.6</v>
      </c>
      <c r="S1632" s="77">
        <v>4.7</v>
      </c>
    </row>
    <row r="1633" spans="17:19" customFormat="1" x14ac:dyDescent="0.2">
      <c r="Q1633" s="140">
        <v>41504</v>
      </c>
      <c r="R1633" s="77">
        <v>2.4</v>
      </c>
      <c r="S1633" s="77">
        <v>7</v>
      </c>
    </row>
    <row r="1634" spans="17:19" customFormat="1" x14ac:dyDescent="0.2">
      <c r="Q1634" s="140">
        <v>41505</v>
      </c>
      <c r="R1634" s="77">
        <v>1.4</v>
      </c>
      <c r="S1634" s="77">
        <v>8</v>
      </c>
    </row>
    <row r="1635" spans="17:19" customFormat="1" x14ac:dyDescent="0.2">
      <c r="Q1635" s="140">
        <v>41506</v>
      </c>
      <c r="R1635" s="77">
        <v>0.3</v>
      </c>
      <c r="S1635" s="77">
        <v>9.3000000000000007</v>
      </c>
    </row>
    <row r="1636" spans="17:19" customFormat="1" x14ac:dyDescent="0.2">
      <c r="Q1636" s="140">
        <v>41507</v>
      </c>
      <c r="R1636" s="77">
        <v>0</v>
      </c>
      <c r="S1636" s="77">
        <v>11.1</v>
      </c>
    </row>
    <row r="1637" spans="17:19" customFormat="1" x14ac:dyDescent="0.2">
      <c r="Q1637" s="140">
        <v>41508</v>
      </c>
      <c r="R1637" s="77">
        <v>0</v>
      </c>
      <c r="S1637" s="77">
        <v>11</v>
      </c>
    </row>
    <row r="1638" spans="17:19" customFormat="1" x14ac:dyDescent="0.2">
      <c r="Q1638" s="140">
        <v>41509</v>
      </c>
      <c r="R1638" s="77">
        <v>0</v>
      </c>
      <c r="S1638" s="77">
        <v>11</v>
      </c>
    </row>
    <row r="1639" spans="17:19" customFormat="1" x14ac:dyDescent="0.2">
      <c r="Q1639" s="140">
        <v>41510</v>
      </c>
      <c r="R1639" s="77">
        <v>0.3</v>
      </c>
      <c r="S1639" s="77">
        <v>10.1</v>
      </c>
    </row>
    <row r="1640" spans="17:19" customFormat="1" x14ac:dyDescent="0.2">
      <c r="Q1640" s="140">
        <v>41511</v>
      </c>
      <c r="R1640" s="77">
        <v>0.1</v>
      </c>
      <c r="S1640" s="77">
        <v>10.9</v>
      </c>
    </row>
    <row r="1641" spans="17:19" customFormat="1" x14ac:dyDescent="0.2">
      <c r="Q1641" s="140">
        <v>41512</v>
      </c>
      <c r="R1641" s="77">
        <v>0</v>
      </c>
      <c r="S1641" s="77">
        <v>15.1</v>
      </c>
    </row>
    <row r="1642" spans="17:19" customFormat="1" x14ac:dyDescent="0.2">
      <c r="Q1642" s="140">
        <v>41513</v>
      </c>
      <c r="R1642" s="77">
        <v>0</v>
      </c>
      <c r="S1642" s="77">
        <v>16.3</v>
      </c>
    </row>
    <row r="1643" spans="17:19" customFormat="1" x14ac:dyDescent="0.2">
      <c r="Q1643" s="140">
        <v>41514</v>
      </c>
      <c r="R1643" s="77">
        <v>0</v>
      </c>
      <c r="S1643" s="77">
        <v>15.8</v>
      </c>
    </row>
    <row r="1644" spans="17:19" customFormat="1" x14ac:dyDescent="0.2">
      <c r="Q1644" s="140">
        <v>41515</v>
      </c>
      <c r="R1644" s="77">
        <v>0</v>
      </c>
      <c r="S1644" s="77">
        <v>14.6</v>
      </c>
    </row>
    <row r="1645" spans="17:19" customFormat="1" x14ac:dyDescent="0.2">
      <c r="Q1645" s="140">
        <v>41516</v>
      </c>
      <c r="R1645" s="77">
        <v>0</v>
      </c>
      <c r="S1645" s="77">
        <v>17.7</v>
      </c>
    </row>
    <row r="1646" spans="17:19" customFormat="1" x14ac:dyDescent="0.2">
      <c r="Q1646" s="140">
        <v>41517</v>
      </c>
      <c r="R1646" s="77">
        <v>0</v>
      </c>
      <c r="S1646" s="77">
        <v>18</v>
      </c>
    </row>
    <row r="1647" spans="17:19" customFormat="1" x14ac:dyDescent="0.2">
      <c r="Q1647" s="140">
        <v>41518</v>
      </c>
      <c r="R1647" s="77">
        <v>0</v>
      </c>
      <c r="S1647" s="77">
        <v>10.3</v>
      </c>
    </row>
    <row r="1648" spans="17:19" customFormat="1" x14ac:dyDescent="0.2">
      <c r="Q1648" s="140">
        <v>41519</v>
      </c>
      <c r="R1648" s="77">
        <v>0.4</v>
      </c>
      <c r="S1648" s="77">
        <v>7.1</v>
      </c>
    </row>
    <row r="1649" spans="17:19" customFormat="1" x14ac:dyDescent="0.2">
      <c r="Q1649" s="140">
        <v>41520</v>
      </c>
      <c r="R1649" s="77">
        <v>3.2</v>
      </c>
      <c r="S1649" s="77">
        <v>4.4000000000000004</v>
      </c>
    </row>
    <row r="1650" spans="17:19" customFormat="1" x14ac:dyDescent="0.2">
      <c r="Q1650" s="140">
        <v>41521</v>
      </c>
      <c r="R1650" s="77">
        <v>3.4</v>
      </c>
      <c r="S1650" s="77">
        <v>6.1</v>
      </c>
    </row>
    <row r="1651" spans="17:19" customFormat="1" x14ac:dyDescent="0.2">
      <c r="Q1651" s="140">
        <v>41522</v>
      </c>
      <c r="R1651" s="77">
        <v>2</v>
      </c>
      <c r="S1651" s="77">
        <v>8.6999999999999993</v>
      </c>
    </row>
    <row r="1652" spans="17:19" customFormat="1" x14ac:dyDescent="0.2">
      <c r="Q1652" s="140">
        <v>41523</v>
      </c>
      <c r="R1652" s="77">
        <v>0.3</v>
      </c>
      <c r="S1652" s="77">
        <v>8.6999999999999993</v>
      </c>
    </row>
    <row r="1653" spans="17:19" customFormat="1" x14ac:dyDescent="0.2">
      <c r="Q1653" s="140">
        <v>41524</v>
      </c>
      <c r="R1653" s="77">
        <v>0.1</v>
      </c>
      <c r="S1653" s="77">
        <v>11</v>
      </c>
    </row>
    <row r="1654" spans="17:19" customFormat="1" x14ac:dyDescent="0.2">
      <c r="Q1654" s="140">
        <v>41525</v>
      </c>
      <c r="R1654" s="77">
        <v>0</v>
      </c>
      <c r="S1654" s="77">
        <v>11.8</v>
      </c>
    </row>
    <row r="1655" spans="17:19" customFormat="1" x14ac:dyDescent="0.2">
      <c r="Q1655" s="140">
        <v>41526</v>
      </c>
      <c r="R1655" s="77">
        <v>0</v>
      </c>
      <c r="S1655" s="77">
        <v>16.2</v>
      </c>
    </row>
    <row r="1656" spans="17:19" customFormat="1" x14ac:dyDescent="0.2">
      <c r="Q1656" s="140">
        <v>41527</v>
      </c>
      <c r="R1656" s="77">
        <v>0</v>
      </c>
      <c r="S1656" s="77">
        <v>16.600000000000001</v>
      </c>
    </row>
    <row r="1657" spans="17:19" customFormat="1" x14ac:dyDescent="0.2">
      <c r="Q1657" s="140">
        <v>41528</v>
      </c>
      <c r="R1657" s="77">
        <v>0</v>
      </c>
      <c r="S1657" s="77">
        <v>15.1</v>
      </c>
    </row>
    <row r="1658" spans="17:19" customFormat="1" x14ac:dyDescent="0.2">
      <c r="Q1658" s="140">
        <v>41529</v>
      </c>
      <c r="R1658" s="77">
        <v>0.3</v>
      </c>
      <c r="S1658" s="77">
        <v>7.3</v>
      </c>
    </row>
    <row r="1659" spans="17:19" customFormat="1" x14ac:dyDescent="0.2">
      <c r="Q1659" s="140">
        <v>41530</v>
      </c>
      <c r="R1659" s="77">
        <v>5.4</v>
      </c>
      <c r="S1659" s="77">
        <v>1.6</v>
      </c>
    </row>
    <row r="1660" spans="17:19" customFormat="1" x14ac:dyDescent="0.2">
      <c r="Q1660" s="140">
        <v>41531</v>
      </c>
      <c r="R1660" s="77">
        <v>8.8000000000000007</v>
      </c>
      <c r="S1660" s="77">
        <v>1.5</v>
      </c>
    </row>
    <row r="1661" spans="17:19" customFormat="1" x14ac:dyDescent="0.2">
      <c r="Q1661" s="140">
        <v>41532</v>
      </c>
      <c r="R1661" s="77">
        <v>3.5</v>
      </c>
      <c r="S1661" s="77">
        <v>3</v>
      </c>
    </row>
    <row r="1662" spans="17:19" customFormat="1" x14ac:dyDescent="0.2">
      <c r="Q1662" s="140">
        <v>41533</v>
      </c>
      <c r="R1662" s="77">
        <v>4</v>
      </c>
      <c r="S1662" s="77">
        <v>1.1000000000000001</v>
      </c>
    </row>
    <row r="1663" spans="17:19" customFormat="1" x14ac:dyDescent="0.2">
      <c r="Q1663" s="140">
        <v>41534</v>
      </c>
      <c r="R1663" s="77">
        <v>4.7</v>
      </c>
      <c r="S1663" s="77">
        <v>2.7</v>
      </c>
    </row>
    <row r="1664" spans="17:19" customFormat="1" x14ac:dyDescent="0.2">
      <c r="Q1664" s="140">
        <v>41535</v>
      </c>
      <c r="R1664" s="77">
        <v>0.2</v>
      </c>
      <c r="S1664" s="77">
        <v>8.6999999999999993</v>
      </c>
    </row>
    <row r="1665" spans="17:19" customFormat="1" x14ac:dyDescent="0.2">
      <c r="Q1665" s="140">
        <v>41536</v>
      </c>
      <c r="R1665" s="77">
        <v>0</v>
      </c>
      <c r="S1665" s="77">
        <v>15.5</v>
      </c>
    </row>
    <row r="1666" spans="17:19" customFormat="1" x14ac:dyDescent="0.2">
      <c r="Q1666" s="140">
        <v>41537</v>
      </c>
      <c r="R1666" s="77">
        <v>1.4</v>
      </c>
      <c r="S1666" s="77">
        <v>3.3</v>
      </c>
    </row>
    <row r="1667" spans="17:19" customFormat="1" x14ac:dyDescent="0.2">
      <c r="Q1667" s="140">
        <v>41538</v>
      </c>
      <c r="R1667" s="77">
        <v>7.8</v>
      </c>
      <c r="S1667" s="77">
        <v>1.2</v>
      </c>
    </row>
    <row r="1668" spans="17:19" customFormat="1" x14ac:dyDescent="0.2">
      <c r="Q1668" s="140">
        <v>41539</v>
      </c>
      <c r="R1668" s="77">
        <v>9.3000000000000007</v>
      </c>
      <c r="S1668" s="77">
        <v>1.8</v>
      </c>
    </row>
    <row r="1669" spans="17:19" customFormat="1" x14ac:dyDescent="0.2">
      <c r="Q1669" s="140">
        <v>41540</v>
      </c>
      <c r="R1669" s="77">
        <v>7.2</v>
      </c>
      <c r="S1669" s="77">
        <v>2.6</v>
      </c>
    </row>
    <row r="1670" spans="17:19" customFormat="1" x14ac:dyDescent="0.2">
      <c r="Q1670" s="140">
        <v>41541</v>
      </c>
      <c r="R1670" s="77">
        <v>4.8</v>
      </c>
      <c r="S1670" s="77">
        <v>4</v>
      </c>
    </row>
    <row r="1671" spans="17:19" customFormat="1" x14ac:dyDescent="0.2">
      <c r="Q1671" s="140">
        <v>41542</v>
      </c>
      <c r="R1671" s="77">
        <v>2.2000000000000002</v>
      </c>
      <c r="S1671" s="77">
        <v>5.6</v>
      </c>
    </row>
    <row r="1672" spans="17:19" customFormat="1" x14ac:dyDescent="0.2">
      <c r="Q1672" s="140">
        <v>41543</v>
      </c>
      <c r="R1672" s="77">
        <v>2.2000000000000002</v>
      </c>
      <c r="S1672" s="77">
        <v>5.9</v>
      </c>
    </row>
    <row r="1673" spans="17:19" customFormat="1" x14ac:dyDescent="0.2">
      <c r="Q1673" s="140">
        <v>41544</v>
      </c>
      <c r="R1673" s="77">
        <v>3.1</v>
      </c>
      <c r="S1673" s="77">
        <v>5.7</v>
      </c>
    </row>
    <row r="1674" spans="17:19" customFormat="1" x14ac:dyDescent="0.2">
      <c r="Q1674" s="140">
        <v>41545</v>
      </c>
      <c r="R1674" s="77">
        <v>1.5</v>
      </c>
      <c r="S1674" s="77">
        <v>7.7</v>
      </c>
    </row>
    <row r="1675" spans="17:19" customFormat="1" x14ac:dyDescent="0.2">
      <c r="Q1675" s="140">
        <v>41546</v>
      </c>
      <c r="R1675" s="77">
        <v>6.4</v>
      </c>
      <c r="S1675" s="77">
        <v>1.7</v>
      </c>
    </row>
    <row r="1676" spans="17:19" customFormat="1" x14ac:dyDescent="0.2">
      <c r="Q1676" s="140">
        <v>41547</v>
      </c>
      <c r="R1676" s="77">
        <v>7.2</v>
      </c>
      <c r="S1676" s="77">
        <v>3</v>
      </c>
    </row>
    <row r="1677" spans="17:19" customFormat="1" x14ac:dyDescent="0.2">
      <c r="Q1677" s="140">
        <v>41548</v>
      </c>
      <c r="R1677" s="77">
        <v>0.2</v>
      </c>
      <c r="S1677" s="77">
        <v>4.4000000000000004</v>
      </c>
    </row>
    <row r="1678" spans="17:19" customFormat="1" x14ac:dyDescent="0.2">
      <c r="Q1678" s="140">
        <v>41549</v>
      </c>
      <c r="R1678" s="77">
        <v>0</v>
      </c>
      <c r="S1678" s="77">
        <v>7.3</v>
      </c>
    </row>
    <row r="1679" spans="17:19" customFormat="1" x14ac:dyDescent="0.2">
      <c r="Q1679" s="140">
        <v>41550</v>
      </c>
      <c r="R1679" s="77">
        <v>0</v>
      </c>
      <c r="S1679" s="77">
        <v>8.6999999999999993</v>
      </c>
    </row>
    <row r="1680" spans="17:19" customFormat="1" x14ac:dyDescent="0.2">
      <c r="Q1680" s="140">
        <v>41551</v>
      </c>
      <c r="R1680" s="77">
        <v>0</v>
      </c>
      <c r="S1680" s="77">
        <v>10.9</v>
      </c>
    </row>
    <row r="1681" spans="17:19" customFormat="1" x14ac:dyDescent="0.2">
      <c r="Q1681" s="140">
        <v>41552</v>
      </c>
      <c r="R1681" s="77">
        <v>1.1000000000000001</v>
      </c>
      <c r="S1681" s="77">
        <v>7.2</v>
      </c>
    </row>
    <row r="1682" spans="17:19" customFormat="1" x14ac:dyDescent="0.2">
      <c r="Q1682" s="140">
        <v>41553</v>
      </c>
      <c r="R1682" s="77">
        <v>13.4</v>
      </c>
      <c r="S1682" s="77">
        <v>0</v>
      </c>
    </row>
    <row r="1683" spans="17:19" customFormat="1" x14ac:dyDescent="0.2">
      <c r="Q1683" s="140">
        <v>41554</v>
      </c>
      <c r="R1683" s="77">
        <v>11.5</v>
      </c>
      <c r="S1683" s="77">
        <v>0.8</v>
      </c>
    </row>
    <row r="1684" spans="17:19" customFormat="1" x14ac:dyDescent="0.2">
      <c r="Q1684" s="140">
        <v>41555</v>
      </c>
      <c r="R1684" s="77">
        <v>8</v>
      </c>
      <c r="S1684" s="77">
        <v>2.9</v>
      </c>
    </row>
    <row r="1685" spans="17:19" customFormat="1" x14ac:dyDescent="0.2">
      <c r="Q1685" s="140">
        <v>41556</v>
      </c>
      <c r="R1685" s="77">
        <v>8.8000000000000007</v>
      </c>
      <c r="S1685" s="77">
        <v>1.8</v>
      </c>
    </row>
    <row r="1686" spans="17:19" customFormat="1" x14ac:dyDescent="0.2">
      <c r="Q1686" s="140">
        <v>41557</v>
      </c>
      <c r="R1686" s="77">
        <v>6.7</v>
      </c>
      <c r="S1686" s="77">
        <v>3.8</v>
      </c>
    </row>
    <row r="1687" spans="17:19" customFormat="1" x14ac:dyDescent="0.2">
      <c r="Q1687" s="140">
        <v>41558</v>
      </c>
      <c r="R1687" s="77">
        <v>2.9</v>
      </c>
      <c r="S1687" s="77">
        <v>5</v>
      </c>
    </row>
    <row r="1688" spans="17:19" customFormat="1" x14ac:dyDescent="0.2">
      <c r="Q1688" s="140">
        <v>41559</v>
      </c>
      <c r="R1688" s="77">
        <v>2.9</v>
      </c>
      <c r="S1688" s="77">
        <v>2.2999999999999998</v>
      </c>
    </row>
    <row r="1689" spans="17:19" customFormat="1" x14ac:dyDescent="0.2">
      <c r="Q1689" s="140">
        <v>41560</v>
      </c>
      <c r="R1689" s="77">
        <v>12.9</v>
      </c>
      <c r="S1689" s="77">
        <v>1</v>
      </c>
    </row>
    <row r="1690" spans="17:19" customFormat="1" x14ac:dyDescent="0.2">
      <c r="Q1690" s="140">
        <v>41561</v>
      </c>
      <c r="R1690" s="77">
        <v>11.5</v>
      </c>
      <c r="S1690" s="77">
        <v>0.4</v>
      </c>
    </row>
    <row r="1691" spans="17:19" customFormat="1" x14ac:dyDescent="0.2">
      <c r="Q1691" s="140">
        <v>41562</v>
      </c>
      <c r="R1691" s="77">
        <v>4.8</v>
      </c>
      <c r="S1691" s="77">
        <v>0.2</v>
      </c>
    </row>
    <row r="1692" spans="17:19" customFormat="1" x14ac:dyDescent="0.2">
      <c r="Q1692" s="140">
        <v>41563</v>
      </c>
      <c r="R1692" s="77">
        <v>15.7</v>
      </c>
      <c r="S1692" s="77">
        <v>0</v>
      </c>
    </row>
    <row r="1693" spans="17:19" customFormat="1" x14ac:dyDescent="0.2">
      <c r="Q1693" s="140">
        <v>41564</v>
      </c>
      <c r="R1693" s="77">
        <v>12.9</v>
      </c>
      <c r="S1693" s="77">
        <v>0</v>
      </c>
    </row>
    <row r="1694" spans="17:19" customFormat="1" x14ac:dyDescent="0.2">
      <c r="Q1694" s="140">
        <v>41565</v>
      </c>
      <c r="R1694" s="77">
        <v>16.600000000000001</v>
      </c>
      <c r="S1694" s="77">
        <v>0</v>
      </c>
    </row>
    <row r="1695" spans="17:19" customFormat="1" x14ac:dyDescent="0.2">
      <c r="Q1695" s="140">
        <v>41566</v>
      </c>
      <c r="R1695" s="77">
        <v>18.100000000000001</v>
      </c>
      <c r="S1695" s="77">
        <v>0</v>
      </c>
    </row>
    <row r="1696" spans="17:19" customFormat="1" x14ac:dyDescent="0.2">
      <c r="Q1696" s="140">
        <v>41567</v>
      </c>
      <c r="R1696" s="77">
        <v>11</v>
      </c>
      <c r="S1696" s="77">
        <v>0.8</v>
      </c>
    </row>
    <row r="1697" spans="17:19" customFormat="1" x14ac:dyDescent="0.2">
      <c r="Q1697" s="140">
        <v>41568</v>
      </c>
      <c r="R1697" s="77">
        <v>18.5</v>
      </c>
      <c r="S1697" s="77">
        <v>0</v>
      </c>
    </row>
    <row r="1698" spans="17:19" customFormat="1" x14ac:dyDescent="0.2">
      <c r="Q1698" s="140">
        <v>41569</v>
      </c>
      <c r="R1698" s="77">
        <v>25.8</v>
      </c>
      <c r="S1698" s="77">
        <v>0</v>
      </c>
    </row>
    <row r="1699" spans="17:19" customFormat="1" x14ac:dyDescent="0.2">
      <c r="Q1699" s="140">
        <v>41570</v>
      </c>
      <c r="R1699" s="77">
        <v>25.4</v>
      </c>
      <c r="S1699" s="77">
        <v>0</v>
      </c>
    </row>
    <row r="1700" spans="17:19" customFormat="1" x14ac:dyDescent="0.2">
      <c r="Q1700" s="140">
        <v>41571</v>
      </c>
      <c r="R1700" s="77">
        <v>28.1</v>
      </c>
      <c r="S1700" s="77">
        <v>0</v>
      </c>
    </row>
    <row r="1701" spans="17:19" customFormat="1" x14ac:dyDescent="0.2">
      <c r="Q1701" s="140">
        <v>41572</v>
      </c>
      <c r="R1701" s="77">
        <v>26.3</v>
      </c>
      <c r="S1701" s="77">
        <v>0</v>
      </c>
    </row>
    <row r="1702" spans="17:19" customFormat="1" x14ac:dyDescent="0.2">
      <c r="Q1702" s="140">
        <v>41573</v>
      </c>
      <c r="R1702" s="77">
        <v>18.399999999999999</v>
      </c>
      <c r="S1702" s="77">
        <v>0</v>
      </c>
    </row>
    <row r="1703" spans="17:19" customFormat="1" x14ac:dyDescent="0.2">
      <c r="Q1703" s="140">
        <v>41574</v>
      </c>
      <c r="R1703" s="77">
        <v>23.9</v>
      </c>
      <c r="S1703" s="77">
        <v>0</v>
      </c>
    </row>
    <row r="1704" spans="17:19" customFormat="1" x14ac:dyDescent="0.2">
      <c r="Q1704" s="140">
        <v>41575</v>
      </c>
      <c r="R1704" s="77">
        <v>18.5</v>
      </c>
      <c r="S1704" s="77">
        <v>0</v>
      </c>
    </row>
    <row r="1705" spans="17:19" customFormat="1" x14ac:dyDescent="0.2">
      <c r="Q1705" s="140">
        <v>41576</v>
      </c>
      <c r="R1705" s="77">
        <v>16.399999999999999</v>
      </c>
      <c r="S1705" s="77">
        <v>0</v>
      </c>
    </row>
    <row r="1706" spans="17:19" customFormat="1" x14ac:dyDescent="0.2">
      <c r="Q1706" s="140">
        <v>41577</v>
      </c>
      <c r="R1706" s="77">
        <v>4.9000000000000004</v>
      </c>
      <c r="S1706" s="77">
        <v>0.3</v>
      </c>
    </row>
    <row r="1707" spans="17:19" customFormat="1" x14ac:dyDescent="0.2">
      <c r="Q1707" s="140">
        <v>41578</v>
      </c>
      <c r="R1707" s="77">
        <v>6.5</v>
      </c>
      <c r="S1707" s="77">
        <v>0</v>
      </c>
    </row>
    <row r="1708" spans="17:19" customFormat="1" x14ac:dyDescent="0.2">
      <c r="Q1708" s="140">
        <v>41579</v>
      </c>
      <c r="R1708" s="77">
        <v>17.5</v>
      </c>
      <c r="S1708" s="77">
        <v>0</v>
      </c>
    </row>
    <row r="1709" spans="17:19" customFormat="1" x14ac:dyDescent="0.2">
      <c r="Q1709" s="140">
        <v>41580</v>
      </c>
      <c r="R1709" s="77">
        <v>21.2</v>
      </c>
      <c r="S1709" s="77">
        <v>0</v>
      </c>
    </row>
    <row r="1710" spans="17:19" customFormat="1" x14ac:dyDescent="0.2">
      <c r="Q1710" s="140">
        <v>41581</v>
      </c>
      <c r="R1710" s="77">
        <v>24</v>
      </c>
      <c r="S1710" s="77">
        <v>2</v>
      </c>
    </row>
    <row r="1711" spans="17:19" customFormat="1" x14ac:dyDescent="0.2">
      <c r="Q1711" s="140">
        <v>41582</v>
      </c>
      <c r="R1711" s="77">
        <v>13.4</v>
      </c>
      <c r="S1711" s="77">
        <v>0</v>
      </c>
    </row>
    <row r="1712" spans="17:19" customFormat="1" x14ac:dyDescent="0.2">
      <c r="Q1712" s="140">
        <v>41583</v>
      </c>
      <c r="R1712" s="77">
        <v>10.8</v>
      </c>
      <c r="S1712" s="77">
        <v>0</v>
      </c>
    </row>
    <row r="1713" spans="17:19" customFormat="1" x14ac:dyDescent="0.2">
      <c r="Q1713" s="140">
        <v>41584</v>
      </c>
      <c r="R1713" s="77">
        <v>17.899999999999999</v>
      </c>
      <c r="S1713" s="77">
        <v>0</v>
      </c>
    </row>
    <row r="1714" spans="17:19" customFormat="1" x14ac:dyDescent="0.2">
      <c r="Q1714" s="140">
        <v>41585</v>
      </c>
      <c r="R1714" s="77">
        <v>26.6</v>
      </c>
      <c r="S1714" s="77">
        <v>0</v>
      </c>
    </row>
    <row r="1715" spans="17:19" customFormat="1" x14ac:dyDescent="0.2">
      <c r="Q1715" s="140">
        <v>41586</v>
      </c>
      <c r="R1715" s="77">
        <v>23.7</v>
      </c>
      <c r="S1715" s="77">
        <v>0</v>
      </c>
    </row>
    <row r="1716" spans="17:19" customFormat="1" x14ac:dyDescent="0.2">
      <c r="Q1716" s="140">
        <v>41587</v>
      </c>
      <c r="R1716" s="77">
        <v>13.8</v>
      </c>
      <c r="S1716" s="77">
        <v>0</v>
      </c>
    </row>
    <row r="1717" spans="17:19" customFormat="1" x14ac:dyDescent="0.2">
      <c r="Q1717" s="140">
        <v>41588</v>
      </c>
      <c r="R1717" s="77">
        <v>23.8</v>
      </c>
      <c r="S1717" s="77">
        <v>0</v>
      </c>
    </row>
    <row r="1718" spans="17:19" customFormat="1" x14ac:dyDescent="0.2">
      <c r="Q1718" s="140">
        <v>41589</v>
      </c>
      <c r="R1718" s="77">
        <v>21.9</v>
      </c>
      <c r="S1718" s="77">
        <v>0</v>
      </c>
    </row>
    <row r="1719" spans="17:19" customFormat="1" x14ac:dyDescent="0.2">
      <c r="Q1719" s="140">
        <v>41590</v>
      </c>
      <c r="R1719" s="77">
        <v>39.9</v>
      </c>
      <c r="S1719" s="77">
        <v>0</v>
      </c>
    </row>
    <row r="1720" spans="17:19" customFormat="1" x14ac:dyDescent="0.2">
      <c r="Q1720" s="140">
        <v>41591</v>
      </c>
      <c r="R1720" s="77">
        <v>34.9</v>
      </c>
      <c r="S1720" s="77">
        <v>0</v>
      </c>
    </row>
    <row r="1721" spans="17:19" customFormat="1" x14ac:dyDescent="0.2">
      <c r="Q1721" s="140">
        <v>41592</v>
      </c>
      <c r="R1721" s="77">
        <v>23.4</v>
      </c>
      <c r="S1721" s="77">
        <v>0</v>
      </c>
    </row>
    <row r="1722" spans="17:19" customFormat="1" x14ac:dyDescent="0.2">
      <c r="Q1722" s="140">
        <v>41593</v>
      </c>
      <c r="R1722" s="77">
        <v>20</v>
      </c>
      <c r="S1722" s="77">
        <v>0</v>
      </c>
    </row>
    <row r="1723" spans="17:19" customFormat="1" x14ac:dyDescent="0.2">
      <c r="Q1723" s="140">
        <v>41594</v>
      </c>
      <c r="R1723" s="77">
        <v>9.6</v>
      </c>
      <c r="S1723" s="77">
        <v>0</v>
      </c>
    </row>
    <row r="1724" spans="17:19" customFormat="1" x14ac:dyDescent="0.2">
      <c r="Q1724" s="140">
        <v>41595</v>
      </c>
      <c r="R1724" s="77">
        <v>5.9</v>
      </c>
      <c r="S1724" s="77">
        <v>1</v>
      </c>
    </row>
    <row r="1725" spans="17:19" customFormat="1" x14ac:dyDescent="0.2">
      <c r="Q1725" s="140">
        <v>41596</v>
      </c>
      <c r="R1725" s="77">
        <v>23.1</v>
      </c>
      <c r="S1725" s="77">
        <v>0</v>
      </c>
    </row>
    <row r="1726" spans="17:19" customFormat="1" x14ac:dyDescent="0.2">
      <c r="Q1726" s="140">
        <v>41597</v>
      </c>
      <c r="R1726" s="77">
        <v>29.7</v>
      </c>
      <c r="S1726" s="77">
        <v>0</v>
      </c>
    </row>
    <row r="1727" spans="17:19" customFormat="1" x14ac:dyDescent="0.2">
      <c r="Q1727" s="140">
        <v>41598</v>
      </c>
      <c r="R1727" s="77">
        <v>27</v>
      </c>
      <c r="S1727" s="77">
        <v>0</v>
      </c>
    </row>
    <row r="1728" spans="17:19" customFormat="1" x14ac:dyDescent="0.2">
      <c r="Q1728" s="140">
        <v>41599</v>
      </c>
      <c r="R1728" s="77">
        <v>17.3</v>
      </c>
      <c r="S1728" s="77">
        <v>0</v>
      </c>
    </row>
    <row r="1729" spans="17:19" customFormat="1" x14ac:dyDescent="0.2">
      <c r="Q1729" s="140">
        <v>41600</v>
      </c>
      <c r="R1729" s="77">
        <v>27.7</v>
      </c>
      <c r="S1729" s="77">
        <v>0</v>
      </c>
    </row>
    <row r="1730" spans="17:19" customFormat="1" x14ac:dyDescent="0.2">
      <c r="Q1730" s="140">
        <v>41601</v>
      </c>
      <c r="R1730" s="77">
        <v>41.5</v>
      </c>
      <c r="S1730" s="77">
        <v>0</v>
      </c>
    </row>
    <row r="1731" spans="17:19" customFormat="1" x14ac:dyDescent="0.2">
      <c r="Q1731" s="140">
        <v>41602</v>
      </c>
      <c r="R1731" s="77">
        <v>45.9</v>
      </c>
      <c r="S1731" s="77">
        <v>0</v>
      </c>
    </row>
    <row r="1732" spans="17:19" customFormat="1" x14ac:dyDescent="0.2">
      <c r="Q1732" s="140">
        <v>41603</v>
      </c>
      <c r="R1732" s="77">
        <v>34.9</v>
      </c>
      <c r="S1732" s="77">
        <v>0</v>
      </c>
    </row>
    <row r="1733" spans="17:19" customFormat="1" x14ac:dyDescent="0.2">
      <c r="Q1733" s="140">
        <v>41604</v>
      </c>
      <c r="R1733" s="77">
        <v>37.200000000000003</v>
      </c>
      <c r="S1733" s="77">
        <v>0</v>
      </c>
    </row>
    <row r="1734" spans="17:19" customFormat="1" x14ac:dyDescent="0.2">
      <c r="Q1734" s="140">
        <v>41605</v>
      </c>
      <c r="R1734" s="77">
        <v>45.4</v>
      </c>
      <c r="S1734" s="77">
        <v>0</v>
      </c>
    </row>
    <row r="1735" spans="17:19" customFormat="1" x14ac:dyDescent="0.2">
      <c r="Q1735" s="140">
        <v>41606</v>
      </c>
      <c r="R1735" s="77">
        <v>36.299999999999997</v>
      </c>
      <c r="S1735" s="77">
        <v>0</v>
      </c>
    </row>
    <row r="1736" spans="17:19" customFormat="1" x14ac:dyDescent="0.2">
      <c r="Q1736" s="140">
        <v>41607</v>
      </c>
      <c r="R1736" s="77">
        <v>36.6</v>
      </c>
      <c r="S1736" s="77">
        <v>0</v>
      </c>
    </row>
    <row r="1737" spans="17:19" customFormat="1" x14ac:dyDescent="0.2">
      <c r="Q1737" s="140">
        <v>41608</v>
      </c>
      <c r="R1737" s="77">
        <v>24.9</v>
      </c>
      <c r="S1737" s="77">
        <v>0</v>
      </c>
    </row>
    <row r="1738" spans="17:19" customFormat="1" x14ac:dyDescent="0.2">
      <c r="Q1738" s="140">
        <v>41609</v>
      </c>
      <c r="R1738" s="77">
        <v>26.8</v>
      </c>
      <c r="S1738" s="77">
        <v>0</v>
      </c>
    </row>
    <row r="1739" spans="17:19" customFormat="1" x14ac:dyDescent="0.2">
      <c r="Q1739" s="140">
        <v>41610</v>
      </c>
      <c r="R1739" s="77">
        <v>25.5</v>
      </c>
      <c r="S1739" s="77">
        <v>0</v>
      </c>
    </row>
    <row r="1740" spans="17:19" customFormat="1" x14ac:dyDescent="0.2">
      <c r="Q1740" s="140">
        <v>41611</v>
      </c>
      <c r="R1740" s="77">
        <v>17.7</v>
      </c>
      <c r="S1740" s="77">
        <v>0</v>
      </c>
    </row>
    <row r="1741" spans="17:19" customFormat="1" x14ac:dyDescent="0.2">
      <c r="Q1741" s="140">
        <v>41612</v>
      </c>
      <c r="R1741" s="77">
        <v>14.5</v>
      </c>
      <c r="S1741" s="77">
        <v>0</v>
      </c>
    </row>
    <row r="1742" spans="17:19" customFormat="1" x14ac:dyDescent="0.2">
      <c r="Q1742" s="140">
        <v>41613</v>
      </c>
      <c r="R1742" s="77">
        <v>39.6</v>
      </c>
      <c r="S1742" s="77">
        <v>0</v>
      </c>
    </row>
    <row r="1743" spans="17:19" customFormat="1" x14ac:dyDescent="0.2">
      <c r="Q1743" s="140">
        <v>41614</v>
      </c>
      <c r="R1743" s="77">
        <v>46.7</v>
      </c>
      <c r="S1743" s="77">
        <v>0</v>
      </c>
    </row>
    <row r="1744" spans="17:19" customFormat="1" x14ac:dyDescent="0.2">
      <c r="Q1744" s="140">
        <v>41615</v>
      </c>
      <c r="R1744" s="77">
        <v>50.4</v>
      </c>
      <c r="S1744" s="77">
        <v>0</v>
      </c>
    </row>
    <row r="1745" spans="17:19" customFormat="1" x14ac:dyDescent="0.2">
      <c r="Q1745" s="140">
        <v>41616</v>
      </c>
      <c r="R1745" s="77">
        <v>42.6</v>
      </c>
      <c r="S1745" s="77">
        <v>0</v>
      </c>
    </row>
    <row r="1746" spans="17:19" customFormat="1" x14ac:dyDescent="0.2">
      <c r="Q1746" s="140">
        <v>41617</v>
      </c>
      <c r="R1746" s="77">
        <v>44.8</v>
      </c>
      <c r="S1746" s="77">
        <v>0</v>
      </c>
    </row>
    <row r="1747" spans="17:19" customFormat="1" x14ac:dyDescent="0.2">
      <c r="Q1747" s="140">
        <v>41618</v>
      </c>
      <c r="R1747" s="77">
        <v>46.6</v>
      </c>
      <c r="S1747" s="77">
        <v>0</v>
      </c>
    </row>
    <row r="1748" spans="17:19" customFormat="1" x14ac:dyDescent="0.2">
      <c r="Q1748" s="140">
        <v>41619</v>
      </c>
      <c r="R1748" s="77">
        <v>47</v>
      </c>
      <c r="S1748" s="77">
        <v>0</v>
      </c>
    </row>
    <row r="1749" spans="17:19" customFormat="1" x14ac:dyDescent="0.2">
      <c r="Q1749" s="140">
        <v>41620</v>
      </c>
      <c r="R1749" s="77">
        <v>46</v>
      </c>
      <c r="S1749" s="77">
        <v>0</v>
      </c>
    </row>
    <row r="1750" spans="17:19" customFormat="1" x14ac:dyDescent="0.2">
      <c r="Q1750" s="140">
        <v>41621</v>
      </c>
      <c r="R1750" s="77">
        <v>35.299999999999997</v>
      </c>
      <c r="S1750" s="77">
        <v>0</v>
      </c>
    </row>
    <row r="1751" spans="17:19" customFormat="1" x14ac:dyDescent="0.2">
      <c r="Q1751" s="140">
        <v>41622</v>
      </c>
      <c r="R1751" s="77">
        <v>34.5</v>
      </c>
      <c r="S1751" s="77">
        <v>0</v>
      </c>
    </row>
    <row r="1752" spans="17:19" customFormat="1" x14ac:dyDescent="0.2">
      <c r="Q1752" s="140">
        <v>41623</v>
      </c>
      <c r="R1752" s="77">
        <v>44.7</v>
      </c>
      <c r="S1752" s="77">
        <v>0</v>
      </c>
    </row>
    <row r="1753" spans="17:19" customFormat="1" x14ac:dyDescent="0.2">
      <c r="Q1753" s="140">
        <v>41624</v>
      </c>
      <c r="R1753" s="77">
        <v>44.1</v>
      </c>
      <c r="S1753" s="77">
        <v>0</v>
      </c>
    </row>
    <row r="1754" spans="17:19" customFormat="1" x14ac:dyDescent="0.2">
      <c r="Q1754" s="140">
        <v>41625</v>
      </c>
      <c r="R1754" s="77">
        <v>39.9</v>
      </c>
      <c r="S1754" s="77">
        <v>0</v>
      </c>
    </row>
    <row r="1755" spans="17:19" customFormat="1" x14ac:dyDescent="0.2">
      <c r="Q1755" s="140">
        <v>41626</v>
      </c>
      <c r="R1755" s="77">
        <v>36.6</v>
      </c>
      <c r="S1755" s="77">
        <v>0</v>
      </c>
    </row>
    <row r="1756" spans="17:19" customFormat="1" x14ac:dyDescent="0.2">
      <c r="Q1756" s="140">
        <v>41627</v>
      </c>
      <c r="R1756" s="77">
        <v>22</v>
      </c>
      <c r="S1756" s="77">
        <v>0</v>
      </c>
    </row>
    <row r="1757" spans="17:19" customFormat="1" x14ac:dyDescent="0.2">
      <c r="Q1757" s="140">
        <v>41628</v>
      </c>
      <c r="R1757" s="77">
        <v>19.7</v>
      </c>
      <c r="S1757" s="77">
        <v>0</v>
      </c>
    </row>
    <row r="1758" spans="17:19" customFormat="1" x14ac:dyDescent="0.2">
      <c r="Q1758" s="140">
        <v>41629</v>
      </c>
      <c r="R1758" s="77">
        <v>33.6</v>
      </c>
      <c r="S1758" s="77">
        <v>0</v>
      </c>
    </row>
    <row r="1759" spans="17:19" customFormat="1" x14ac:dyDescent="0.2">
      <c r="Q1759" s="140">
        <v>41630</v>
      </c>
      <c r="R1759" s="77">
        <v>34.6</v>
      </c>
      <c r="S1759" s="77">
        <v>0</v>
      </c>
    </row>
    <row r="1760" spans="17:19" customFormat="1" x14ac:dyDescent="0.2">
      <c r="Q1760" s="140">
        <v>41631</v>
      </c>
      <c r="R1760" s="77">
        <v>49</v>
      </c>
      <c r="S1760" s="77">
        <v>0</v>
      </c>
    </row>
    <row r="1761" spans="17:19" customFormat="1" x14ac:dyDescent="0.2">
      <c r="Q1761" s="140">
        <v>41632</v>
      </c>
      <c r="R1761" s="77">
        <v>52.8</v>
      </c>
      <c r="S1761" s="77">
        <v>0</v>
      </c>
    </row>
    <row r="1762" spans="17:19" customFormat="1" x14ac:dyDescent="0.2">
      <c r="Q1762" s="140">
        <v>41633</v>
      </c>
      <c r="R1762" s="77">
        <v>37.5</v>
      </c>
      <c r="S1762" s="77">
        <v>0</v>
      </c>
    </row>
    <row r="1763" spans="17:19" customFormat="1" x14ac:dyDescent="0.2">
      <c r="Q1763" s="140">
        <v>41634</v>
      </c>
      <c r="R1763" s="77">
        <v>33.1</v>
      </c>
      <c r="S1763" s="77">
        <v>0</v>
      </c>
    </row>
    <row r="1764" spans="17:19" customFormat="1" x14ac:dyDescent="0.2">
      <c r="Q1764" s="140">
        <v>41635</v>
      </c>
      <c r="R1764" s="77">
        <v>27.9</v>
      </c>
      <c r="S1764" s="77">
        <v>0</v>
      </c>
    </row>
    <row r="1765" spans="17:19" customFormat="1" x14ac:dyDescent="0.2">
      <c r="Q1765" s="140">
        <v>41636</v>
      </c>
      <c r="R1765" s="77">
        <v>22.4</v>
      </c>
      <c r="S1765" s="77">
        <v>0</v>
      </c>
    </row>
    <row r="1766" spans="17:19" customFormat="1" x14ac:dyDescent="0.2">
      <c r="Q1766" s="140">
        <v>41637</v>
      </c>
      <c r="R1766" s="77">
        <v>40.1</v>
      </c>
      <c r="S1766" s="77">
        <v>0</v>
      </c>
    </row>
    <row r="1767" spans="17:19" customFormat="1" x14ac:dyDescent="0.2">
      <c r="Q1767" s="140">
        <v>41638</v>
      </c>
      <c r="R1767" s="77">
        <v>53.1</v>
      </c>
      <c r="S1767" s="77">
        <v>0</v>
      </c>
    </row>
    <row r="1768" spans="17:19" customFormat="1" x14ac:dyDescent="0.2">
      <c r="Q1768" s="140">
        <v>41639</v>
      </c>
      <c r="R1768" s="77">
        <v>40.5</v>
      </c>
      <c r="S1768" s="77">
        <v>0</v>
      </c>
    </row>
    <row r="1769" spans="17:19" customFormat="1" x14ac:dyDescent="0.2">
      <c r="Q1769" s="140">
        <v>41640</v>
      </c>
      <c r="R1769" s="77">
        <v>40.700000000000003</v>
      </c>
      <c r="S1769" s="77">
        <v>0</v>
      </c>
    </row>
    <row r="1770" spans="17:19" customFormat="1" x14ac:dyDescent="0.2">
      <c r="Q1770" s="140">
        <v>41641</v>
      </c>
      <c r="R1770" s="77">
        <v>51.7</v>
      </c>
      <c r="S1770" s="77">
        <v>0</v>
      </c>
    </row>
    <row r="1771" spans="17:19" customFormat="1" x14ac:dyDescent="0.2">
      <c r="Q1771" s="140">
        <v>41642</v>
      </c>
      <c r="R1771" s="77">
        <v>54.8</v>
      </c>
      <c r="S1771" s="77">
        <v>0</v>
      </c>
    </row>
    <row r="1772" spans="17:19" customFormat="1" x14ac:dyDescent="0.2">
      <c r="Q1772" s="140">
        <v>41643</v>
      </c>
      <c r="R1772" s="77">
        <v>34.6</v>
      </c>
      <c r="S1772" s="77">
        <v>0</v>
      </c>
    </row>
    <row r="1773" spans="17:19" customFormat="1" x14ac:dyDescent="0.2">
      <c r="Q1773" s="140">
        <v>41644</v>
      </c>
      <c r="R1773" s="77">
        <v>50.7</v>
      </c>
      <c r="S1773" s="77">
        <v>0</v>
      </c>
    </row>
    <row r="1774" spans="17:19" customFormat="1" x14ac:dyDescent="0.2">
      <c r="Q1774" s="140">
        <v>41645</v>
      </c>
      <c r="R1774" s="77">
        <v>73.599999999999994</v>
      </c>
      <c r="S1774" s="77">
        <v>0</v>
      </c>
    </row>
    <row r="1775" spans="17:19" customFormat="1" x14ac:dyDescent="0.2">
      <c r="Q1775" s="140">
        <v>41646</v>
      </c>
      <c r="R1775" s="77">
        <v>61.9</v>
      </c>
      <c r="S1775" s="77">
        <v>0</v>
      </c>
    </row>
    <row r="1776" spans="17:19" customFormat="1" x14ac:dyDescent="0.2">
      <c r="Q1776" s="140">
        <v>41647</v>
      </c>
      <c r="R1776" s="77">
        <v>51.8</v>
      </c>
      <c r="S1776" s="77">
        <v>0</v>
      </c>
    </row>
    <row r="1777" spans="17:19" customFormat="1" x14ac:dyDescent="0.2">
      <c r="Q1777" s="140">
        <v>41648</v>
      </c>
      <c r="R1777" s="77">
        <v>41</v>
      </c>
      <c r="S1777" s="77">
        <v>0</v>
      </c>
    </row>
    <row r="1778" spans="17:19" customFormat="1" x14ac:dyDescent="0.2">
      <c r="Q1778" s="140">
        <v>41649</v>
      </c>
      <c r="R1778" s="77">
        <v>28.3</v>
      </c>
      <c r="S1778" s="77">
        <v>0</v>
      </c>
    </row>
    <row r="1779" spans="17:19" customFormat="1" x14ac:dyDescent="0.2">
      <c r="Q1779" s="140">
        <v>41650</v>
      </c>
      <c r="R1779" s="77">
        <v>27.7</v>
      </c>
      <c r="S1779" s="77">
        <v>0</v>
      </c>
    </row>
    <row r="1780" spans="17:19" customFormat="1" x14ac:dyDescent="0.2">
      <c r="Q1780" s="140">
        <v>41651</v>
      </c>
      <c r="R1780" s="77">
        <v>26.3</v>
      </c>
      <c r="S1780" s="77">
        <v>0</v>
      </c>
    </row>
    <row r="1781" spans="17:19" customFormat="1" x14ac:dyDescent="0.2">
      <c r="Q1781" s="140">
        <v>41652</v>
      </c>
      <c r="R1781" s="77">
        <v>24.1</v>
      </c>
      <c r="S1781" s="77">
        <v>0</v>
      </c>
    </row>
    <row r="1782" spans="17:19" customFormat="1" x14ac:dyDescent="0.2">
      <c r="Q1782" s="140">
        <v>41653</v>
      </c>
      <c r="R1782" s="77">
        <v>32.299999999999997</v>
      </c>
      <c r="S1782" s="77">
        <v>0</v>
      </c>
    </row>
    <row r="1783" spans="17:19" customFormat="1" x14ac:dyDescent="0.2">
      <c r="Q1783" s="140">
        <v>41654</v>
      </c>
      <c r="R1783" s="77">
        <v>42.9</v>
      </c>
      <c r="S1783" s="77">
        <v>0</v>
      </c>
    </row>
    <row r="1784" spans="17:19" customFormat="1" x14ac:dyDescent="0.2">
      <c r="Q1784" s="140">
        <v>41655</v>
      </c>
      <c r="R1784" s="77">
        <v>32.9</v>
      </c>
      <c r="S1784" s="77">
        <v>0</v>
      </c>
    </row>
    <row r="1785" spans="17:19" customFormat="1" x14ac:dyDescent="0.2">
      <c r="Q1785" s="140">
        <v>41656</v>
      </c>
      <c r="R1785" s="77">
        <v>50.2</v>
      </c>
      <c r="S1785" s="77">
        <v>0</v>
      </c>
    </row>
    <row r="1786" spans="17:19" customFormat="1" x14ac:dyDescent="0.2">
      <c r="Q1786" s="140">
        <v>41657</v>
      </c>
      <c r="R1786" s="77">
        <v>40.700000000000003</v>
      </c>
      <c r="S1786" s="77">
        <v>0</v>
      </c>
    </row>
    <row r="1787" spans="17:19" customFormat="1" x14ac:dyDescent="0.2">
      <c r="Q1787" s="140">
        <v>41658</v>
      </c>
      <c r="R1787" s="77">
        <v>32.700000000000003</v>
      </c>
      <c r="S1787" s="77">
        <v>0</v>
      </c>
    </row>
    <row r="1788" spans="17:19" customFormat="1" x14ac:dyDescent="0.2">
      <c r="Q1788" s="140">
        <v>41659</v>
      </c>
      <c r="R1788" s="77">
        <v>27.9</v>
      </c>
      <c r="S1788" s="77">
        <v>0</v>
      </c>
    </row>
    <row r="1789" spans="17:19" customFormat="1" x14ac:dyDescent="0.2">
      <c r="Q1789" s="140">
        <v>41660</v>
      </c>
      <c r="R1789" s="77">
        <v>54.9</v>
      </c>
      <c r="S1789" s="77">
        <v>0</v>
      </c>
    </row>
    <row r="1790" spans="17:19" customFormat="1" x14ac:dyDescent="0.2">
      <c r="Q1790" s="140">
        <v>41661</v>
      </c>
      <c r="R1790" s="77">
        <v>49.4</v>
      </c>
      <c r="S1790" s="77">
        <v>0</v>
      </c>
    </row>
    <row r="1791" spans="17:19" customFormat="1" x14ac:dyDescent="0.2">
      <c r="Q1791" s="140">
        <v>41662</v>
      </c>
      <c r="R1791" s="77">
        <v>61.9</v>
      </c>
      <c r="S1791" s="77">
        <v>0</v>
      </c>
    </row>
    <row r="1792" spans="17:19" customFormat="1" x14ac:dyDescent="0.2">
      <c r="Q1792" s="140">
        <v>41663</v>
      </c>
      <c r="R1792" s="77">
        <v>46.6</v>
      </c>
      <c r="S1792" s="77">
        <v>0</v>
      </c>
    </row>
    <row r="1793" spans="17:19" customFormat="1" x14ac:dyDescent="0.2">
      <c r="Q1793" s="140">
        <v>41664</v>
      </c>
      <c r="R1793" s="77">
        <v>36.299999999999997</v>
      </c>
      <c r="S1793" s="77">
        <v>0</v>
      </c>
    </row>
    <row r="1794" spans="17:19" customFormat="1" x14ac:dyDescent="0.2">
      <c r="Q1794" s="140">
        <v>41665</v>
      </c>
      <c r="R1794" s="77">
        <v>29</v>
      </c>
      <c r="S1794" s="77">
        <v>0</v>
      </c>
    </row>
    <row r="1795" spans="17:19" customFormat="1" x14ac:dyDescent="0.2">
      <c r="Q1795" s="140">
        <v>41666</v>
      </c>
      <c r="R1795" s="77">
        <v>58.6</v>
      </c>
      <c r="S1795" s="77">
        <v>0</v>
      </c>
    </row>
    <row r="1796" spans="17:19" customFormat="1" x14ac:dyDescent="0.2">
      <c r="Q1796" s="140">
        <v>41667</v>
      </c>
      <c r="R1796" s="77">
        <v>59.4</v>
      </c>
      <c r="S1796" s="77">
        <v>0</v>
      </c>
    </row>
    <row r="1797" spans="17:19" customFormat="1" x14ac:dyDescent="0.2">
      <c r="Q1797" s="140">
        <v>41668</v>
      </c>
      <c r="R1797" s="77">
        <v>45</v>
      </c>
      <c r="S1797" s="77">
        <v>0</v>
      </c>
    </row>
    <row r="1798" spans="17:19" customFormat="1" x14ac:dyDescent="0.2">
      <c r="Q1798" s="140">
        <v>41669</v>
      </c>
      <c r="R1798" s="77">
        <v>33.5</v>
      </c>
      <c r="S1798" s="77">
        <v>0</v>
      </c>
    </row>
    <row r="1799" spans="17:19" customFormat="1" x14ac:dyDescent="0.2">
      <c r="Q1799" s="140">
        <v>41670</v>
      </c>
      <c r="R1799" s="77">
        <v>41.5</v>
      </c>
      <c r="S1799" s="77">
        <v>0</v>
      </c>
    </row>
    <row r="1800" spans="17:19" customFormat="1" x14ac:dyDescent="0.2">
      <c r="Q1800" s="140">
        <v>41671</v>
      </c>
      <c r="R1800" s="77">
        <v>35.5</v>
      </c>
      <c r="S1800" s="77">
        <v>0</v>
      </c>
    </row>
    <row r="1801" spans="17:19" customFormat="1" x14ac:dyDescent="0.2">
      <c r="Q1801" s="140">
        <v>41672</v>
      </c>
      <c r="R1801" s="77">
        <v>51</v>
      </c>
      <c r="S1801" s="77">
        <v>0</v>
      </c>
    </row>
    <row r="1802" spans="17:19" customFormat="1" x14ac:dyDescent="0.2">
      <c r="Q1802" s="140">
        <v>41673</v>
      </c>
      <c r="R1802" s="77">
        <v>55.5</v>
      </c>
      <c r="S1802" s="77">
        <v>0</v>
      </c>
    </row>
    <row r="1803" spans="17:19" customFormat="1" x14ac:dyDescent="0.2">
      <c r="Q1803" s="140">
        <v>41674</v>
      </c>
      <c r="R1803" s="77">
        <v>45.8</v>
      </c>
      <c r="S1803" s="77">
        <v>0</v>
      </c>
    </row>
    <row r="1804" spans="17:19" customFormat="1" x14ac:dyDescent="0.2">
      <c r="Q1804" s="140">
        <v>41675</v>
      </c>
      <c r="R1804" s="77">
        <v>47.2</v>
      </c>
      <c r="S1804" s="77">
        <v>0</v>
      </c>
    </row>
    <row r="1805" spans="17:19" customFormat="1" x14ac:dyDescent="0.2">
      <c r="Q1805" s="140">
        <v>41676</v>
      </c>
      <c r="R1805" s="77">
        <v>64.2</v>
      </c>
      <c r="S1805" s="77">
        <v>0</v>
      </c>
    </row>
    <row r="1806" spans="17:19" customFormat="1" x14ac:dyDescent="0.2">
      <c r="Q1806" s="140">
        <v>41677</v>
      </c>
      <c r="R1806" s="77">
        <v>60.8</v>
      </c>
      <c r="S1806" s="77">
        <v>0</v>
      </c>
    </row>
    <row r="1807" spans="17:19" customFormat="1" x14ac:dyDescent="0.2">
      <c r="Q1807" s="140">
        <v>41678</v>
      </c>
      <c r="R1807" s="77">
        <v>46.6</v>
      </c>
      <c r="S1807" s="77">
        <v>0</v>
      </c>
    </row>
    <row r="1808" spans="17:19" customFormat="1" x14ac:dyDescent="0.2">
      <c r="Q1808" s="140">
        <v>41679</v>
      </c>
      <c r="R1808" s="77">
        <v>46.5</v>
      </c>
      <c r="S1808" s="77">
        <v>0</v>
      </c>
    </row>
    <row r="1809" spans="17:19" customFormat="1" x14ac:dyDescent="0.2">
      <c r="Q1809" s="140">
        <v>41680</v>
      </c>
      <c r="R1809" s="77">
        <v>62.2</v>
      </c>
      <c r="S1809" s="77">
        <v>0</v>
      </c>
    </row>
    <row r="1810" spans="17:19" customFormat="1" x14ac:dyDescent="0.2">
      <c r="Q1810" s="140">
        <v>41681</v>
      </c>
      <c r="R1810" s="77">
        <v>61.9</v>
      </c>
      <c r="S1810" s="77">
        <v>0</v>
      </c>
    </row>
    <row r="1811" spans="17:19" customFormat="1" x14ac:dyDescent="0.2">
      <c r="Q1811" s="140">
        <v>41682</v>
      </c>
      <c r="R1811" s="77">
        <v>51.6</v>
      </c>
      <c r="S1811" s="77">
        <v>0</v>
      </c>
    </row>
    <row r="1812" spans="17:19" customFormat="1" x14ac:dyDescent="0.2">
      <c r="Q1812" s="140">
        <v>41683</v>
      </c>
      <c r="R1812" s="77">
        <v>40.799999999999997</v>
      </c>
      <c r="S1812" s="77">
        <v>0</v>
      </c>
    </row>
    <row r="1813" spans="17:19" customFormat="1" x14ac:dyDescent="0.2">
      <c r="Q1813" s="140">
        <v>41684</v>
      </c>
      <c r="R1813" s="77">
        <v>46.7</v>
      </c>
      <c r="S1813" s="77">
        <v>0</v>
      </c>
    </row>
    <row r="1814" spans="17:19" customFormat="1" x14ac:dyDescent="0.2">
      <c r="Q1814" s="140">
        <v>41685</v>
      </c>
      <c r="R1814" s="77">
        <v>53.2</v>
      </c>
      <c r="S1814" s="77">
        <v>0</v>
      </c>
    </row>
    <row r="1815" spans="17:19" customFormat="1" x14ac:dyDescent="0.2">
      <c r="Q1815" s="140">
        <v>41686</v>
      </c>
      <c r="R1815" s="77">
        <v>41.2</v>
      </c>
      <c r="S1815" s="77">
        <v>0</v>
      </c>
    </row>
    <row r="1816" spans="17:19" customFormat="1" x14ac:dyDescent="0.2">
      <c r="Q1816" s="140">
        <v>41687</v>
      </c>
      <c r="R1816" s="77">
        <v>35.1</v>
      </c>
      <c r="S1816" s="77">
        <v>0</v>
      </c>
    </row>
    <row r="1817" spans="17:19" customFormat="1" x14ac:dyDescent="0.2">
      <c r="Q1817" s="140">
        <v>41688</v>
      </c>
      <c r="R1817" s="77">
        <v>25.5</v>
      </c>
      <c r="S1817" s="77">
        <v>0</v>
      </c>
    </row>
    <row r="1818" spans="17:19" customFormat="1" x14ac:dyDescent="0.2">
      <c r="Q1818" s="140">
        <v>41689</v>
      </c>
      <c r="R1818" s="77">
        <v>27</v>
      </c>
      <c r="S1818" s="77">
        <v>0</v>
      </c>
    </row>
    <row r="1819" spans="17:19" customFormat="1" x14ac:dyDescent="0.2">
      <c r="Q1819" s="140">
        <v>41690</v>
      </c>
      <c r="R1819" s="77">
        <v>19.600000000000001</v>
      </c>
      <c r="S1819" s="77">
        <v>0</v>
      </c>
    </row>
    <row r="1820" spans="17:19" customFormat="1" x14ac:dyDescent="0.2">
      <c r="Q1820" s="140">
        <v>41691</v>
      </c>
      <c r="R1820" s="77">
        <v>26.4</v>
      </c>
      <c r="S1820" s="77">
        <v>0</v>
      </c>
    </row>
    <row r="1821" spans="17:19" customFormat="1" x14ac:dyDescent="0.2">
      <c r="Q1821" s="140">
        <v>41692</v>
      </c>
      <c r="R1821" s="77">
        <v>28.3</v>
      </c>
      <c r="S1821" s="77">
        <v>0</v>
      </c>
    </row>
    <row r="1822" spans="17:19" customFormat="1" x14ac:dyDescent="0.2">
      <c r="Q1822" s="140">
        <v>41693</v>
      </c>
      <c r="R1822" s="77">
        <v>38</v>
      </c>
      <c r="S1822" s="77">
        <v>0</v>
      </c>
    </row>
    <row r="1823" spans="17:19" customFormat="1" x14ac:dyDescent="0.2">
      <c r="Q1823" s="140">
        <v>41694</v>
      </c>
      <c r="R1823" s="77">
        <v>40.1</v>
      </c>
      <c r="S1823" s="77">
        <v>0</v>
      </c>
    </row>
    <row r="1824" spans="17:19" customFormat="1" x14ac:dyDescent="0.2">
      <c r="Q1824" s="140">
        <v>41695</v>
      </c>
      <c r="R1824" s="77">
        <v>45</v>
      </c>
      <c r="S1824" s="77">
        <v>0</v>
      </c>
    </row>
    <row r="1825" spans="17:19" customFormat="1" x14ac:dyDescent="0.2">
      <c r="Q1825" s="140">
        <v>41696</v>
      </c>
      <c r="R1825" s="77">
        <v>50.5</v>
      </c>
      <c r="S1825" s="77">
        <v>0</v>
      </c>
    </row>
    <row r="1826" spans="17:19" customFormat="1" x14ac:dyDescent="0.2">
      <c r="Q1826" s="140">
        <v>41697</v>
      </c>
      <c r="R1826" s="77">
        <v>48.8</v>
      </c>
      <c r="S1826" s="77">
        <v>0</v>
      </c>
    </row>
    <row r="1827" spans="17:19" customFormat="1" x14ac:dyDescent="0.2">
      <c r="Q1827" s="140">
        <v>41698</v>
      </c>
      <c r="R1827" s="77">
        <v>38</v>
      </c>
      <c r="S1827" s="77">
        <v>0</v>
      </c>
    </row>
    <row r="1828" spans="17:19" customFormat="1" x14ac:dyDescent="0.2">
      <c r="Q1828" s="140">
        <v>41699</v>
      </c>
      <c r="R1828" s="77">
        <v>36.200000000000003</v>
      </c>
      <c r="S1828" s="77">
        <v>0</v>
      </c>
    </row>
    <row r="1829" spans="17:19" customFormat="1" x14ac:dyDescent="0.2">
      <c r="Q1829" s="140">
        <v>41700</v>
      </c>
      <c r="R1829" s="77">
        <v>54.1</v>
      </c>
      <c r="S1829" s="77">
        <v>0</v>
      </c>
    </row>
    <row r="1830" spans="17:19" customFormat="1" x14ac:dyDescent="0.2">
      <c r="Q1830" s="140">
        <v>41701</v>
      </c>
      <c r="R1830" s="77">
        <v>55.3</v>
      </c>
      <c r="S1830">
        <v>0</v>
      </c>
    </row>
    <row r="1831" spans="17:19" customFormat="1" x14ac:dyDescent="0.2">
      <c r="Q1831" s="140">
        <v>41702</v>
      </c>
      <c r="R1831" s="77">
        <v>40.1</v>
      </c>
      <c r="S1831">
        <v>0</v>
      </c>
    </row>
    <row r="1832" spans="17:19" customFormat="1" x14ac:dyDescent="0.2">
      <c r="Q1832" s="140">
        <v>41703</v>
      </c>
      <c r="R1832" s="77">
        <v>37.200000000000003</v>
      </c>
      <c r="S1832">
        <v>0</v>
      </c>
    </row>
    <row r="1833" spans="17:19" customFormat="1" x14ac:dyDescent="0.2">
      <c r="Q1833" s="140">
        <v>41704</v>
      </c>
      <c r="R1833" s="77">
        <v>34.200000000000003</v>
      </c>
      <c r="S1833">
        <v>0</v>
      </c>
    </row>
    <row r="1834" spans="17:19" customFormat="1" x14ac:dyDescent="0.2">
      <c r="Q1834" s="140">
        <v>41705</v>
      </c>
      <c r="R1834" s="77">
        <v>23.6</v>
      </c>
      <c r="S1834">
        <v>0</v>
      </c>
    </row>
    <row r="1835" spans="17:19" customFormat="1" x14ac:dyDescent="0.2">
      <c r="Q1835" s="140">
        <v>41706</v>
      </c>
      <c r="R1835" s="77">
        <v>28.8</v>
      </c>
      <c r="S1835">
        <v>0</v>
      </c>
    </row>
    <row r="1836" spans="17:19" customFormat="1" x14ac:dyDescent="0.2">
      <c r="Q1836" s="140">
        <v>41707</v>
      </c>
      <c r="R1836" s="77">
        <v>24.9</v>
      </c>
      <c r="S1836">
        <v>0</v>
      </c>
    </row>
    <row r="1837" spans="17:19" customFormat="1" x14ac:dyDescent="0.2">
      <c r="Q1837" s="140">
        <v>41708</v>
      </c>
      <c r="R1837" s="77">
        <v>15</v>
      </c>
      <c r="S1837">
        <v>0</v>
      </c>
    </row>
    <row r="1838" spans="17:19" customFormat="1" x14ac:dyDescent="0.2">
      <c r="Q1838" s="140">
        <v>41709</v>
      </c>
      <c r="R1838" s="77">
        <v>16</v>
      </c>
      <c r="S1838">
        <v>0.9</v>
      </c>
    </row>
    <row r="1839" spans="17:19" customFormat="1" x14ac:dyDescent="0.2">
      <c r="Q1839" s="140">
        <v>41710</v>
      </c>
      <c r="R1839" s="77">
        <v>30.9</v>
      </c>
      <c r="S1839">
        <v>0</v>
      </c>
    </row>
    <row r="1840" spans="17:19" customFormat="1" x14ac:dyDescent="0.2">
      <c r="Q1840" s="140">
        <v>41711</v>
      </c>
      <c r="R1840" s="77">
        <v>28</v>
      </c>
      <c r="S1840">
        <v>0</v>
      </c>
    </row>
    <row r="1841" spans="17:19" customFormat="1" x14ac:dyDescent="0.2">
      <c r="Q1841" s="140">
        <v>41712</v>
      </c>
      <c r="R1841" s="77">
        <v>14.4</v>
      </c>
      <c r="S1841">
        <v>0</v>
      </c>
    </row>
    <row r="1842" spans="17:19" customFormat="1" x14ac:dyDescent="0.2">
      <c r="Q1842" s="140">
        <v>41713</v>
      </c>
      <c r="R1842" s="77">
        <v>20.6</v>
      </c>
      <c r="S1842">
        <v>0</v>
      </c>
    </row>
    <row r="1843" spans="17:19" customFormat="1" x14ac:dyDescent="0.2">
      <c r="Q1843" s="140">
        <v>41714</v>
      </c>
      <c r="R1843" s="77">
        <v>34.799999999999997</v>
      </c>
      <c r="S1843">
        <v>0</v>
      </c>
    </row>
    <row r="1844" spans="17:19" customFormat="1" x14ac:dyDescent="0.2">
      <c r="Q1844" s="140">
        <v>41715</v>
      </c>
      <c r="R1844" s="77">
        <v>34.700000000000003</v>
      </c>
      <c r="S1844">
        <v>0</v>
      </c>
    </row>
    <row r="1845" spans="17:19" customFormat="1" x14ac:dyDescent="0.2">
      <c r="Q1845" s="140">
        <v>41716</v>
      </c>
      <c r="R1845" s="77">
        <v>19.899999999999999</v>
      </c>
      <c r="S1845">
        <v>0</v>
      </c>
    </row>
    <row r="1846" spans="17:19" customFormat="1" x14ac:dyDescent="0.2">
      <c r="Q1846" s="140">
        <v>41717</v>
      </c>
      <c r="R1846" s="77">
        <v>21.9</v>
      </c>
      <c r="S1846">
        <v>0</v>
      </c>
    </row>
    <row r="1847" spans="17:19" customFormat="1" x14ac:dyDescent="0.2">
      <c r="Q1847" s="140">
        <v>41718</v>
      </c>
      <c r="R1847" s="77">
        <v>20.6</v>
      </c>
      <c r="S1847">
        <v>0</v>
      </c>
    </row>
    <row r="1848" spans="17:19" customFormat="1" x14ac:dyDescent="0.2">
      <c r="Q1848" s="140">
        <v>41719</v>
      </c>
      <c r="R1848" s="77">
        <v>13.3</v>
      </c>
      <c r="S1848">
        <v>1.1000000000000001</v>
      </c>
    </row>
    <row r="1849" spans="17:19" customFormat="1" x14ac:dyDescent="0.2">
      <c r="Q1849" s="140">
        <v>41720</v>
      </c>
      <c r="R1849" s="77">
        <v>26.3</v>
      </c>
      <c r="S1849">
        <v>0</v>
      </c>
    </row>
    <row r="1850" spans="17:19" customFormat="1" x14ac:dyDescent="0.2">
      <c r="Q1850" s="140">
        <v>41721</v>
      </c>
      <c r="R1850" s="77">
        <v>34.4</v>
      </c>
      <c r="S1850">
        <v>0</v>
      </c>
    </row>
    <row r="1851" spans="17:19" customFormat="1" x14ac:dyDescent="0.2">
      <c r="Q1851" s="140">
        <v>41722</v>
      </c>
      <c r="R1851" s="77">
        <v>34.1</v>
      </c>
      <c r="S1851">
        <v>0</v>
      </c>
    </row>
    <row r="1852" spans="17:19" customFormat="1" x14ac:dyDescent="0.2">
      <c r="Q1852" s="140">
        <v>41723</v>
      </c>
      <c r="R1852" s="77">
        <v>35.4</v>
      </c>
      <c r="S1852">
        <v>0</v>
      </c>
    </row>
    <row r="1853" spans="17:19" customFormat="1" x14ac:dyDescent="0.2">
      <c r="Q1853" s="140">
        <v>41724</v>
      </c>
      <c r="R1853" s="77">
        <v>31.4</v>
      </c>
      <c r="S1853">
        <v>0</v>
      </c>
    </row>
    <row r="1854" spans="17:19" customFormat="1" x14ac:dyDescent="0.2">
      <c r="Q1854" s="140">
        <v>41725</v>
      </c>
      <c r="R1854" s="77">
        <v>17.100000000000001</v>
      </c>
      <c r="S1854">
        <v>0</v>
      </c>
    </row>
    <row r="1855" spans="17:19" customFormat="1" x14ac:dyDescent="0.2">
      <c r="Q1855" s="140">
        <v>41726</v>
      </c>
      <c r="R1855" s="77">
        <v>21.8</v>
      </c>
      <c r="S1855">
        <v>0</v>
      </c>
    </row>
    <row r="1856" spans="17:19" customFormat="1" x14ac:dyDescent="0.2">
      <c r="Q1856" s="140">
        <v>41727</v>
      </c>
      <c r="R1856" s="77">
        <v>23.5</v>
      </c>
      <c r="S1856">
        <v>0</v>
      </c>
    </row>
    <row r="1857" spans="17:19" customFormat="1" x14ac:dyDescent="0.2">
      <c r="Q1857" s="140">
        <v>41728</v>
      </c>
      <c r="R1857" s="77">
        <v>19.899999999999999</v>
      </c>
      <c r="S1857">
        <v>0</v>
      </c>
    </row>
    <row r="1858" spans="17:19" customFormat="1" x14ac:dyDescent="0.2">
      <c r="Q1858" s="140">
        <v>41729</v>
      </c>
      <c r="R1858" s="77">
        <v>8.5</v>
      </c>
      <c r="S1858">
        <v>0.2</v>
      </c>
    </row>
    <row r="1859" spans="17:19" customFormat="1" x14ac:dyDescent="0.2">
      <c r="Q1859" s="140">
        <v>41730</v>
      </c>
      <c r="R1859" s="77">
        <v>17</v>
      </c>
      <c r="S1859">
        <v>0</v>
      </c>
    </row>
    <row r="1860" spans="17:19" customFormat="1" x14ac:dyDescent="0.2">
      <c r="Q1860" s="140">
        <v>41731</v>
      </c>
      <c r="R1860" s="77">
        <v>17</v>
      </c>
      <c r="S1860">
        <v>0</v>
      </c>
    </row>
    <row r="1861" spans="17:19" customFormat="1" x14ac:dyDescent="0.2">
      <c r="Q1861" s="140">
        <v>41732</v>
      </c>
      <c r="R1861" s="77">
        <v>11.7</v>
      </c>
      <c r="S1861">
        <v>0</v>
      </c>
    </row>
    <row r="1862" spans="17:19" customFormat="1" x14ac:dyDescent="0.2">
      <c r="Q1862" s="140">
        <v>41733</v>
      </c>
      <c r="R1862" s="77">
        <v>19.5</v>
      </c>
      <c r="S1862">
        <v>0</v>
      </c>
    </row>
    <row r="1863" spans="17:19" customFormat="1" x14ac:dyDescent="0.2">
      <c r="Q1863" s="140">
        <v>41734</v>
      </c>
      <c r="R1863" s="77">
        <v>20.5</v>
      </c>
      <c r="S1863">
        <v>0</v>
      </c>
    </row>
    <row r="1864" spans="17:19" customFormat="1" x14ac:dyDescent="0.2">
      <c r="Q1864" s="140">
        <v>41735</v>
      </c>
      <c r="R1864" s="77">
        <v>18.399999999999999</v>
      </c>
      <c r="S1864">
        <v>0</v>
      </c>
    </row>
    <row r="1865" spans="17:19" customFormat="1" x14ac:dyDescent="0.2">
      <c r="Q1865" s="140">
        <v>41736</v>
      </c>
      <c r="R1865" s="77">
        <v>15.4</v>
      </c>
      <c r="S1865">
        <v>0</v>
      </c>
    </row>
    <row r="1866" spans="17:19" customFormat="1" x14ac:dyDescent="0.2">
      <c r="Q1866" s="140">
        <v>41737</v>
      </c>
      <c r="R1866" s="77">
        <v>11.7</v>
      </c>
      <c r="S1866">
        <v>0</v>
      </c>
    </row>
    <row r="1867" spans="17:19" customFormat="1" x14ac:dyDescent="0.2">
      <c r="Q1867" s="140">
        <v>41738</v>
      </c>
      <c r="R1867" s="77">
        <v>12</v>
      </c>
      <c r="S1867">
        <v>0</v>
      </c>
    </row>
    <row r="1868" spans="17:19" customFormat="1" x14ac:dyDescent="0.2">
      <c r="Q1868" s="140">
        <v>41739</v>
      </c>
      <c r="R1868" s="77">
        <v>6.1</v>
      </c>
      <c r="S1868">
        <v>2.6</v>
      </c>
    </row>
    <row r="1869" spans="17:19" customFormat="1" x14ac:dyDescent="0.2">
      <c r="Q1869" s="140">
        <v>41740</v>
      </c>
      <c r="R1869" s="77">
        <v>8.1</v>
      </c>
      <c r="S1869">
        <v>2</v>
      </c>
    </row>
    <row r="1870" spans="17:19" customFormat="1" x14ac:dyDescent="0.2">
      <c r="Q1870" s="140">
        <v>41741</v>
      </c>
      <c r="R1870" s="77">
        <v>3.4</v>
      </c>
      <c r="S1870">
        <v>5.9</v>
      </c>
    </row>
    <row r="1871" spans="17:19" customFormat="1" x14ac:dyDescent="0.2">
      <c r="Q1871" s="140">
        <v>41742</v>
      </c>
      <c r="R1871" s="77">
        <v>0.4</v>
      </c>
      <c r="S1871">
        <v>1.8</v>
      </c>
    </row>
    <row r="1872" spans="17:19" customFormat="1" x14ac:dyDescent="0.2">
      <c r="Q1872" s="140">
        <v>41743</v>
      </c>
      <c r="R1872" s="77">
        <v>21.9</v>
      </c>
      <c r="S1872">
        <v>0</v>
      </c>
    </row>
    <row r="1873" spans="17:19" customFormat="1" x14ac:dyDescent="0.2">
      <c r="Q1873" s="140">
        <v>41744</v>
      </c>
      <c r="R1873" s="77">
        <v>27.7</v>
      </c>
      <c r="S1873">
        <v>0</v>
      </c>
    </row>
    <row r="1874" spans="17:19" customFormat="1" x14ac:dyDescent="0.2">
      <c r="Q1874" s="140">
        <v>41745</v>
      </c>
      <c r="R1874" s="77">
        <v>19.3</v>
      </c>
      <c r="S1874">
        <v>0</v>
      </c>
    </row>
    <row r="1875" spans="17:19" customFormat="1" x14ac:dyDescent="0.2">
      <c r="Q1875" s="140">
        <v>41746</v>
      </c>
      <c r="R1875" s="77">
        <v>12.2</v>
      </c>
      <c r="S1875">
        <v>0</v>
      </c>
    </row>
    <row r="1876" spans="17:19" customFormat="1" x14ac:dyDescent="0.2">
      <c r="Q1876" s="140">
        <v>41747</v>
      </c>
      <c r="R1876" s="77">
        <v>9.6999999999999993</v>
      </c>
      <c r="S1876">
        <v>0.8</v>
      </c>
    </row>
    <row r="1877" spans="17:19" customFormat="1" x14ac:dyDescent="0.2">
      <c r="Q1877" s="140">
        <v>41748</v>
      </c>
      <c r="R1877" s="77">
        <v>8.6</v>
      </c>
      <c r="S1877">
        <v>2.2000000000000002</v>
      </c>
    </row>
    <row r="1878" spans="17:19" customFormat="1" x14ac:dyDescent="0.2">
      <c r="Q1878" s="140">
        <v>41749</v>
      </c>
      <c r="R1878" s="77">
        <v>3.7</v>
      </c>
      <c r="S1878">
        <v>5.8</v>
      </c>
    </row>
    <row r="1879" spans="17:19" customFormat="1" x14ac:dyDescent="0.2">
      <c r="Q1879" s="140">
        <v>41750</v>
      </c>
      <c r="R1879" s="77">
        <v>1.3</v>
      </c>
      <c r="S1879">
        <v>1.2</v>
      </c>
    </row>
    <row r="1880" spans="17:19" customFormat="1" x14ac:dyDescent="0.2">
      <c r="Q1880" s="140">
        <v>41751</v>
      </c>
      <c r="R1880" s="77">
        <v>6.8</v>
      </c>
      <c r="S1880">
        <v>0.2</v>
      </c>
    </row>
    <row r="1881" spans="17:19" customFormat="1" x14ac:dyDescent="0.2">
      <c r="Q1881" s="140">
        <v>41752</v>
      </c>
      <c r="R1881" s="77">
        <v>12.3</v>
      </c>
      <c r="S1881">
        <v>0</v>
      </c>
    </row>
    <row r="1882" spans="17:19" customFormat="1" x14ac:dyDescent="0.2">
      <c r="Q1882" s="140">
        <v>41753</v>
      </c>
      <c r="R1882" s="77">
        <v>5.9</v>
      </c>
      <c r="S1882">
        <v>2.6</v>
      </c>
    </row>
    <row r="1883" spans="17:19" customFormat="1" x14ac:dyDescent="0.2">
      <c r="Q1883" s="140">
        <v>41754</v>
      </c>
      <c r="R1883" s="77">
        <v>5.5</v>
      </c>
      <c r="S1883">
        <v>2.9</v>
      </c>
    </row>
    <row r="1884" spans="17:19" customFormat="1" x14ac:dyDescent="0.2">
      <c r="Q1884" s="140">
        <v>41755</v>
      </c>
      <c r="R1884" s="77">
        <v>3.5</v>
      </c>
      <c r="S1884">
        <v>5.3</v>
      </c>
    </row>
    <row r="1885" spans="17:19" customFormat="1" x14ac:dyDescent="0.2">
      <c r="Q1885" s="140">
        <v>41756</v>
      </c>
      <c r="R1885" s="77">
        <v>3.4</v>
      </c>
      <c r="S1885">
        <v>3.4</v>
      </c>
    </row>
    <row r="1886" spans="17:19" customFormat="1" x14ac:dyDescent="0.2">
      <c r="Q1886" s="140">
        <v>41757</v>
      </c>
      <c r="R1886" s="77">
        <v>2.6</v>
      </c>
      <c r="S1886">
        <v>2</v>
      </c>
    </row>
    <row r="1887" spans="17:19" customFormat="1" x14ac:dyDescent="0.2">
      <c r="Q1887" s="140">
        <v>41758</v>
      </c>
      <c r="R1887" s="77">
        <v>8.6</v>
      </c>
      <c r="S1887">
        <v>0</v>
      </c>
    </row>
    <row r="1888" spans="17:19" customFormat="1" x14ac:dyDescent="0.2">
      <c r="Q1888" s="140">
        <v>41759</v>
      </c>
      <c r="R1888" s="77">
        <v>16.100000000000001</v>
      </c>
      <c r="S1888">
        <v>0</v>
      </c>
    </row>
    <row r="1889" spans="17:19" customFormat="1" x14ac:dyDescent="0.2">
      <c r="Q1889" s="140">
        <v>41760</v>
      </c>
      <c r="R1889" s="77">
        <v>16.7</v>
      </c>
      <c r="S1889">
        <v>0</v>
      </c>
    </row>
    <row r="1890" spans="17:19" customFormat="1" x14ac:dyDescent="0.2">
      <c r="Q1890" s="140">
        <v>41761</v>
      </c>
      <c r="R1890" s="77">
        <v>12.5</v>
      </c>
      <c r="S1890">
        <v>0</v>
      </c>
    </row>
    <row r="1891" spans="17:19" customFormat="1" x14ac:dyDescent="0.2">
      <c r="Q1891" s="140">
        <v>41762</v>
      </c>
      <c r="R1891" s="77">
        <v>5.5</v>
      </c>
      <c r="S1891">
        <v>2.4</v>
      </c>
    </row>
    <row r="1892" spans="17:19" customFormat="1" x14ac:dyDescent="0.2">
      <c r="Q1892" s="140">
        <v>41763</v>
      </c>
      <c r="R1892" s="77">
        <v>5.9</v>
      </c>
      <c r="S1892">
        <v>2</v>
      </c>
    </row>
    <row r="1893" spans="17:19" customFormat="1" x14ac:dyDescent="0.2">
      <c r="Q1893" s="140">
        <v>41764</v>
      </c>
      <c r="R1893" s="77">
        <v>5.6</v>
      </c>
      <c r="S1893">
        <v>3.4</v>
      </c>
    </row>
    <row r="1894" spans="17:19" customFormat="1" x14ac:dyDescent="0.2">
      <c r="Q1894" s="140">
        <v>41765</v>
      </c>
      <c r="R1894" s="77">
        <v>4.2</v>
      </c>
      <c r="S1894">
        <v>7</v>
      </c>
    </row>
    <row r="1895" spans="17:19" customFormat="1" x14ac:dyDescent="0.2">
      <c r="Q1895" s="140">
        <v>41766</v>
      </c>
      <c r="R1895" s="77">
        <v>0</v>
      </c>
      <c r="S1895">
        <v>12.4</v>
      </c>
    </row>
    <row r="1896" spans="17:19" customFormat="1" x14ac:dyDescent="0.2">
      <c r="Q1896" s="140">
        <v>41767</v>
      </c>
      <c r="R1896" s="77">
        <v>0</v>
      </c>
      <c r="S1896">
        <v>11.9</v>
      </c>
    </row>
    <row r="1897" spans="17:19" customFormat="1" x14ac:dyDescent="0.2">
      <c r="Q1897" s="140">
        <v>41768</v>
      </c>
      <c r="R1897" s="77">
        <v>0.5</v>
      </c>
      <c r="S1897">
        <v>6.2</v>
      </c>
    </row>
    <row r="1898" spans="17:19" customFormat="1" x14ac:dyDescent="0.2">
      <c r="Q1898" s="140">
        <v>41769</v>
      </c>
      <c r="R1898" s="77">
        <v>3.3</v>
      </c>
      <c r="S1898">
        <v>5.9</v>
      </c>
    </row>
    <row r="1899" spans="17:19" customFormat="1" x14ac:dyDescent="0.2">
      <c r="Q1899" s="140">
        <v>41770</v>
      </c>
      <c r="R1899" s="77">
        <v>0.3</v>
      </c>
      <c r="S1899">
        <v>9.6999999999999993</v>
      </c>
    </row>
    <row r="1900" spans="17:19" customFormat="1" x14ac:dyDescent="0.2">
      <c r="Q1900" s="140">
        <v>41771</v>
      </c>
      <c r="R1900" s="77">
        <v>0</v>
      </c>
      <c r="S1900">
        <v>12.8</v>
      </c>
    </row>
    <row r="1901" spans="17:19" customFormat="1" x14ac:dyDescent="0.2">
      <c r="Q1901" s="140">
        <v>41772</v>
      </c>
      <c r="R1901" s="77">
        <v>7</v>
      </c>
      <c r="S1901">
        <v>0.6</v>
      </c>
    </row>
    <row r="1902" spans="17:19" customFormat="1" x14ac:dyDescent="0.2">
      <c r="Q1902" s="140">
        <v>41773</v>
      </c>
      <c r="R1902" s="77">
        <v>13.8</v>
      </c>
      <c r="S1902">
        <v>0</v>
      </c>
    </row>
    <row r="1903" spans="17:19" customFormat="1" x14ac:dyDescent="0.2">
      <c r="Q1903" s="140">
        <v>41774</v>
      </c>
      <c r="R1903" s="77">
        <v>14</v>
      </c>
      <c r="S1903">
        <v>0</v>
      </c>
    </row>
    <row r="1904" spans="17:19" customFormat="1" x14ac:dyDescent="0.2">
      <c r="Q1904" s="140">
        <v>41775</v>
      </c>
      <c r="R1904" s="77">
        <v>19.2</v>
      </c>
      <c r="S1904">
        <v>0</v>
      </c>
    </row>
    <row r="1905" spans="17:19" customFormat="1" x14ac:dyDescent="0.2">
      <c r="Q1905" s="140">
        <v>41776</v>
      </c>
      <c r="R1905" s="77">
        <v>14.9</v>
      </c>
      <c r="S1905">
        <v>0</v>
      </c>
    </row>
    <row r="1906" spans="17:19" customFormat="1" x14ac:dyDescent="0.2">
      <c r="Q1906" s="140">
        <v>41777</v>
      </c>
      <c r="R1906" s="77">
        <v>8.9</v>
      </c>
      <c r="S1906">
        <v>0.5</v>
      </c>
    </row>
    <row r="1907" spans="17:19" customFormat="1" x14ac:dyDescent="0.2">
      <c r="Q1907" s="140">
        <v>41778</v>
      </c>
      <c r="R1907" s="77">
        <v>4.5999999999999996</v>
      </c>
      <c r="S1907">
        <v>4.0999999999999996</v>
      </c>
    </row>
    <row r="1908" spans="17:19" customFormat="1" x14ac:dyDescent="0.2">
      <c r="Q1908" s="140">
        <v>41779</v>
      </c>
      <c r="R1908" s="77">
        <v>0</v>
      </c>
      <c r="S1908">
        <v>11.2</v>
      </c>
    </row>
    <row r="1909" spans="17:19" customFormat="1" x14ac:dyDescent="0.2">
      <c r="Q1909" s="140">
        <v>41780</v>
      </c>
      <c r="R1909" s="77">
        <v>0</v>
      </c>
      <c r="S1909">
        <v>14.8</v>
      </c>
    </row>
    <row r="1910" spans="17:19" customFormat="1" x14ac:dyDescent="0.2">
      <c r="Q1910" s="140">
        <v>41781</v>
      </c>
      <c r="R1910" s="77">
        <v>0.4</v>
      </c>
      <c r="S1910">
        <v>5</v>
      </c>
    </row>
    <row r="1911" spans="17:19" customFormat="1" x14ac:dyDescent="0.2">
      <c r="Q1911" s="140">
        <v>41782</v>
      </c>
      <c r="R1911" s="77">
        <v>2.7</v>
      </c>
      <c r="S1911">
        <v>6.4</v>
      </c>
    </row>
    <row r="1912" spans="17:19" customFormat="1" x14ac:dyDescent="0.2">
      <c r="Q1912" s="140">
        <v>41783</v>
      </c>
      <c r="R1912" s="77">
        <v>2.2999999999999998</v>
      </c>
      <c r="S1912">
        <v>6.3</v>
      </c>
    </row>
    <row r="1913" spans="17:19" customFormat="1" x14ac:dyDescent="0.2">
      <c r="Q1913" s="140">
        <v>41784</v>
      </c>
      <c r="R1913" s="77">
        <v>0</v>
      </c>
      <c r="S1913">
        <v>6.5</v>
      </c>
    </row>
    <row r="1914" spans="17:19" customFormat="1" x14ac:dyDescent="0.2">
      <c r="Q1914" s="140">
        <v>41785</v>
      </c>
      <c r="R1914" s="77">
        <v>0</v>
      </c>
      <c r="S1914">
        <v>11.1</v>
      </c>
    </row>
    <row r="1915" spans="17:19" customFormat="1" x14ac:dyDescent="0.2">
      <c r="Q1915" s="140">
        <v>41786</v>
      </c>
      <c r="R1915" s="77">
        <v>0</v>
      </c>
      <c r="S1915">
        <v>11.8</v>
      </c>
    </row>
    <row r="1916" spans="17:19" customFormat="1" x14ac:dyDescent="0.2">
      <c r="Q1916" s="140">
        <v>41787</v>
      </c>
      <c r="R1916" s="77">
        <v>0</v>
      </c>
      <c r="S1916">
        <v>10.5</v>
      </c>
    </row>
    <row r="1917" spans="17:19" customFormat="1" x14ac:dyDescent="0.2">
      <c r="Q1917" s="140">
        <v>41788</v>
      </c>
      <c r="R1917" s="77">
        <v>0.1</v>
      </c>
      <c r="S1917">
        <v>8.4</v>
      </c>
    </row>
    <row r="1918" spans="17:19" customFormat="1" x14ac:dyDescent="0.2">
      <c r="Q1918" s="140">
        <v>41789</v>
      </c>
      <c r="R1918" s="77">
        <v>0</v>
      </c>
      <c r="S1918">
        <v>9.9</v>
      </c>
    </row>
    <row r="1919" spans="17:19" customFormat="1" x14ac:dyDescent="0.2">
      <c r="Q1919" s="140">
        <v>41790</v>
      </c>
      <c r="R1919" s="77">
        <v>0</v>
      </c>
      <c r="S1919">
        <v>12.8</v>
      </c>
    </row>
    <row r="1920" spans="17:19" customFormat="1" x14ac:dyDescent="0.2">
      <c r="Q1920" s="140">
        <v>41791</v>
      </c>
      <c r="R1920" s="77">
        <v>0</v>
      </c>
      <c r="S1920">
        <v>14.8</v>
      </c>
    </row>
    <row r="1921" spans="17:19" customFormat="1" x14ac:dyDescent="0.2">
      <c r="Q1921" s="140">
        <v>41792</v>
      </c>
      <c r="R1921" s="77">
        <v>0</v>
      </c>
      <c r="S1921">
        <v>12.7</v>
      </c>
    </row>
    <row r="1922" spans="17:19" customFormat="1" x14ac:dyDescent="0.2">
      <c r="Q1922" s="140">
        <v>41793</v>
      </c>
      <c r="R1922" s="77">
        <v>0</v>
      </c>
      <c r="S1922">
        <v>14.9</v>
      </c>
    </row>
    <row r="1923" spans="17:19" customFormat="1" x14ac:dyDescent="0.2">
      <c r="Q1923" s="140">
        <v>41794</v>
      </c>
      <c r="R1923" s="77">
        <v>0</v>
      </c>
      <c r="S1923">
        <v>5.9</v>
      </c>
    </row>
    <row r="1924" spans="17:19" customFormat="1" x14ac:dyDescent="0.2">
      <c r="Q1924" s="140">
        <v>41795</v>
      </c>
      <c r="R1924" s="77">
        <v>1</v>
      </c>
      <c r="S1924">
        <v>4.5</v>
      </c>
    </row>
    <row r="1925" spans="17:19" customFormat="1" x14ac:dyDescent="0.2">
      <c r="Q1925" s="140">
        <v>41796</v>
      </c>
      <c r="R1925" s="77">
        <v>1.4</v>
      </c>
      <c r="S1925">
        <v>8.1999999999999993</v>
      </c>
    </row>
    <row r="1926" spans="17:19" customFormat="1" x14ac:dyDescent="0.2">
      <c r="Q1926" s="140">
        <v>41797</v>
      </c>
      <c r="R1926" s="77">
        <v>0.3</v>
      </c>
      <c r="S1926">
        <v>5.0999999999999996</v>
      </c>
    </row>
    <row r="1927" spans="17:19" customFormat="1" x14ac:dyDescent="0.2">
      <c r="Q1927" s="140">
        <v>41798</v>
      </c>
      <c r="R1927" s="77">
        <v>0.6</v>
      </c>
      <c r="S1927">
        <v>5.8</v>
      </c>
    </row>
    <row r="1928" spans="17:19" customFormat="1" x14ac:dyDescent="0.2">
      <c r="Q1928" s="140">
        <v>41799</v>
      </c>
      <c r="R1928" s="77">
        <v>2</v>
      </c>
      <c r="S1928">
        <v>5.5</v>
      </c>
    </row>
    <row r="1929" spans="17:19" customFormat="1" x14ac:dyDescent="0.2">
      <c r="Q1929" s="140">
        <v>41800</v>
      </c>
      <c r="R1929" s="77">
        <v>0.6</v>
      </c>
      <c r="S1929">
        <v>3.1</v>
      </c>
    </row>
    <row r="1930" spans="17:19" customFormat="1" x14ac:dyDescent="0.2">
      <c r="Q1930" s="140">
        <v>41801</v>
      </c>
      <c r="R1930" s="77">
        <v>0.3</v>
      </c>
      <c r="S1930">
        <v>1.7</v>
      </c>
    </row>
    <row r="1931" spans="17:19" customFormat="1" x14ac:dyDescent="0.2">
      <c r="Q1931" s="140">
        <v>41802</v>
      </c>
      <c r="R1931" s="77">
        <v>1.2</v>
      </c>
      <c r="S1931">
        <v>5.5</v>
      </c>
    </row>
    <row r="1932" spans="17:19" customFormat="1" x14ac:dyDescent="0.2">
      <c r="Q1932" s="140">
        <v>41803</v>
      </c>
      <c r="R1932" s="77">
        <v>2.6</v>
      </c>
      <c r="S1932">
        <v>3.4</v>
      </c>
    </row>
    <row r="1933" spans="17:19" customFormat="1" x14ac:dyDescent="0.2">
      <c r="Q1933" s="140">
        <v>41804</v>
      </c>
      <c r="R1933" s="77">
        <v>3.7</v>
      </c>
      <c r="S1933">
        <v>6</v>
      </c>
    </row>
    <row r="1934" spans="17:19" customFormat="1" x14ac:dyDescent="0.2">
      <c r="Q1934" s="140">
        <v>41805</v>
      </c>
      <c r="R1934" s="77">
        <v>0</v>
      </c>
      <c r="S1934">
        <v>10.4</v>
      </c>
    </row>
    <row r="1935" spans="17:19" customFormat="1" x14ac:dyDescent="0.2">
      <c r="Q1935" s="140">
        <v>41806</v>
      </c>
      <c r="R1935" s="77">
        <v>0</v>
      </c>
      <c r="S1935">
        <v>14.4</v>
      </c>
    </row>
    <row r="1936" spans="17:19" customFormat="1" x14ac:dyDescent="0.2">
      <c r="Q1936" s="140">
        <v>41807</v>
      </c>
      <c r="R1936" s="77">
        <v>0</v>
      </c>
      <c r="S1936">
        <v>17.7</v>
      </c>
    </row>
    <row r="1937" spans="17:19" customFormat="1" x14ac:dyDescent="0.2">
      <c r="Q1937" s="140">
        <v>41808</v>
      </c>
      <c r="R1937" s="77">
        <v>0</v>
      </c>
      <c r="S1937">
        <v>17.5</v>
      </c>
    </row>
    <row r="1938" spans="17:19" customFormat="1" x14ac:dyDescent="0.2">
      <c r="Q1938" s="140">
        <v>41809</v>
      </c>
      <c r="R1938" s="77">
        <v>0</v>
      </c>
      <c r="S1938">
        <v>17</v>
      </c>
    </row>
    <row r="1939" spans="17:19" customFormat="1" x14ac:dyDescent="0.2">
      <c r="Q1939" s="140">
        <v>41810</v>
      </c>
      <c r="R1939" s="77">
        <v>0</v>
      </c>
      <c r="S1939">
        <v>12.5</v>
      </c>
    </row>
    <row r="1940" spans="17:19" customFormat="1" x14ac:dyDescent="0.2">
      <c r="Q1940" s="140">
        <v>41811</v>
      </c>
      <c r="R1940" s="77">
        <v>0</v>
      </c>
      <c r="S1940">
        <v>9.3000000000000007</v>
      </c>
    </row>
    <row r="1941" spans="17:19" customFormat="1" x14ac:dyDescent="0.2">
      <c r="Q1941" s="140">
        <v>41812</v>
      </c>
      <c r="R1941" s="77">
        <v>0</v>
      </c>
      <c r="S1941">
        <v>9.9</v>
      </c>
    </row>
    <row r="1942" spans="17:19" customFormat="1" x14ac:dyDescent="0.2">
      <c r="Q1942" s="140">
        <v>41813</v>
      </c>
      <c r="R1942" s="77">
        <v>0</v>
      </c>
      <c r="S1942">
        <v>12.1</v>
      </c>
    </row>
    <row r="1943" spans="17:19" customFormat="1" x14ac:dyDescent="0.2">
      <c r="Q1943" s="140">
        <v>41814</v>
      </c>
      <c r="R1943" s="77">
        <v>0</v>
      </c>
      <c r="S1943">
        <v>11.3</v>
      </c>
    </row>
    <row r="1944" spans="17:19" customFormat="1" x14ac:dyDescent="0.2">
      <c r="Q1944" s="140">
        <v>41815</v>
      </c>
      <c r="R1944" s="77">
        <v>0</v>
      </c>
      <c r="S1944">
        <v>11.4</v>
      </c>
    </row>
    <row r="1945" spans="17:19" customFormat="1" x14ac:dyDescent="0.2">
      <c r="Q1945" s="140">
        <v>41816</v>
      </c>
      <c r="R1945" s="77">
        <v>0</v>
      </c>
      <c r="S1945">
        <v>12.9</v>
      </c>
    </row>
    <row r="1946" spans="17:19" customFormat="1" x14ac:dyDescent="0.2">
      <c r="Q1946" s="140">
        <v>41817</v>
      </c>
      <c r="R1946" s="77">
        <v>0</v>
      </c>
      <c r="S1946">
        <v>11.8</v>
      </c>
    </row>
    <row r="1947" spans="17:19" customFormat="1" x14ac:dyDescent="0.2">
      <c r="Q1947" s="140">
        <v>41818</v>
      </c>
      <c r="R1947" s="77">
        <v>0</v>
      </c>
      <c r="S1947">
        <v>13.6</v>
      </c>
    </row>
    <row r="1948" spans="17:19" customFormat="1" x14ac:dyDescent="0.2">
      <c r="Q1948" s="140">
        <v>41819</v>
      </c>
      <c r="R1948" s="77">
        <v>0</v>
      </c>
      <c r="S1948">
        <v>13.5</v>
      </c>
    </row>
    <row r="1949" spans="17:19" customFormat="1" x14ac:dyDescent="0.2">
      <c r="Q1949" s="140">
        <v>41820</v>
      </c>
      <c r="R1949" s="77">
        <v>0</v>
      </c>
      <c r="S1949">
        <v>16.5</v>
      </c>
    </row>
    <row r="1950" spans="17:19" customFormat="1" x14ac:dyDescent="0.2">
      <c r="Q1950" s="140">
        <v>41821</v>
      </c>
      <c r="R1950" s="77">
        <v>0</v>
      </c>
      <c r="S1950">
        <v>10.6</v>
      </c>
    </row>
    <row r="1951" spans="17:19" customFormat="1" x14ac:dyDescent="0.2">
      <c r="Q1951" s="140">
        <v>41822</v>
      </c>
      <c r="R1951" s="77">
        <v>0.7</v>
      </c>
      <c r="S1951">
        <v>1.9</v>
      </c>
    </row>
    <row r="1952" spans="17:19" customFormat="1" x14ac:dyDescent="0.2">
      <c r="Q1952" s="140">
        <v>41823</v>
      </c>
      <c r="R1952" s="77">
        <v>1.9</v>
      </c>
      <c r="S1952">
        <v>4.5</v>
      </c>
    </row>
    <row r="1953" spans="17:19" customFormat="1" x14ac:dyDescent="0.2">
      <c r="Q1953" s="140">
        <v>41824</v>
      </c>
      <c r="R1953" s="77">
        <v>2</v>
      </c>
      <c r="S1953">
        <v>5.9</v>
      </c>
    </row>
    <row r="1954" spans="17:19" customFormat="1" x14ac:dyDescent="0.2">
      <c r="Q1954" s="140">
        <v>41825</v>
      </c>
      <c r="R1954" s="77">
        <v>1.2</v>
      </c>
      <c r="S1954">
        <v>7.1</v>
      </c>
    </row>
    <row r="1955" spans="17:19" customFormat="1" x14ac:dyDescent="0.2">
      <c r="Q1955" s="140">
        <v>41826</v>
      </c>
      <c r="R1955" s="77">
        <v>0</v>
      </c>
      <c r="S1955">
        <v>12.4</v>
      </c>
    </row>
    <row r="1956" spans="17:19" customFormat="1" x14ac:dyDescent="0.2">
      <c r="Q1956" s="140">
        <v>41827</v>
      </c>
      <c r="R1956" s="77">
        <v>0</v>
      </c>
      <c r="S1956">
        <v>15.8</v>
      </c>
    </row>
    <row r="1957" spans="17:19" customFormat="1" x14ac:dyDescent="0.2">
      <c r="Q1957" s="140">
        <v>41828</v>
      </c>
      <c r="R1957" s="77">
        <v>0</v>
      </c>
      <c r="S1957">
        <v>9.8000000000000007</v>
      </c>
    </row>
    <row r="1958" spans="17:19" customFormat="1" x14ac:dyDescent="0.2">
      <c r="Q1958" s="140">
        <v>41829</v>
      </c>
      <c r="R1958" s="77">
        <v>0.6</v>
      </c>
      <c r="S1958">
        <v>7.2</v>
      </c>
    </row>
    <row r="1959" spans="17:19" customFormat="1" x14ac:dyDescent="0.2">
      <c r="Q1959" s="140">
        <v>41830</v>
      </c>
      <c r="R1959" s="77">
        <v>2</v>
      </c>
      <c r="S1959">
        <v>7.5</v>
      </c>
    </row>
    <row r="1960" spans="17:19" customFormat="1" x14ac:dyDescent="0.2">
      <c r="Q1960" s="140">
        <v>41831</v>
      </c>
      <c r="R1960" s="77">
        <v>1.5</v>
      </c>
      <c r="S1960">
        <v>10.8</v>
      </c>
    </row>
    <row r="1961" spans="17:19" customFormat="1" x14ac:dyDescent="0.2">
      <c r="Q1961" s="140">
        <v>41832</v>
      </c>
      <c r="R1961" s="77">
        <v>0</v>
      </c>
      <c r="S1961">
        <v>18.2</v>
      </c>
    </row>
    <row r="1962" spans="17:19" customFormat="1" x14ac:dyDescent="0.2">
      <c r="Q1962" s="140">
        <v>41833</v>
      </c>
      <c r="R1962" s="77">
        <v>0</v>
      </c>
      <c r="S1962">
        <v>14.2</v>
      </c>
    </row>
    <row r="1963" spans="17:19" customFormat="1" x14ac:dyDescent="0.2">
      <c r="Q1963" s="140">
        <v>41834</v>
      </c>
      <c r="R1963" s="77">
        <v>0</v>
      </c>
      <c r="S1963">
        <v>9.6999999999999993</v>
      </c>
    </row>
    <row r="1964" spans="17:19" customFormat="1" x14ac:dyDescent="0.2">
      <c r="Q1964" s="140">
        <v>41835</v>
      </c>
      <c r="R1964" s="77">
        <v>3.9</v>
      </c>
      <c r="S1964">
        <v>1.8</v>
      </c>
    </row>
    <row r="1965" spans="17:19" customFormat="1" x14ac:dyDescent="0.2">
      <c r="Q1965" s="140">
        <v>41836</v>
      </c>
      <c r="R1965" s="77">
        <v>4.3</v>
      </c>
      <c r="S1965">
        <v>3.9</v>
      </c>
    </row>
    <row r="1966" spans="17:19" customFormat="1" x14ac:dyDescent="0.2">
      <c r="Q1966" s="140">
        <v>41837</v>
      </c>
      <c r="R1966" s="77">
        <v>3.7</v>
      </c>
      <c r="S1966">
        <v>5.3</v>
      </c>
    </row>
    <row r="1967" spans="17:19" customFormat="1" x14ac:dyDescent="0.2">
      <c r="Q1967" s="140">
        <v>41838</v>
      </c>
      <c r="R1967" s="77">
        <v>1.7</v>
      </c>
      <c r="S1967">
        <v>6.2</v>
      </c>
    </row>
    <row r="1968" spans="17:19" customFormat="1" x14ac:dyDescent="0.2">
      <c r="Q1968" s="140">
        <v>41839</v>
      </c>
      <c r="R1968" s="77">
        <v>2</v>
      </c>
      <c r="S1968">
        <v>6.5</v>
      </c>
    </row>
    <row r="1969" spans="17:19" customFormat="1" x14ac:dyDescent="0.2">
      <c r="Q1969" s="140">
        <v>41840</v>
      </c>
      <c r="R1969" s="77">
        <v>1.8</v>
      </c>
      <c r="S1969">
        <v>8</v>
      </c>
    </row>
    <row r="1970" spans="17:19" customFormat="1" x14ac:dyDescent="0.2">
      <c r="Q1970" s="140">
        <v>41841</v>
      </c>
      <c r="R1970" s="77">
        <v>0.3</v>
      </c>
      <c r="S1970">
        <v>10.8</v>
      </c>
    </row>
    <row r="1971" spans="17:19" customFormat="1" x14ac:dyDescent="0.2">
      <c r="Q1971" s="140">
        <v>41842</v>
      </c>
      <c r="R1971" s="77">
        <v>0</v>
      </c>
      <c r="S1971">
        <v>14.7</v>
      </c>
    </row>
    <row r="1972" spans="17:19" customFormat="1" x14ac:dyDescent="0.2">
      <c r="Q1972" s="140">
        <v>41843</v>
      </c>
      <c r="R1972" s="77">
        <v>0</v>
      </c>
      <c r="S1972">
        <v>11.6</v>
      </c>
    </row>
    <row r="1973" spans="17:19" customFormat="1" x14ac:dyDescent="0.2">
      <c r="Q1973" s="140">
        <v>41844</v>
      </c>
      <c r="R1973" s="77">
        <v>2.6</v>
      </c>
      <c r="S1973">
        <v>5.5</v>
      </c>
    </row>
    <row r="1974" spans="17:19" customFormat="1" x14ac:dyDescent="0.2">
      <c r="Q1974" s="140">
        <v>41845</v>
      </c>
      <c r="R1974" s="77">
        <v>1.8</v>
      </c>
      <c r="S1974">
        <v>2.8</v>
      </c>
    </row>
    <row r="1975" spans="17:19" customFormat="1" x14ac:dyDescent="0.2">
      <c r="Q1975" s="140">
        <v>41846</v>
      </c>
      <c r="R1975" s="77">
        <v>0</v>
      </c>
      <c r="S1975">
        <v>11.5</v>
      </c>
    </row>
    <row r="1976" spans="17:19" customFormat="1" x14ac:dyDescent="0.2">
      <c r="Q1976" s="140">
        <v>41847</v>
      </c>
      <c r="R1976" s="77">
        <v>0</v>
      </c>
      <c r="S1976">
        <v>12.4</v>
      </c>
    </row>
    <row r="1977" spans="17:19" customFormat="1" x14ac:dyDescent="0.2">
      <c r="Q1977" s="140">
        <v>41848</v>
      </c>
      <c r="R1977" s="77">
        <v>1</v>
      </c>
      <c r="S1977">
        <v>3.8</v>
      </c>
    </row>
    <row r="1978" spans="17:19" customFormat="1" x14ac:dyDescent="0.2">
      <c r="Q1978" s="140">
        <v>41849</v>
      </c>
      <c r="R1978" s="77">
        <v>3.8</v>
      </c>
      <c r="S1978">
        <v>5.2</v>
      </c>
    </row>
    <row r="1979" spans="17:19" customFormat="1" x14ac:dyDescent="0.2">
      <c r="Q1979" s="140">
        <v>41850</v>
      </c>
      <c r="R1979" s="77">
        <v>1.8</v>
      </c>
      <c r="S1979">
        <v>6.8</v>
      </c>
    </row>
    <row r="1980" spans="17:19" customFormat="1" x14ac:dyDescent="0.2">
      <c r="Q1980" s="140">
        <v>41851</v>
      </c>
      <c r="R1980" s="77">
        <v>1.8</v>
      </c>
      <c r="S1980">
        <v>8</v>
      </c>
    </row>
    <row r="1981" spans="17:19" customFormat="1" x14ac:dyDescent="0.2">
      <c r="Q1981" s="140">
        <v>41852</v>
      </c>
      <c r="R1981" s="77">
        <v>1.2</v>
      </c>
      <c r="S1981">
        <v>4.5</v>
      </c>
    </row>
    <row r="1982" spans="17:19" customFormat="1" x14ac:dyDescent="0.2">
      <c r="Q1982" s="140">
        <v>41853</v>
      </c>
      <c r="R1982" s="77">
        <v>1.5</v>
      </c>
      <c r="S1982">
        <v>7.4</v>
      </c>
    </row>
    <row r="1983" spans="17:19" customFormat="1" x14ac:dyDescent="0.2">
      <c r="Q1983" s="140">
        <v>41854</v>
      </c>
      <c r="R1983" s="77">
        <v>0.9</v>
      </c>
      <c r="S1983">
        <v>8.9</v>
      </c>
    </row>
    <row r="1984" spans="17:19" customFormat="1" x14ac:dyDescent="0.2">
      <c r="Q1984" s="140">
        <v>41855</v>
      </c>
      <c r="R1984" s="77">
        <v>0.2</v>
      </c>
      <c r="S1984">
        <v>10.8</v>
      </c>
    </row>
    <row r="1985" spans="17:19" customFormat="1" x14ac:dyDescent="0.2">
      <c r="Q1985" s="140">
        <v>41856</v>
      </c>
      <c r="R1985" s="77">
        <v>0</v>
      </c>
      <c r="S1985">
        <v>10.8</v>
      </c>
    </row>
    <row r="1986" spans="17:19" customFormat="1" x14ac:dyDescent="0.2">
      <c r="Q1986" s="140">
        <v>41857</v>
      </c>
      <c r="R1986" s="77">
        <v>0.1</v>
      </c>
      <c r="S1986">
        <v>7.5</v>
      </c>
    </row>
    <row r="1987" spans="17:19" customFormat="1" x14ac:dyDescent="0.2">
      <c r="Q1987" s="140">
        <v>41858</v>
      </c>
      <c r="R1987" s="77">
        <v>0</v>
      </c>
      <c r="S1987">
        <v>5.3</v>
      </c>
    </row>
    <row r="1988" spans="17:19" customFormat="1" x14ac:dyDescent="0.2">
      <c r="Q1988" s="140">
        <v>41859</v>
      </c>
      <c r="R1988" s="77">
        <v>0</v>
      </c>
      <c r="S1988">
        <v>4.5</v>
      </c>
    </row>
    <row r="1989" spans="17:19" customFormat="1" x14ac:dyDescent="0.2">
      <c r="Q1989" s="140">
        <v>41860</v>
      </c>
      <c r="R1989" s="77">
        <v>0</v>
      </c>
      <c r="S1989">
        <v>6.7</v>
      </c>
    </row>
    <row r="1990" spans="17:19" customFormat="1" x14ac:dyDescent="0.2">
      <c r="Q1990" s="140">
        <v>41861</v>
      </c>
      <c r="R1990" s="77">
        <v>0</v>
      </c>
      <c r="S1990">
        <v>8.8000000000000007</v>
      </c>
    </row>
    <row r="1991" spans="17:19" customFormat="1" x14ac:dyDescent="0.2">
      <c r="Q1991" s="140">
        <v>41862</v>
      </c>
      <c r="R1991" s="77">
        <v>0</v>
      </c>
      <c r="S1991">
        <v>10</v>
      </c>
    </row>
    <row r="1992" spans="17:19" customFormat="1" x14ac:dyDescent="0.2">
      <c r="Q1992" s="140">
        <v>41863</v>
      </c>
      <c r="R1992" s="77">
        <v>1.1000000000000001</v>
      </c>
      <c r="S1992">
        <v>4.3</v>
      </c>
    </row>
    <row r="1993" spans="17:19" customFormat="1" x14ac:dyDescent="0.2">
      <c r="Q1993" s="140">
        <v>41864</v>
      </c>
      <c r="R1993" s="77">
        <v>2.8</v>
      </c>
      <c r="S1993">
        <v>6.1</v>
      </c>
    </row>
    <row r="1994" spans="17:19" customFormat="1" x14ac:dyDescent="0.2">
      <c r="Q1994" s="140">
        <v>41865</v>
      </c>
      <c r="R1994" s="77">
        <v>1.3</v>
      </c>
      <c r="S1994">
        <v>7.7</v>
      </c>
    </row>
    <row r="1995" spans="17:19" customFormat="1" x14ac:dyDescent="0.2">
      <c r="Q1995" s="140">
        <v>41866</v>
      </c>
      <c r="R1995" s="77">
        <v>1</v>
      </c>
      <c r="S1995">
        <v>4.9000000000000004</v>
      </c>
    </row>
    <row r="1996" spans="17:19" customFormat="1" x14ac:dyDescent="0.2">
      <c r="Q1996" s="140">
        <v>41867</v>
      </c>
      <c r="R1996" s="77">
        <v>0</v>
      </c>
      <c r="S1996">
        <v>5.5</v>
      </c>
    </row>
    <row r="1997" spans="17:19" customFormat="1" x14ac:dyDescent="0.2">
      <c r="Q1997" s="140">
        <v>41868</v>
      </c>
      <c r="R1997" s="77">
        <v>0</v>
      </c>
      <c r="S1997">
        <v>7.6</v>
      </c>
    </row>
    <row r="1998" spans="17:19" customFormat="1" x14ac:dyDescent="0.2">
      <c r="Q1998" s="140">
        <v>41869</v>
      </c>
      <c r="R1998" s="77">
        <v>0.1</v>
      </c>
      <c r="S1998">
        <v>8.4</v>
      </c>
    </row>
    <row r="1999" spans="17:19" customFormat="1" x14ac:dyDescent="0.2">
      <c r="Q1999" s="140">
        <v>41870</v>
      </c>
      <c r="R1999" s="77">
        <v>0</v>
      </c>
      <c r="S1999">
        <v>11.3</v>
      </c>
    </row>
    <row r="2000" spans="17:19" customFormat="1" x14ac:dyDescent="0.2">
      <c r="Q2000" s="140">
        <v>41871</v>
      </c>
      <c r="R2000" s="77">
        <v>0</v>
      </c>
      <c r="S2000">
        <v>8.6999999999999993</v>
      </c>
    </row>
    <row r="2001" spans="17:19" customFormat="1" x14ac:dyDescent="0.2">
      <c r="Q2001" s="140">
        <v>41872</v>
      </c>
      <c r="R2001" s="77">
        <v>0</v>
      </c>
      <c r="S2001">
        <v>16.399999999999999</v>
      </c>
    </row>
    <row r="2002" spans="17:19" customFormat="1" x14ac:dyDescent="0.2">
      <c r="Q2002" s="140">
        <v>41873</v>
      </c>
      <c r="R2002" s="77">
        <v>0</v>
      </c>
      <c r="S2002">
        <v>16.600000000000001</v>
      </c>
    </row>
    <row r="2003" spans="17:19" customFormat="1" x14ac:dyDescent="0.2">
      <c r="Q2003" s="140">
        <v>41874</v>
      </c>
      <c r="R2003" s="77">
        <v>0</v>
      </c>
      <c r="S2003">
        <v>18.5</v>
      </c>
    </row>
    <row r="2004" spans="17:19" customFormat="1" x14ac:dyDescent="0.2">
      <c r="Q2004" s="140">
        <v>41875</v>
      </c>
      <c r="R2004" s="77">
        <v>0</v>
      </c>
      <c r="S2004">
        <v>18.899999999999999</v>
      </c>
    </row>
    <row r="2005" spans="17:19" customFormat="1" x14ac:dyDescent="0.2">
      <c r="Q2005" s="140">
        <v>41876</v>
      </c>
      <c r="R2005" s="77">
        <v>0</v>
      </c>
      <c r="S2005">
        <v>19.899999999999999</v>
      </c>
    </row>
    <row r="2006" spans="17:19" customFormat="1" x14ac:dyDescent="0.2">
      <c r="Q2006" s="140">
        <v>41877</v>
      </c>
      <c r="R2006" s="77">
        <v>0</v>
      </c>
      <c r="S2006">
        <v>17.600000000000001</v>
      </c>
    </row>
    <row r="2007" spans="17:19" customFormat="1" x14ac:dyDescent="0.2">
      <c r="Q2007" s="140">
        <v>41878</v>
      </c>
      <c r="R2007" s="77">
        <v>0</v>
      </c>
      <c r="S2007">
        <v>12.4</v>
      </c>
    </row>
    <row r="2008" spans="17:19" customFormat="1" x14ac:dyDescent="0.2">
      <c r="Q2008" s="140">
        <v>41879</v>
      </c>
      <c r="R2008" s="77">
        <v>0</v>
      </c>
      <c r="S2008">
        <v>12</v>
      </c>
    </row>
    <row r="2009" spans="17:19" customFormat="1" x14ac:dyDescent="0.2">
      <c r="Q2009" s="140">
        <v>41880</v>
      </c>
      <c r="R2009" s="77">
        <v>0</v>
      </c>
      <c r="S2009">
        <v>12.7</v>
      </c>
    </row>
    <row r="2010" spans="17:19" customFormat="1" x14ac:dyDescent="0.2">
      <c r="Q2010" s="140">
        <v>41881</v>
      </c>
      <c r="R2010" s="77">
        <v>0</v>
      </c>
      <c r="S2010">
        <v>13.5</v>
      </c>
    </row>
    <row r="2011" spans="17:19" customFormat="1" x14ac:dyDescent="0.2">
      <c r="Q2011" s="140">
        <v>41882</v>
      </c>
      <c r="R2011" s="77">
        <v>0</v>
      </c>
      <c r="S2011">
        <v>12.9</v>
      </c>
    </row>
    <row r="2012" spans="17:19" customFormat="1" x14ac:dyDescent="0.2">
      <c r="Q2012" s="140">
        <v>41883</v>
      </c>
      <c r="R2012" s="77">
        <v>0</v>
      </c>
      <c r="S2012">
        <v>12.3</v>
      </c>
    </row>
    <row r="2013" spans="17:19" customFormat="1" x14ac:dyDescent="0.2">
      <c r="Q2013" s="140">
        <v>41884</v>
      </c>
      <c r="R2013" s="77">
        <v>0</v>
      </c>
      <c r="S2013">
        <v>9.3000000000000007</v>
      </c>
    </row>
    <row r="2014" spans="17:19" customFormat="1" x14ac:dyDescent="0.2">
      <c r="Q2014" s="140">
        <v>41885</v>
      </c>
      <c r="R2014" s="77">
        <v>0.2</v>
      </c>
      <c r="S2014">
        <v>10.4</v>
      </c>
    </row>
    <row r="2015" spans="17:19" customFormat="1" x14ac:dyDescent="0.2">
      <c r="Q2015" s="140">
        <v>41886</v>
      </c>
      <c r="R2015" s="77">
        <v>0</v>
      </c>
      <c r="S2015">
        <v>16.2</v>
      </c>
    </row>
    <row r="2016" spans="17:19" customFormat="1" x14ac:dyDescent="0.2">
      <c r="Q2016" s="140">
        <v>41887</v>
      </c>
      <c r="R2016" s="77">
        <v>0.1</v>
      </c>
      <c r="S2016">
        <v>14.3</v>
      </c>
    </row>
    <row r="2017" spans="17:19" customFormat="1" x14ac:dyDescent="0.2">
      <c r="Q2017" s="140">
        <v>41888</v>
      </c>
      <c r="R2017" s="77">
        <v>2.2000000000000002</v>
      </c>
      <c r="S2017">
        <v>2.2999999999999998</v>
      </c>
    </row>
    <row r="2018" spans="17:19" customFormat="1" x14ac:dyDescent="0.2">
      <c r="Q2018" s="140">
        <v>41889</v>
      </c>
      <c r="R2018" s="77">
        <v>4.9000000000000004</v>
      </c>
      <c r="S2018">
        <v>4.2</v>
      </c>
    </row>
    <row r="2019" spans="17:19" customFormat="1" x14ac:dyDescent="0.2">
      <c r="Q2019" s="140">
        <v>41890</v>
      </c>
      <c r="R2019" s="77">
        <v>3.2</v>
      </c>
      <c r="S2019">
        <v>6</v>
      </c>
    </row>
    <row r="2020" spans="17:19" customFormat="1" x14ac:dyDescent="0.2">
      <c r="Q2020" s="140">
        <v>41891</v>
      </c>
      <c r="R2020" s="77">
        <v>0.1</v>
      </c>
      <c r="S2020">
        <v>3.2</v>
      </c>
    </row>
    <row r="2021" spans="17:19" customFormat="1" x14ac:dyDescent="0.2">
      <c r="Q2021" s="140">
        <v>41892</v>
      </c>
      <c r="R2021" s="77">
        <v>0</v>
      </c>
      <c r="S2021">
        <v>8.3000000000000007</v>
      </c>
    </row>
    <row r="2022" spans="17:19" customFormat="1" x14ac:dyDescent="0.2">
      <c r="Q2022" s="140">
        <v>41893</v>
      </c>
      <c r="R2022" s="77">
        <v>8.1</v>
      </c>
      <c r="S2022">
        <v>0</v>
      </c>
    </row>
    <row r="2023" spans="17:19" customFormat="1" x14ac:dyDescent="0.2">
      <c r="Q2023" s="140">
        <v>41894</v>
      </c>
      <c r="R2023" s="77">
        <v>11.8</v>
      </c>
      <c r="S2023">
        <v>0</v>
      </c>
    </row>
    <row r="2024" spans="17:19" customFormat="1" x14ac:dyDescent="0.2">
      <c r="Q2024" s="140">
        <v>41895</v>
      </c>
      <c r="R2024" s="77">
        <v>14</v>
      </c>
      <c r="S2024">
        <v>0</v>
      </c>
    </row>
    <row r="2025" spans="17:19" customFormat="1" x14ac:dyDescent="0.2">
      <c r="Q2025" s="140">
        <v>41896</v>
      </c>
      <c r="R2025" s="77">
        <v>10.7</v>
      </c>
      <c r="S2025">
        <v>0.8</v>
      </c>
    </row>
    <row r="2026" spans="17:19" customFormat="1" x14ac:dyDescent="0.2">
      <c r="Q2026" s="140">
        <v>41897</v>
      </c>
      <c r="R2026" s="77">
        <v>7.3</v>
      </c>
      <c r="S2026">
        <v>0</v>
      </c>
    </row>
    <row r="2027" spans="17:19" customFormat="1" x14ac:dyDescent="0.2">
      <c r="Q2027" s="140">
        <v>41898</v>
      </c>
      <c r="R2027" s="77">
        <v>7.5</v>
      </c>
      <c r="S2027">
        <v>0.3</v>
      </c>
    </row>
    <row r="2028" spans="17:19" customFormat="1" x14ac:dyDescent="0.2">
      <c r="Q2028" s="140">
        <v>41899</v>
      </c>
      <c r="R2028" s="77">
        <v>8.6</v>
      </c>
      <c r="S2028">
        <v>0.3</v>
      </c>
    </row>
    <row r="2029" spans="17:19" customFormat="1" x14ac:dyDescent="0.2">
      <c r="Q2029" s="140">
        <v>41900</v>
      </c>
      <c r="R2029" s="77">
        <v>6.7</v>
      </c>
      <c r="S2029">
        <v>3</v>
      </c>
    </row>
    <row r="2030" spans="17:19" customFormat="1" x14ac:dyDescent="0.2">
      <c r="Q2030" s="140">
        <v>41901</v>
      </c>
      <c r="R2030" s="77">
        <v>5</v>
      </c>
      <c r="S2030">
        <v>3.8</v>
      </c>
    </row>
    <row r="2031" spans="17:19" customFormat="1" x14ac:dyDescent="0.2">
      <c r="Q2031" s="140">
        <v>41902</v>
      </c>
      <c r="R2031" s="77">
        <v>0.4</v>
      </c>
      <c r="S2031">
        <v>7.5</v>
      </c>
    </row>
    <row r="2032" spans="17:19" customFormat="1" x14ac:dyDescent="0.2">
      <c r="Q2032" s="140">
        <v>41903</v>
      </c>
      <c r="R2032" s="77">
        <v>2.2999999999999998</v>
      </c>
      <c r="S2032">
        <v>3.7</v>
      </c>
    </row>
    <row r="2033" spans="17:19" customFormat="1" x14ac:dyDescent="0.2">
      <c r="Q2033" s="140">
        <v>41904</v>
      </c>
      <c r="R2033" s="77">
        <v>7.8</v>
      </c>
      <c r="S2033">
        <v>1.6</v>
      </c>
    </row>
    <row r="2034" spans="17:19" customFormat="1" x14ac:dyDescent="0.2">
      <c r="Q2034" s="140">
        <v>41905</v>
      </c>
      <c r="R2034" s="77">
        <v>7.5</v>
      </c>
      <c r="S2034">
        <v>2.7</v>
      </c>
    </row>
    <row r="2035" spans="17:19" customFormat="1" x14ac:dyDescent="0.2">
      <c r="Q2035" s="140">
        <v>41906</v>
      </c>
      <c r="R2035" s="77">
        <v>5</v>
      </c>
      <c r="S2035">
        <v>3.7</v>
      </c>
    </row>
    <row r="2036" spans="17:19" customFormat="1" x14ac:dyDescent="0.2">
      <c r="Q2036" s="140">
        <v>41907</v>
      </c>
      <c r="R2036" s="77">
        <v>3.1</v>
      </c>
      <c r="S2036">
        <v>6</v>
      </c>
    </row>
    <row r="2037" spans="17:19" customFormat="1" x14ac:dyDescent="0.2">
      <c r="Q2037" s="140">
        <v>41908</v>
      </c>
      <c r="R2037" s="77">
        <v>2.5</v>
      </c>
      <c r="S2037">
        <v>6.5</v>
      </c>
    </row>
    <row r="2038" spans="17:19" customFormat="1" x14ac:dyDescent="0.2">
      <c r="Q2038" s="140">
        <v>41909</v>
      </c>
      <c r="R2038" s="77">
        <v>2.5</v>
      </c>
      <c r="S2038">
        <v>6.4</v>
      </c>
    </row>
    <row r="2039" spans="17:19" customFormat="1" x14ac:dyDescent="0.2">
      <c r="Q2039" s="140">
        <v>41910</v>
      </c>
      <c r="R2039" s="77">
        <v>3.8</v>
      </c>
      <c r="S2039">
        <v>7.2</v>
      </c>
    </row>
    <row r="2040" spans="17:19" customFormat="1" x14ac:dyDescent="0.2">
      <c r="Q2040" s="140">
        <v>41911</v>
      </c>
      <c r="R2040" s="77">
        <v>3.5</v>
      </c>
      <c r="S2040">
        <v>7.3</v>
      </c>
    </row>
    <row r="2041" spans="17:19" customFormat="1" x14ac:dyDescent="0.2">
      <c r="Q2041" s="140">
        <v>41912</v>
      </c>
      <c r="R2041" s="77">
        <v>3.4</v>
      </c>
      <c r="S2041">
        <v>2.1</v>
      </c>
    </row>
    <row r="2042" spans="17:19" customFormat="1" x14ac:dyDescent="0.2">
      <c r="Q2042" s="140">
        <v>41913</v>
      </c>
      <c r="R2042" s="77">
        <v>4.0999999999999996</v>
      </c>
      <c r="S2042">
        <v>6.1</v>
      </c>
    </row>
    <row r="2043" spans="17:19" customFormat="1" x14ac:dyDescent="0.2">
      <c r="Q2043" s="140">
        <v>41914</v>
      </c>
      <c r="R2043" s="77">
        <v>0.1</v>
      </c>
      <c r="S2043">
        <v>2.9</v>
      </c>
    </row>
    <row r="2044" spans="17:19" customFormat="1" x14ac:dyDescent="0.2">
      <c r="Q2044" s="140">
        <v>41915</v>
      </c>
      <c r="R2044" s="77">
        <v>10.1</v>
      </c>
      <c r="S2044">
        <v>0</v>
      </c>
    </row>
    <row r="2045" spans="17:19" customFormat="1" x14ac:dyDescent="0.2">
      <c r="Q2045" s="140">
        <v>41916</v>
      </c>
      <c r="R2045" s="77">
        <v>19.8</v>
      </c>
      <c r="S2045">
        <v>0</v>
      </c>
    </row>
    <row r="2046" spans="17:19" customFormat="1" x14ac:dyDescent="0.2">
      <c r="Q2046" s="140">
        <v>41917</v>
      </c>
      <c r="R2046" s="77">
        <v>13.8</v>
      </c>
      <c r="S2046">
        <v>0.2</v>
      </c>
    </row>
    <row r="2047" spans="17:19" customFormat="1" x14ac:dyDescent="0.2">
      <c r="Q2047" s="140">
        <v>41918</v>
      </c>
      <c r="R2047" s="77">
        <v>8.3000000000000007</v>
      </c>
      <c r="S2047">
        <v>0.8</v>
      </c>
    </row>
    <row r="2048" spans="17:19" customFormat="1" x14ac:dyDescent="0.2">
      <c r="Q2048" s="140">
        <v>41919</v>
      </c>
      <c r="R2048" s="77">
        <v>5.6</v>
      </c>
      <c r="S2048">
        <v>2.4</v>
      </c>
    </row>
    <row r="2049" spans="17:19" customFormat="1" x14ac:dyDescent="0.2">
      <c r="Q2049" s="140">
        <v>41920</v>
      </c>
      <c r="R2049" s="77">
        <v>10.199999999999999</v>
      </c>
      <c r="S2049">
        <v>1.8</v>
      </c>
    </row>
    <row r="2050" spans="17:19" customFormat="1" x14ac:dyDescent="0.2">
      <c r="Q2050" s="140">
        <v>41921</v>
      </c>
      <c r="R2050" s="77">
        <v>8.9</v>
      </c>
      <c r="S2050">
        <v>0</v>
      </c>
    </row>
    <row r="2051" spans="17:19" customFormat="1" x14ac:dyDescent="0.2">
      <c r="Q2051" s="140">
        <v>41922</v>
      </c>
      <c r="R2051" s="77">
        <v>11.2</v>
      </c>
      <c r="S2051">
        <v>0</v>
      </c>
    </row>
    <row r="2052" spans="17:19" customFormat="1" x14ac:dyDescent="0.2">
      <c r="Q2052" s="140">
        <v>41923</v>
      </c>
      <c r="R2052" s="77">
        <v>14.7</v>
      </c>
      <c r="S2052">
        <v>0</v>
      </c>
    </row>
    <row r="2053" spans="17:19" customFormat="1" x14ac:dyDescent="0.2">
      <c r="Q2053" s="140">
        <v>41924</v>
      </c>
      <c r="R2053" s="77">
        <v>13.7</v>
      </c>
      <c r="S2053">
        <v>0</v>
      </c>
    </row>
    <row r="2054" spans="17:19" customFormat="1" x14ac:dyDescent="0.2">
      <c r="Q2054" s="140">
        <v>41925</v>
      </c>
      <c r="R2054" s="77">
        <v>1.8</v>
      </c>
      <c r="S2054">
        <v>1.2</v>
      </c>
    </row>
    <row r="2055" spans="17:19" customFormat="1" x14ac:dyDescent="0.2">
      <c r="Q2055" s="140">
        <v>41926</v>
      </c>
      <c r="R2055" s="77">
        <v>6.1</v>
      </c>
      <c r="S2055">
        <v>0</v>
      </c>
    </row>
    <row r="2056" spans="17:19" customFormat="1" x14ac:dyDescent="0.2">
      <c r="Q2056" s="140">
        <v>41927</v>
      </c>
      <c r="R2056" s="77">
        <v>11.6</v>
      </c>
      <c r="S2056">
        <v>0</v>
      </c>
    </row>
    <row r="2057" spans="17:19" customFormat="1" x14ac:dyDescent="0.2">
      <c r="Q2057" s="140">
        <v>41928</v>
      </c>
      <c r="R2057" s="77">
        <v>6.8</v>
      </c>
      <c r="S2057">
        <v>0.8</v>
      </c>
    </row>
    <row r="2058" spans="17:19" customFormat="1" x14ac:dyDescent="0.2">
      <c r="Q2058" s="140">
        <v>41929</v>
      </c>
      <c r="R2058" s="77">
        <v>6.5</v>
      </c>
      <c r="S2058">
        <v>0</v>
      </c>
    </row>
    <row r="2059" spans="17:19" customFormat="1" x14ac:dyDescent="0.2">
      <c r="Q2059" s="140">
        <v>41930</v>
      </c>
      <c r="R2059" s="77">
        <v>12.3</v>
      </c>
      <c r="S2059">
        <v>0</v>
      </c>
    </row>
    <row r="2060" spans="17:19" customFormat="1" x14ac:dyDescent="0.2">
      <c r="Q2060" s="140">
        <v>41931</v>
      </c>
      <c r="R2060" s="77">
        <v>11.9</v>
      </c>
      <c r="S2060">
        <v>0</v>
      </c>
    </row>
    <row r="2061" spans="17:19" customFormat="1" x14ac:dyDescent="0.2">
      <c r="Q2061" s="140">
        <v>41932</v>
      </c>
      <c r="R2061" s="77">
        <v>7.5</v>
      </c>
      <c r="S2061">
        <v>1.3</v>
      </c>
    </row>
    <row r="2062" spans="17:19" customFormat="1" x14ac:dyDescent="0.2">
      <c r="Q2062" s="140">
        <v>41933</v>
      </c>
      <c r="R2062" s="77">
        <v>14.3</v>
      </c>
      <c r="S2062">
        <v>0</v>
      </c>
    </row>
    <row r="2063" spans="17:19" customFormat="1" x14ac:dyDescent="0.2">
      <c r="Q2063" s="140">
        <v>41934</v>
      </c>
      <c r="R2063" s="77">
        <v>18</v>
      </c>
      <c r="S2063">
        <v>0</v>
      </c>
    </row>
    <row r="2064" spans="17:19" customFormat="1" x14ac:dyDescent="0.2">
      <c r="Q2064" s="140">
        <v>41935</v>
      </c>
      <c r="R2064" s="77">
        <v>13.7</v>
      </c>
      <c r="S2064">
        <v>0</v>
      </c>
    </row>
    <row r="2065" spans="17:19" customFormat="1" x14ac:dyDescent="0.2">
      <c r="Q2065" s="140">
        <v>41936</v>
      </c>
      <c r="R2065" s="77">
        <v>6.9</v>
      </c>
      <c r="S2065">
        <v>0.5</v>
      </c>
    </row>
    <row r="2066" spans="17:19" customFormat="1" x14ac:dyDescent="0.2">
      <c r="Q2066" s="140">
        <v>41937</v>
      </c>
      <c r="R2066" s="77">
        <v>4</v>
      </c>
      <c r="S2066">
        <v>3.9</v>
      </c>
    </row>
    <row r="2067" spans="17:19" customFormat="1" x14ac:dyDescent="0.2">
      <c r="Q2067" s="140">
        <v>41938</v>
      </c>
      <c r="R2067" s="77">
        <v>6.6</v>
      </c>
      <c r="S2067">
        <v>1.7</v>
      </c>
    </row>
    <row r="2068" spans="17:19" customFormat="1" x14ac:dyDescent="0.2">
      <c r="Q2068" s="140">
        <v>41939</v>
      </c>
      <c r="R2068" s="77">
        <v>0.2</v>
      </c>
      <c r="S2068">
        <v>5.9</v>
      </c>
    </row>
    <row r="2069" spans="17:19" customFormat="1" x14ac:dyDescent="0.2">
      <c r="Q2069" s="140">
        <v>41940</v>
      </c>
      <c r="R2069" s="77">
        <v>7</v>
      </c>
      <c r="S2069">
        <v>0.3</v>
      </c>
    </row>
    <row r="2070" spans="17:19" customFormat="1" x14ac:dyDescent="0.2">
      <c r="Q2070" s="140">
        <v>41941</v>
      </c>
      <c r="R2070" s="77">
        <v>19.5</v>
      </c>
      <c r="S2070">
        <v>0</v>
      </c>
    </row>
    <row r="2071" spans="17:19" customFormat="1" x14ac:dyDescent="0.2">
      <c r="Q2071" s="140">
        <v>41942</v>
      </c>
      <c r="R2071" s="77">
        <v>20</v>
      </c>
      <c r="S2071">
        <v>0</v>
      </c>
    </row>
    <row r="2072" spans="17:19" customFormat="1" x14ac:dyDescent="0.2">
      <c r="Q2072" s="140">
        <v>41943</v>
      </c>
      <c r="R2072" s="77">
        <v>22.9</v>
      </c>
      <c r="S2072">
        <v>0</v>
      </c>
    </row>
    <row r="2073" spans="17:19" customFormat="1" x14ac:dyDescent="0.2">
      <c r="Q2073" s="140">
        <v>41944</v>
      </c>
      <c r="R2073" s="77">
        <v>27.9</v>
      </c>
      <c r="S2073">
        <v>0</v>
      </c>
    </row>
    <row r="2074" spans="17:19" customFormat="1" x14ac:dyDescent="0.2">
      <c r="Q2074" s="140">
        <v>41945</v>
      </c>
      <c r="R2074" s="77">
        <v>24.5</v>
      </c>
      <c r="S2074">
        <v>0</v>
      </c>
    </row>
    <row r="2075" spans="17:19" customFormat="1" x14ac:dyDescent="0.2">
      <c r="Q2075" s="140">
        <v>41946</v>
      </c>
      <c r="R2075" s="77">
        <v>8.3000000000000007</v>
      </c>
      <c r="S2075">
        <v>0.6</v>
      </c>
    </row>
    <row r="2076" spans="17:19" customFormat="1" x14ac:dyDescent="0.2">
      <c r="Q2076" s="140">
        <v>41947</v>
      </c>
      <c r="R2076" s="77">
        <v>14.3</v>
      </c>
      <c r="S2076">
        <v>0</v>
      </c>
    </row>
    <row r="2077" spans="17:19" customFormat="1" x14ac:dyDescent="0.2">
      <c r="Q2077" s="140">
        <v>41948</v>
      </c>
      <c r="R2077" s="77">
        <v>15.1</v>
      </c>
      <c r="S2077">
        <v>0</v>
      </c>
    </row>
    <row r="2078" spans="17:19" customFormat="1" x14ac:dyDescent="0.2">
      <c r="Q2078" s="140">
        <v>41949</v>
      </c>
      <c r="R2078" s="77">
        <v>20.9</v>
      </c>
      <c r="S2078">
        <v>0</v>
      </c>
    </row>
    <row r="2079" spans="17:19" customFormat="1" x14ac:dyDescent="0.2">
      <c r="Q2079" s="140">
        <v>41950</v>
      </c>
      <c r="R2079" s="77">
        <v>25.6</v>
      </c>
      <c r="S2079">
        <v>0</v>
      </c>
    </row>
    <row r="2080" spans="17:19" customFormat="1" x14ac:dyDescent="0.2">
      <c r="Q2080" s="140">
        <v>41951</v>
      </c>
      <c r="R2080" s="77">
        <v>20.7</v>
      </c>
      <c r="S2080">
        <v>0</v>
      </c>
    </row>
    <row r="2081" spans="17:19" customFormat="1" x14ac:dyDescent="0.2">
      <c r="Q2081" s="140">
        <v>41952</v>
      </c>
      <c r="R2081" s="77">
        <v>20.100000000000001</v>
      </c>
      <c r="S2081">
        <v>0</v>
      </c>
    </row>
    <row r="2082" spans="17:19" customFormat="1" x14ac:dyDescent="0.2">
      <c r="Q2082" s="140">
        <v>41953</v>
      </c>
      <c r="R2082" s="77">
        <v>9.3000000000000007</v>
      </c>
      <c r="S2082">
        <v>0.2</v>
      </c>
    </row>
    <row r="2083" spans="17:19" customFormat="1" x14ac:dyDescent="0.2">
      <c r="Q2083" s="140">
        <v>41954</v>
      </c>
      <c r="R2083" s="77">
        <v>25.7</v>
      </c>
      <c r="S2083">
        <v>0</v>
      </c>
    </row>
    <row r="2084" spans="17:19" customFormat="1" x14ac:dyDescent="0.2">
      <c r="Q2084" s="140">
        <v>41955</v>
      </c>
      <c r="R2084" s="77">
        <v>36.700000000000003</v>
      </c>
      <c r="S2084">
        <v>0</v>
      </c>
    </row>
    <row r="2085" spans="17:19" customFormat="1" x14ac:dyDescent="0.2">
      <c r="Q2085" s="140">
        <v>41956</v>
      </c>
      <c r="R2085" s="77">
        <v>39.6</v>
      </c>
      <c r="S2085">
        <v>0</v>
      </c>
    </row>
    <row r="2086" spans="17:19" customFormat="1" x14ac:dyDescent="0.2">
      <c r="Q2086" s="140">
        <v>41957</v>
      </c>
      <c r="R2086" s="77">
        <v>40.6</v>
      </c>
      <c r="S2086">
        <v>0</v>
      </c>
    </row>
    <row r="2087" spans="17:19" customFormat="1" x14ac:dyDescent="0.2">
      <c r="Q2087" s="140">
        <v>41958</v>
      </c>
      <c r="R2087" s="77">
        <v>37.700000000000003</v>
      </c>
      <c r="S2087">
        <v>0</v>
      </c>
    </row>
    <row r="2088" spans="17:19" customFormat="1" x14ac:dyDescent="0.2">
      <c r="Q2088" s="140">
        <v>41959</v>
      </c>
      <c r="R2088" s="77">
        <v>35.200000000000003</v>
      </c>
      <c r="S2088">
        <v>0</v>
      </c>
    </row>
    <row r="2089" spans="17:19" customFormat="1" x14ac:dyDescent="0.2">
      <c r="Q2089" s="140">
        <v>41960</v>
      </c>
      <c r="R2089" s="77">
        <v>45.3</v>
      </c>
      <c r="S2089">
        <v>0</v>
      </c>
    </row>
    <row r="2090" spans="17:19" customFormat="1" x14ac:dyDescent="0.2">
      <c r="Q2090" s="140">
        <v>41961</v>
      </c>
      <c r="R2090" s="77">
        <v>47.7</v>
      </c>
      <c r="S2090">
        <v>0</v>
      </c>
    </row>
    <row r="2091" spans="17:19" customFormat="1" x14ac:dyDescent="0.2">
      <c r="Q2091" s="140">
        <v>41962</v>
      </c>
      <c r="R2091" s="77">
        <v>35.5</v>
      </c>
      <c r="S2091">
        <v>0</v>
      </c>
    </row>
    <row r="2092" spans="17:19" customFormat="1" x14ac:dyDescent="0.2">
      <c r="Q2092" s="140">
        <v>41963</v>
      </c>
      <c r="R2092" s="77">
        <v>39.9</v>
      </c>
      <c r="S2092">
        <v>0</v>
      </c>
    </row>
    <row r="2093" spans="17:19" customFormat="1" x14ac:dyDescent="0.2">
      <c r="Q2093" s="140">
        <v>41964</v>
      </c>
      <c r="R2093" s="77">
        <v>36.700000000000003</v>
      </c>
      <c r="S2093">
        <v>0</v>
      </c>
    </row>
    <row r="2094" spans="17:19" customFormat="1" x14ac:dyDescent="0.2">
      <c r="Q2094" s="140">
        <v>41965</v>
      </c>
      <c r="R2094" s="77">
        <v>15.2</v>
      </c>
      <c r="S2094">
        <v>0</v>
      </c>
    </row>
    <row r="2095" spans="17:19" customFormat="1" x14ac:dyDescent="0.2">
      <c r="Q2095" s="140">
        <v>41966</v>
      </c>
      <c r="R2095" s="77">
        <v>12.6</v>
      </c>
      <c r="S2095">
        <v>0</v>
      </c>
    </row>
    <row r="2096" spans="17:19" customFormat="1" x14ac:dyDescent="0.2">
      <c r="Q2096" s="140">
        <v>41967</v>
      </c>
      <c r="R2096" s="77">
        <v>27.6</v>
      </c>
      <c r="S2096">
        <v>0</v>
      </c>
    </row>
    <row r="2097" spans="17:19" customFormat="1" x14ac:dyDescent="0.2">
      <c r="Q2097" s="140">
        <v>41968</v>
      </c>
      <c r="R2097" s="77">
        <v>35.200000000000003</v>
      </c>
      <c r="S2097">
        <v>0</v>
      </c>
    </row>
    <row r="2098" spans="17:19" customFormat="1" x14ac:dyDescent="0.2">
      <c r="Q2098" s="140">
        <v>41969</v>
      </c>
      <c r="R2098" s="77">
        <v>36.1</v>
      </c>
      <c r="S2098">
        <v>0</v>
      </c>
    </row>
    <row r="2099" spans="17:19" customFormat="1" x14ac:dyDescent="0.2">
      <c r="Q2099" s="140">
        <v>41970</v>
      </c>
      <c r="R2099" s="77">
        <v>42.8</v>
      </c>
      <c r="S2099">
        <v>0</v>
      </c>
    </row>
    <row r="2100" spans="17:19" customFormat="1" x14ac:dyDescent="0.2">
      <c r="Q2100" s="140">
        <v>41971</v>
      </c>
      <c r="R2100" s="77">
        <v>34.299999999999997</v>
      </c>
      <c r="S2100">
        <v>0</v>
      </c>
    </row>
    <row r="2101" spans="17:19" customFormat="1" x14ac:dyDescent="0.2">
      <c r="Q2101" s="140">
        <v>41972</v>
      </c>
      <c r="R2101" s="77">
        <v>16.3</v>
      </c>
      <c r="S2101">
        <v>0</v>
      </c>
    </row>
    <row r="2102" spans="17:19" customFormat="1" x14ac:dyDescent="0.2">
      <c r="Q2102" s="140">
        <v>41973</v>
      </c>
      <c r="R2102" s="77">
        <v>20</v>
      </c>
      <c r="S2102">
        <v>0</v>
      </c>
    </row>
    <row r="2103" spans="17:19" customFormat="1" x14ac:dyDescent="0.2">
      <c r="Q2103" s="140">
        <v>41974</v>
      </c>
      <c r="R2103" s="77">
        <v>40.1</v>
      </c>
      <c r="S2103">
        <v>0</v>
      </c>
    </row>
    <row r="2104" spans="17:19" customFormat="1" x14ac:dyDescent="0.2">
      <c r="Q2104" s="140">
        <v>41975</v>
      </c>
      <c r="R2104" s="77">
        <v>37.9</v>
      </c>
      <c r="S2104">
        <v>0</v>
      </c>
    </row>
    <row r="2105" spans="17:19" customFormat="1" x14ac:dyDescent="0.2">
      <c r="Q2105" s="140">
        <v>41976</v>
      </c>
      <c r="R2105" s="77">
        <v>32.299999999999997</v>
      </c>
      <c r="S2105">
        <v>0</v>
      </c>
    </row>
    <row r="2106" spans="17:19" customFormat="1" x14ac:dyDescent="0.2">
      <c r="Q2106" s="140">
        <v>41977</v>
      </c>
      <c r="R2106" s="77">
        <v>31.5</v>
      </c>
      <c r="S2106">
        <v>0</v>
      </c>
    </row>
    <row r="2107" spans="17:19" customFormat="1" x14ac:dyDescent="0.2">
      <c r="Q2107" s="140">
        <v>41978</v>
      </c>
      <c r="R2107" s="77">
        <v>26.4</v>
      </c>
      <c r="S2107">
        <v>0</v>
      </c>
    </row>
    <row r="2108" spans="17:19" customFormat="1" x14ac:dyDescent="0.2">
      <c r="Q2108" s="140">
        <v>41979</v>
      </c>
      <c r="R2108" s="77">
        <v>30.3</v>
      </c>
      <c r="S2108">
        <v>0</v>
      </c>
    </row>
    <row r="2109" spans="17:19" customFormat="1" x14ac:dyDescent="0.2">
      <c r="Q2109" s="140">
        <v>41980</v>
      </c>
      <c r="R2109" s="77">
        <v>33.1</v>
      </c>
      <c r="S2109">
        <v>0</v>
      </c>
    </row>
    <row r="2110" spans="17:19" customFormat="1" x14ac:dyDescent="0.2">
      <c r="Q2110" s="140">
        <v>41981</v>
      </c>
      <c r="R2110" s="77">
        <v>25.9</v>
      </c>
      <c r="S2110">
        <v>0</v>
      </c>
    </row>
    <row r="2111" spans="17:19" customFormat="1" x14ac:dyDescent="0.2">
      <c r="Q2111" s="140">
        <v>41982</v>
      </c>
      <c r="R2111" s="77">
        <v>30.8</v>
      </c>
      <c r="S2111">
        <v>0</v>
      </c>
    </row>
    <row r="2112" spans="17:19" customFormat="1" x14ac:dyDescent="0.2">
      <c r="Q2112" s="140">
        <v>41983</v>
      </c>
      <c r="R2112" s="77">
        <v>31.6</v>
      </c>
      <c r="S2112">
        <v>0</v>
      </c>
    </row>
    <row r="2113" spans="17:19" customFormat="1" x14ac:dyDescent="0.2">
      <c r="Q2113" s="140">
        <v>41984</v>
      </c>
      <c r="R2113" s="77">
        <v>36</v>
      </c>
      <c r="S2113">
        <v>0</v>
      </c>
    </row>
    <row r="2114" spans="17:19" customFormat="1" x14ac:dyDescent="0.2">
      <c r="Q2114" s="140">
        <v>41985</v>
      </c>
      <c r="R2114" s="77">
        <v>29.1</v>
      </c>
      <c r="S2114">
        <v>0</v>
      </c>
    </row>
    <row r="2115" spans="17:19" customFormat="1" x14ac:dyDescent="0.2">
      <c r="Q2115" s="140">
        <v>41986</v>
      </c>
      <c r="R2115" s="77">
        <v>19.100000000000001</v>
      </c>
      <c r="S2115">
        <v>0</v>
      </c>
    </row>
    <row r="2116" spans="17:19" customFormat="1" x14ac:dyDescent="0.2">
      <c r="Q2116" s="140">
        <v>41987</v>
      </c>
      <c r="R2116" s="77">
        <v>16.7</v>
      </c>
      <c r="S2116">
        <v>0</v>
      </c>
    </row>
    <row r="2117" spans="17:19" customFormat="1" x14ac:dyDescent="0.2">
      <c r="Q2117" s="140">
        <v>41988</v>
      </c>
      <c r="R2117" s="77">
        <v>16.3</v>
      </c>
      <c r="S2117">
        <v>0</v>
      </c>
    </row>
    <row r="2118" spans="17:19" customFormat="1" x14ac:dyDescent="0.2">
      <c r="Q2118" s="140">
        <v>41989</v>
      </c>
      <c r="R2118" s="77">
        <v>29.6</v>
      </c>
      <c r="S2118">
        <v>0</v>
      </c>
    </row>
    <row r="2119" spans="17:19" customFormat="1" x14ac:dyDescent="0.2">
      <c r="Q2119" s="140">
        <v>41990</v>
      </c>
      <c r="R2119" s="77">
        <v>40.4</v>
      </c>
      <c r="S2119">
        <v>0</v>
      </c>
    </row>
    <row r="2120" spans="17:19" customFormat="1" x14ac:dyDescent="0.2">
      <c r="Q2120" s="140">
        <v>41991</v>
      </c>
      <c r="R2120" s="77">
        <v>37.200000000000003</v>
      </c>
      <c r="S2120">
        <v>0</v>
      </c>
    </row>
    <row r="2121" spans="17:19" customFormat="1" x14ac:dyDescent="0.2">
      <c r="Q2121" s="140">
        <v>41992</v>
      </c>
      <c r="R2121" s="77">
        <v>34.4</v>
      </c>
      <c r="S2121">
        <v>0</v>
      </c>
    </row>
    <row r="2122" spans="17:19" customFormat="1" x14ac:dyDescent="0.2">
      <c r="Q2122" s="140">
        <v>41993</v>
      </c>
      <c r="R2122" s="77">
        <v>29.8</v>
      </c>
      <c r="S2122">
        <v>0</v>
      </c>
    </row>
    <row r="2123" spans="17:19" customFormat="1" x14ac:dyDescent="0.2">
      <c r="Q2123" s="140">
        <v>41994</v>
      </c>
      <c r="R2123" s="77">
        <v>26.7</v>
      </c>
      <c r="S2123">
        <v>0</v>
      </c>
    </row>
    <row r="2124" spans="17:19" customFormat="1" x14ac:dyDescent="0.2">
      <c r="Q2124" s="140">
        <v>41995</v>
      </c>
      <c r="R2124" s="77">
        <v>22.7</v>
      </c>
      <c r="S2124">
        <v>0</v>
      </c>
    </row>
    <row r="2125" spans="17:19" customFormat="1" x14ac:dyDescent="0.2">
      <c r="Q2125" s="140">
        <v>41996</v>
      </c>
      <c r="R2125" s="77">
        <v>19.899999999999999</v>
      </c>
      <c r="S2125">
        <v>0</v>
      </c>
    </row>
    <row r="2126" spans="17:19" customFormat="1" x14ac:dyDescent="0.2">
      <c r="Q2126" s="140">
        <v>41997</v>
      </c>
      <c r="R2126" s="77">
        <v>26.9</v>
      </c>
      <c r="S2126">
        <v>0</v>
      </c>
    </row>
    <row r="2127" spans="17:19" customFormat="1" x14ac:dyDescent="0.2">
      <c r="Q2127" s="140">
        <v>41998</v>
      </c>
      <c r="R2127" s="77">
        <v>23.7</v>
      </c>
      <c r="S2127">
        <v>0</v>
      </c>
    </row>
    <row r="2128" spans="17:19" customFormat="1" x14ac:dyDescent="0.2">
      <c r="Q2128" s="140">
        <v>41999</v>
      </c>
      <c r="R2128" s="77">
        <v>18.100000000000001</v>
      </c>
      <c r="S2128">
        <v>0</v>
      </c>
    </row>
    <row r="2129" spans="17:19" customFormat="1" x14ac:dyDescent="0.2">
      <c r="Q2129" s="140">
        <v>42000</v>
      </c>
      <c r="R2129" s="77">
        <v>23.7</v>
      </c>
      <c r="S2129">
        <v>0</v>
      </c>
    </row>
    <row r="2130" spans="17:19" customFormat="1" x14ac:dyDescent="0.2">
      <c r="Q2130" s="140">
        <v>42001</v>
      </c>
      <c r="R2130" s="77">
        <v>35.6</v>
      </c>
      <c r="S2130">
        <v>0</v>
      </c>
    </row>
    <row r="2131" spans="17:19" customFormat="1" x14ac:dyDescent="0.2">
      <c r="Q2131" s="140">
        <v>42002</v>
      </c>
      <c r="R2131" s="77">
        <v>36</v>
      </c>
      <c r="S2131">
        <v>0</v>
      </c>
    </row>
    <row r="2132" spans="17:19" customFormat="1" x14ac:dyDescent="0.2">
      <c r="Q2132" s="140">
        <v>42003</v>
      </c>
      <c r="R2132" s="77">
        <v>44.1</v>
      </c>
      <c r="S2132">
        <v>0</v>
      </c>
    </row>
    <row r="2133" spans="17:19" customFormat="1" x14ac:dyDescent="0.2">
      <c r="Q2133" s="140">
        <v>42004</v>
      </c>
      <c r="R2133" s="77">
        <v>48.3</v>
      </c>
      <c r="S2133">
        <v>0</v>
      </c>
    </row>
    <row r="2134" spans="17:19" customFormat="1" x14ac:dyDescent="0.2">
      <c r="Q2134" s="140">
        <v>42005</v>
      </c>
      <c r="R2134" s="77">
        <v>39.200000000000003</v>
      </c>
      <c r="S2134">
        <v>0</v>
      </c>
    </row>
    <row r="2135" spans="17:19" customFormat="1" x14ac:dyDescent="0.2">
      <c r="Q2135" s="140">
        <v>42006</v>
      </c>
      <c r="R2135" s="77">
        <v>31.5</v>
      </c>
      <c r="S2135">
        <v>0</v>
      </c>
    </row>
    <row r="2136" spans="17:19" customFormat="1" x14ac:dyDescent="0.2">
      <c r="Q2136" s="140">
        <v>42007</v>
      </c>
      <c r="R2136">
        <v>28.8</v>
      </c>
      <c r="S2136">
        <v>0</v>
      </c>
    </row>
    <row r="2137" spans="17:19" customFormat="1" x14ac:dyDescent="0.2">
      <c r="Q2137" s="140">
        <v>42008</v>
      </c>
      <c r="R2137">
        <v>42.7</v>
      </c>
      <c r="S2137">
        <v>0</v>
      </c>
    </row>
    <row r="2138" spans="17:19" customFormat="1" x14ac:dyDescent="0.2">
      <c r="Q2138" s="140">
        <v>42009</v>
      </c>
      <c r="R2138">
        <v>52.9</v>
      </c>
      <c r="S2138">
        <v>0</v>
      </c>
    </row>
    <row r="2139" spans="17:19" customFormat="1" x14ac:dyDescent="0.2">
      <c r="Q2139" s="140">
        <v>42010</v>
      </c>
      <c r="R2139">
        <v>48.6</v>
      </c>
      <c r="S2139">
        <v>0</v>
      </c>
    </row>
    <row r="2140" spans="17:19" customFormat="1" x14ac:dyDescent="0.2">
      <c r="Q2140" s="140">
        <v>42011</v>
      </c>
      <c r="R2140">
        <v>60.3</v>
      </c>
      <c r="S2140">
        <v>0</v>
      </c>
    </row>
    <row r="2141" spans="17:19" customFormat="1" x14ac:dyDescent="0.2">
      <c r="Q2141" s="140">
        <v>42012</v>
      </c>
      <c r="R2141">
        <v>54.2</v>
      </c>
      <c r="S2141">
        <v>0</v>
      </c>
    </row>
    <row r="2142" spans="17:19" customFormat="1" x14ac:dyDescent="0.2">
      <c r="Q2142" s="140">
        <v>42013</v>
      </c>
      <c r="R2142">
        <v>54.4</v>
      </c>
      <c r="S2142">
        <v>0</v>
      </c>
    </row>
    <row r="2143" spans="17:19" customFormat="1" x14ac:dyDescent="0.2">
      <c r="Q2143" s="140">
        <v>42014</v>
      </c>
      <c r="R2143">
        <v>47.3</v>
      </c>
      <c r="S2143">
        <v>0</v>
      </c>
    </row>
    <row r="2144" spans="17:19" customFormat="1" x14ac:dyDescent="0.2">
      <c r="Q2144" s="140">
        <v>42015</v>
      </c>
      <c r="R2144">
        <v>32.6</v>
      </c>
      <c r="S2144">
        <v>0</v>
      </c>
    </row>
    <row r="2145" spans="17:19" customFormat="1" x14ac:dyDescent="0.2">
      <c r="Q2145" s="140">
        <v>42016</v>
      </c>
      <c r="R2145">
        <v>42.6</v>
      </c>
      <c r="S2145">
        <v>0</v>
      </c>
    </row>
    <row r="2146" spans="17:19" customFormat="1" x14ac:dyDescent="0.2">
      <c r="Q2146" s="140">
        <v>42017</v>
      </c>
      <c r="R2146">
        <v>53.1</v>
      </c>
      <c r="S2146">
        <v>0</v>
      </c>
    </row>
    <row r="2147" spans="17:19" customFormat="1" x14ac:dyDescent="0.2">
      <c r="Q2147" s="140">
        <v>42018</v>
      </c>
      <c r="R2147">
        <v>52.5</v>
      </c>
      <c r="S2147">
        <v>0</v>
      </c>
    </row>
    <row r="2148" spans="17:19" customFormat="1" x14ac:dyDescent="0.2">
      <c r="Q2148" s="140">
        <v>42019</v>
      </c>
      <c r="R2148">
        <v>36.200000000000003</v>
      </c>
      <c r="S2148">
        <v>0</v>
      </c>
    </row>
    <row r="2149" spans="17:19" customFormat="1" x14ac:dyDescent="0.2">
      <c r="Q2149" s="140">
        <v>42020</v>
      </c>
      <c r="R2149">
        <v>30.3</v>
      </c>
      <c r="S2149">
        <v>0</v>
      </c>
    </row>
    <row r="2150" spans="17:19" customFormat="1" x14ac:dyDescent="0.2">
      <c r="Q2150" s="140">
        <v>42021</v>
      </c>
      <c r="R2150">
        <v>22.8</v>
      </c>
      <c r="S2150">
        <v>0</v>
      </c>
    </row>
    <row r="2151" spans="17:19" customFormat="1" x14ac:dyDescent="0.2">
      <c r="Q2151" s="140">
        <v>42022</v>
      </c>
      <c r="R2151">
        <v>27.7</v>
      </c>
      <c r="S2151">
        <v>0</v>
      </c>
    </row>
    <row r="2152" spans="17:19" customFormat="1" x14ac:dyDescent="0.2">
      <c r="Q2152" s="140">
        <v>42023</v>
      </c>
      <c r="R2152">
        <v>28.7</v>
      </c>
      <c r="S2152">
        <v>0</v>
      </c>
    </row>
    <row r="2153" spans="17:19" customFormat="1" x14ac:dyDescent="0.2">
      <c r="Q2153" s="140">
        <v>42024</v>
      </c>
      <c r="R2153">
        <v>27.3</v>
      </c>
      <c r="S2153">
        <v>0</v>
      </c>
    </row>
    <row r="2154" spans="17:19" customFormat="1" x14ac:dyDescent="0.2">
      <c r="Q2154" s="140">
        <v>42025</v>
      </c>
      <c r="R2154">
        <v>28.6</v>
      </c>
      <c r="S2154">
        <v>0</v>
      </c>
    </row>
    <row r="2155" spans="17:19" customFormat="1" x14ac:dyDescent="0.2">
      <c r="Q2155" s="140">
        <v>42026</v>
      </c>
      <c r="R2155">
        <v>30.6</v>
      </c>
      <c r="S2155">
        <v>0</v>
      </c>
    </row>
    <row r="2156" spans="17:19" customFormat="1" x14ac:dyDescent="0.2">
      <c r="Q2156" s="140">
        <v>42027</v>
      </c>
      <c r="R2156">
        <v>32.4</v>
      </c>
      <c r="S2156">
        <v>0</v>
      </c>
    </row>
    <row r="2157" spans="17:19" customFormat="1" x14ac:dyDescent="0.2">
      <c r="Q2157" s="140">
        <v>42028</v>
      </c>
      <c r="R2157">
        <v>26.4</v>
      </c>
      <c r="S2157">
        <v>0</v>
      </c>
    </row>
    <row r="2158" spans="17:19" customFormat="1" x14ac:dyDescent="0.2">
      <c r="Q2158" s="140">
        <v>42029</v>
      </c>
      <c r="R2158">
        <v>28.1</v>
      </c>
      <c r="S2158">
        <v>0</v>
      </c>
    </row>
    <row r="2159" spans="17:19" customFormat="1" x14ac:dyDescent="0.2">
      <c r="Q2159" s="140">
        <v>42030</v>
      </c>
      <c r="R2159">
        <v>37.1</v>
      </c>
      <c r="S2159">
        <v>0</v>
      </c>
    </row>
    <row r="2160" spans="17:19" customFormat="1" x14ac:dyDescent="0.2">
      <c r="Q2160" s="140">
        <v>42031</v>
      </c>
      <c r="R2160">
        <v>32.4</v>
      </c>
      <c r="S2160">
        <v>0</v>
      </c>
    </row>
    <row r="2161" spans="17:19" customFormat="1" x14ac:dyDescent="0.2">
      <c r="Q2161" s="140">
        <v>42032</v>
      </c>
      <c r="R2161">
        <v>30.4</v>
      </c>
      <c r="S2161">
        <v>0</v>
      </c>
    </row>
    <row r="2162" spans="17:19" customFormat="1" x14ac:dyDescent="0.2">
      <c r="Q2162" s="140">
        <v>42033</v>
      </c>
      <c r="R2162">
        <v>26.5</v>
      </c>
      <c r="S2162">
        <v>0</v>
      </c>
    </row>
    <row r="2163" spans="17:19" customFormat="1" x14ac:dyDescent="0.2">
      <c r="Q2163" s="140">
        <v>42034</v>
      </c>
      <c r="R2163">
        <v>35.6</v>
      </c>
      <c r="S2163">
        <v>0</v>
      </c>
    </row>
    <row r="2164" spans="17:19" customFormat="1" x14ac:dyDescent="0.2">
      <c r="Q2164" s="140">
        <v>42035</v>
      </c>
      <c r="R2164">
        <v>31.8</v>
      </c>
      <c r="S2164">
        <v>0</v>
      </c>
    </row>
    <row r="2165" spans="17:19" customFormat="1" x14ac:dyDescent="0.2">
      <c r="Q2165" s="140">
        <v>42036</v>
      </c>
      <c r="R2165">
        <v>33.9</v>
      </c>
      <c r="S2165">
        <v>0</v>
      </c>
    </row>
    <row r="2166" spans="17:19" customFormat="1" x14ac:dyDescent="0.2">
      <c r="Q2166" s="140">
        <v>42037</v>
      </c>
      <c r="R2166">
        <v>48.7</v>
      </c>
      <c r="S2166">
        <v>0</v>
      </c>
    </row>
    <row r="2167" spans="17:19" customFormat="1" x14ac:dyDescent="0.2">
      <c r="Q2167" s="140">
        <v>42038</v>
      </c>
      <c r="R2167">
        <v>35.5</v>
      </c>
      <c r="S2167">
        <v>0</v>
      </c>
    </row>
    <row r="2168" spans="17:19" customFormat="1" x14ac:dyDescent="0.2">
      <c r="Q2168" s="140">
        <v>42039</v>
      </c>
      <c r="R2168">
        <v>39.4</v>
      </c>
      <c r="S2168">
        <v>0</v>
      </c>
    </row>
    <row r="2169" spans="17:19" customFormat="1" x14ac:dyDescent="0.2">
      <c r="Q2169" s="140">
        <v>42040</v>
      </c>
      <c r="R2169">
        <v>53.1</v>
      </c>
      <c r="S2169">
        <v>0</v>
      </c>
    </row>
    <row r="2170" spans="17:19" customFormat="1" x14ac:dyDescent="0.2">
      <c r="Q2170" s="140">
        <v>42041</v>
      </c>
      <c r="R2170">
        <v>34.200000000000003</v>
      </c>
      <c r="S2170">
        <v>0</v>
      </c>
    </row>
    <row r="2171" spans="17:19" customFormat="1" x14ac:dyDescent="0.2">
      <c r="Q2171" s="140">
        <v>42042</v>
      </c>
      <c r="R2171">
        <v>20.399999999999999</v>
      </c>
      <c r="S2171">
        <v>0</v>
      </c>
    </row>
    <row r="2172" spans="17:19" customFormat="1" x14ac:dyDescent="0.2">
      <c r="Q2172" s="140">
        <v>42043</v>
      </c>
      <c r="R2172">
        <v>19.399999999999999</v>
      </c>
      <c r="S2172">
        <v>0</v>
      </c>
    </row>
    <row r="2173" spans="17:19" customFormat="1" x14ac:dyDescent="0.2">
      <c r="Q2173" s="140">
        <v>42044</v>
      </c>
      <c r="R2173">
        <v>36.4</v>
      </c>
      <c r="S2173">
        <v>0</v>
      </c>
    </row>
    <row r="2174" spans="17:19" customFormat="1" x14ac:dyDescent="0.2">
      <c r="Q2174" s="140">
        <v>42045</v>
      </c>
      <c r="R2174">
        <v>34.1</v>
      </c>
      <c r="S2174">
        <v>0</v>
      </c>
    </row>
    <row r="2175" spans="17:19" customFormat="1" x14ac:dyDescent="0.2">
      <c r="Q2175" s="140">
        <v>42046</v>
      </c>
      <c r="R2175">
        <v>33.1</v>
      </c>
      <c r="S2175">
        <v>0</v>
      </c>
    </row>
    <row r="2176" spans="17:19" customFormat="1" x14ac:dyDescent="0.2">
      <c r="Q2176" s="140">
        <v>42047</v>
      </c>
      <c r="R2176">
        <v>47.2</v>
      </c>
      <c r="S2176">
        <v>0</v>
      </c>
    </row>
    <row r="2177" spans="17:19" customFormat="1" x14ac:dyDescent="0.2">
      <c r="Q2177" s="140">
        <v>42048</v>
      </c>
      <c r="R2177">
        <v>40.9</v>
      </c>
      <c r="S2177">
        <v>0</v>
      </c>
    </row>
    <row r="2178" spans="17:19" customFormat="1" x14ac:dyDescent="0.2">
      <c r="Q2178" s="140">
        <v>42049</v>
      </c>
      <c r="R2178">
        <v>43</v>
      </c>
      <c r="S2178">
        <v>0</v>
      </c>
    </row>
    <row r="2179" spans="17:19" customFormat="1" x14ac:dyDescent="0.2">
      <c r="Q2179" s="140">
        <v>42050</v>
      </c>
      <c r="R2179">
        <v>52.6</v>
      </c>
      <c r="S2179">
        <v>0</v>
      </c>
    </row>
    <row r="2180" spans="17:19" customFormat="1" x14ac:dyDescent="0.2">
      <c r="Q2180" s="140">
        <v>42051</v>
      </c>
      <c r="R2180">
        <v>48.2</v>
      </c>
      <c r="S2180">
        <v>0</v>
      </c>
    </row>
    <row r="2181" spans="17:19" customFormat="1" x14ac:dyDescent="0.2">
      <c r="Q2181" s="140">
        <v>42052</v>
      </c>
      <c r="R2181">
        <v>42</v>
      </c>
      <c r="S2181">
        <v>0</v>
      </c>
    </row>
    <row r="2182" spans="17:19" customFormat="1" x14ac:dyDescent="0.2">
      <c r="Q2182" s="140">
        <v>42053</v>
      </c>
      <c r="R2182">
        <v>55.8</v>
      </c>
      <c r="S2182">
        <v>0</v>
      </c>
    </row>
    <row r="2183" spans="17:19" customFormat="1" x14ac:dyDescent="0.2">
      <c r="Q2183" s="140">
        <v>42054</v>
      </c>
      <c r="R2183">
        <v>58</v>
      </c>
      <c r="S2183">
        <v>0</v>
      </c>
    </row>
    <row r="2184" spans="17:19" customFormat="1" x14ac:dyDescent="0.2">
      <c r="Q2184" s="140">
        <v>42055</v>
      </c>
      <c r="R2184">
        <v>48.4</v>
      </c>
      <c r="S2184">
        <v>0</v>
      </c>
    </row>
    <row r="2185" spans="17:19" customFormat="1" x14ac:dyDescent="0.2">
      <c r="Q2185" s="140">
        <v>42056</v>
      </c>
      <c r="R2185">
        <v>35.9</v>
      </c>
      <c r="S2185">
        <v>0</v>
      </c>
    </row>
    <row r="2186" spans="17:19" customFormat="1" x14ac:dyDescent="0.2">
      <c r="Q2186" s="140">
        <v>42057</v>
      </c>
      <c r="R2186">
        <v>46.1</v>
      </c>
      <c r="S2186">
        <v>0</v>
      </c>
    </row>
    <row r="2187" spans="17:19" customFormat="1" x14ac:dyDescent="0.2">
      <c r="Q2187" s="140">
        <v>42058</v>
      </c>
      <c r="R2187">
        <v>61.5</v>
      </c>
      <c r="S2187">
        <v>0</v>
      </c>
    </row>
    <row r="2188" spans="17:19" customFormat="1" x14ac:dyDescent="0.2">
      <c r="Q2188" s="140">
        <v>42059</v>
      </c>
      <c r="R2188">
        <v>46.9</v>
      </c>
      <c r="S2188">
        <v>0</v>
      </c>
    </row>
    <row r="2189" spans="17:19" customFormat="1" x14ac:dyDescent="0.2">
      <c r="Q2189" s="140">
        <v>42060</v>
      </c>
      <c r="R2189">
        <v>39.5</v>
      </c>
      <c r="S2189">
        <v>0</v>
      </c>
    </row>
    <row r="2190" spans="17:19" customFormat="1" x14ac:dyDescent="0.2">
      <c r="Q2190" s="140">
        <v>42061</v>
      </c>
      <c r="R2190">
        <v>47.2</v>
      </c>
      <c r="S2190">
        <v>0</v>
      </c>
    </row>
    <row r="2191" spans="17:19" customFormat="1" x14ac:dyDescent="0.2">
      <c r="Q2191" s="140">
        <v>42062</v>
      </c>
      <c r="R2191">
        <v>62.3</v>
      </c>
      <c r="S2191">
        <v>0</v>
      </c>
    </row>
    <row r="2192" spans="17:19" customFormat="1" x14ac:dyDescent="0.2">
      <c r="Q2192" s="140">
        <v>42063</v>
      </c>
      <c r="R2192">
        <v>48</v>
      </c>
      <c r="S2192">
        <v>0</v>
      </c>
    </row>
    <row r="2193" spans="17:19" customFormat="1" x14ac:dyDescent="0.2">
      <c r="Q2193" s="140">
        <v>42064</v>
      </c>
      <c r="R2193">
        <v>40.700000000000003</v>
      </c>
      <c r="S2193">
        <v>0</v>
      </c>
    </row>
    <row r="2194" spans="17:19" customFormat="1" x14ac:dyDescent="0.2">
      <c r="Q2194" s="140">
        <v>42065</v>
      </c>
      <c r="R2194">
        <v>40.299999999999997</v>
      </c>
      <c r="S2194">
        <v>0</v>
      </c>
    </row>
    <row r="2195" spans="17:19" customFormat="1" x14ac:dyDescent="0.2">
      <c r="Q2195" s="140">
        <v>42066</v>
      </c>
      <c r="R2195">
        <v>30.8</v>
      </c>
      <c r="S2195">
        <v>0</v>
      </c>
    </row>
    <row r="2196" spans="17:19" customFormat="1" x14ac:dyDescent="0.2">
      <c r="Q2196" s="140">
        <v>42067</v>
      </c>
      <c r="R2196">
        <v>43.7</v>
      </c>
      <c r="S2196">
        <v>0</v>
      </c>
    </row>
    <row r="2197" spans="17:19" customFormat="1" x14ac:dyDescent="0.2">
      <c r="Q2197" s="140">
        <v>42068</v>
      </c>
      <c r="R2197">
        <v>52.5</v>
      </c>
      <c r="S2197">
        <v>0</v>
      </c>
    </row>
    <row r="2198" spans="17:19" customFormat="1" x14ac:dyDescent="0.2">
      <c r="Q2198" s="140">
        <v>42069</v>
      </c>
      <c r="R2198">
        <v>44.3</v>
      </c>
      <c r="S2198">
        <v>0</v>
      </c>
    </row>
    <row r="2199" spans="17:19" customFormat="1" x14ac:dyDescent="0.2">
      <c r="Q2199" s="140">
        <v>42070</v>
      </c>
      <c r="R2199">
        <v>24.7</v>
      </c>
      <c r="S2199">
        <v>0</v>
      </c>
    </row>
    <row r="2200" spans="17:19" customFormat="1" x14ac:dyDescent="0.2">
      <c r="Q2200" s="140">
        <v>42071</v>
      </c>
      <c r="R2200">
        <v>26.3</v>
      </c>
      <c r="S2200">
        <v>0</v>
      </c>
    </row>
    <row r="2201" spans="17:19" customFormat="1" x14ac:dyDescent="0.2">
      <c r="Q2201" s="140">
        <v>42072</v>
      </c>
      <c r="R2201">
        <v>25.3</v>
      </c>
      <c r="S2201">
        <v>0</v>
      </c>
    </row>
    <row r="2202" spans="17:19" customFormat="1" x14ac:dyDescent="0.2">
      <c r="Q2202" s="140">
        <v>42073</v>
      </c>
      <c r="R2202">
        <v>18.5</v>
      </c>
      <c r="S2202">
        <v>0</v>
      </c>
    </row>
    <row r="2203" spans="17:19" customFormat="1" x14ac:dyDescent="0.2">
      <c r="Q2203" s="140">
        <v>42074</v>
      </c>
      <c r="R2203">
        <v>16.8</v>
      </c>
      <c r="S2203">
        <v>0.3</v>
      </c>
    </row>
    <row r="2204" spans="17:19" customFormat="1" x14ac:dyDescent="0.2">
      <c r="Q2204" s="140">
        <v>42075</v>
      </c>
      <c r="R2204">
        <v>17.3</v>
      </c>
      <c r="S2204">
        <v>0</v>
      </c>
    </row>
    <row r="2205" spans="17:19" customFormat="1" x14ac:dyDescent="0.2">
      <c r="Q2205" s="140">
        <v>42076</v>
      </c>
      <c r="R2205">
        <v>14.6</v>
      </c>
      <c r="S2205">
        <v>0</v>
      </c>
    </row>
    <row r="2206" spans="17:19" customFormat="1" x14ac:dyDescent="0.2">
      <c r="Q2206" s="140">
        <v>42077</v>
      </c>
      <c r="R2206">
        <v>13.4</v>
      </c>
      <c r="S2206">
        <v>0</v>
      </c>
    </row>
    <row r="2207" spans="17:19" customFormat="1" x14ac:dyDescent="0.2">
      <c r="Q2207" s="140">
        <v>42078</v>
      </c>
      <c r="R2207">
        <v>12.6</v>
      </c>
      <c r="S2207">
        <v>0.6</v>
      </c>
    </row>
    <row r="2208" spans="17:19" customFormat="1" x14ac:dyDescent="0.2">
      <c r="Q2208" s="140">
        <v>42079</v>
      </c>
      <c r="R2208">
        <v>5.8</v>
      </c>
      <c r="S2208">
        <v>3.5</v>
      </c>
    </row>
    <row r="2209" spans="17:19" customFormat="1" x14ac:dyDescent="0.2">
      <c r="Q2209" s="140">
        <v>42080</v>
      </c>
      <c r="R2209">
        <v>17.100000000000001</v>
      </c>
      <c r="S2209">
        <v>0</v>
      </c>
    </row>
    <row r="2210" spans="17:19" customFormat="1" x14ac:dyDescent="0.2">
      <c r="Q2210" s="140">
        <v>42081</v>
      </c>
      <c r="R2210">
        <v>25.5</v>
      </c>
      <c r="S2210">
        <v>0</v>
      </c>
    </row>
    <row r="2211" spans="17:19" customFormat="1" x14ac:dyDescent="0.2">
      <c r="Q2211" s="140">
        <v>42082</v>
      </c>
      <c r="R2211">
        <v>21.5</v>
      </c>
      <c r="S2211">
        <v>0</v>
      </c>
    </row>
    <row r="2212" spans="17:19" customFormat="1" x14ac:dyDescent="0.2">
      <c r="Q2212" s="140">
        <v>42083</v>
      </c>
      <c r="R2212">
        <v>23.6</v>
      </c>
      <c r="S2212">
        <v>0</v>
      </c>
    </row>
    <row r="2213" spans="17:19" customFormat="1" x14ac:dyDescent="0.2">
      <c r="Q2213" s="140">
        <v>42084</v>
      </c>
      <c r="R2213">
        <v>14.8</v>
      </c>
      <c r="S2213">
        <v>0</v>
      </c>
    </row>
    <row r="2214" spans="17:19" customFormat="1" x14ac:dyDescent="0.2">
      <c r="Q2214" s="140">
        <v>42085</v>
      </c>
      <c r="R2214">
        <v>18.3</v>
      </c>
      <c r="S2214">
        <v>0</v>
      </c>
    </row>
    <row r="2215" spans="17:19" customFormat="1" x14ac:dyDescent="0.2">
      <c r="Q2215" s="140">
        <v>42086</v>
      </c>
      <c r="R2215">
        <v>27.9</v>
      </c>
      <c r="S2215">
        <v>0</v>
      </c>
    </row>
    <row r="2216" spans="17:19" customFormat="1" x14ac:dyDescent="0.2">
      <c r="Q2216" s="140">
        <v>42087</v>
      </c>
      <c r="R2216">
        <v>28.2</v>
      </c>
      <c r="S2216">
        <v>0</v>
      </c>
    </row>
    <row r="2217" spans="17:19" customFormat="1" x14ac:dyDescent="0.2">
      <c r="Q2217" s="140">
        <v>42088</v>
      </c>
      <c r="R2217">
        <v>19.3</v>
      </c>
      <c r="S2217">
        <v>0</v>
      </c>
    </row>
    <row r="2218" spans="17:19" customFormat="1" x14ac:dyDescent="0.2">
      <c r="Q2218" s="140">
        <v>42089</v>
      </c>
      <c r="R2218">
        <v>23.3</v>
      </c>
      <c r="S2218">
        <v>0</v>
      </c>
    </row>
    <row r="2219" spans="17:19" customFormat="1" x14ac:dyDescent="0.2">
      <c r="Q2219" s="140">
        <v>42090</v>
      </c>
      <c r="R2219">
        <v>31</v>
      </c>
      <c r="S2219">
        <v>0</v>
      </c>
    </row>
    <row r="2220" spans="17:19" customFormat="1" x14ac:dyDescent="0.2">
      <c r="Q2220" s="140">
        <v>42091</v>
      </c>
      <c r="R2220">
        <v>33.200000000000003</v>
      </c>
      <c r="S2220">
        <v>0</v>
      </c>
    </row>
    <row r="2221" spans="17:19" customFormat="1" x14ac:dyDescent="0.2">
      <c r="Q2221" s="140">
        <v>42092</v>
      </c>
      <c r="R2221">
        <v>22.1</v>
      </c>
      <c r="S2221">
        <v>0</v>
      </c>
    </row>
    <row r="2222" spans="17:19" customFormat="1" x14ac:dyDescent="0.2">
      <c r="Q2222" s="140">
        <v>42093</v>
      </c>
      <c r="R2222">
        <v>13.1</v>
      </c>
      <c r="S2222">
        <v>0.6</v>
      </c>
    </row>
    <row r="2223" spans="17:19" customFormat="1" x14ac:dyDescent="0.2">
      <c r="Q2223" s="140">
        <v>42094</v>
      </c>
      <c r="R2223">
        <v>8.1999999999999993</v>
      </c>
      <c r="S2223">
        <v>1.4</v>
      </c>
    </row>
    <row r="2224" spans="17:19" customFormat="1" x14ac:dyDescent="0.2">
      <c r="Q2224" s="140">
        <v>42095</v>
      </c>
      <c r="R2224">
        <v>7.1</v>
      </c>
      <c r="S2224">
        <v>2.9</v>
      </c>
    </row>
    <row r="2225" spans="17:19" customFormat="1" x14ac:dyDescent="0.2">
      <c r="Q2225" s="140">
        <v>42096</v>
      </c>
      <c r="R2225">
        <v>2.7</v>
      </c>
      <c r="S2225">
        <v>1.4</v>
      </c>
    </row>
    <row r="2226" spans="17:19" customFormat="1" x14ac:dyDescent="0.2">
      <c r="Q2226" s="140">
        <v>42097</v>
      </c>
      <c r="R2226">
        <v>14.7</v>
      </c>
      <c r="S2226">
        <v>0</v>
      </c>
    </row>
    <row r="2227" spans="17:19" customFormat="1" x14ac:dyDescent="0.2">
      <c r="Q2227" s="140">
        <v>42098</v>
      </c>
      <c r="R2227">
        <v>19.600000000000001</v>
      </c>
      <c r="S2227">
        <v>0</v>
      </c>
    </row>
    <row r="2228" spans="17:19" customFormat="1" x14ac:dyDescent="0.2">
      <c r="Q2228" s="140">
        <v>42099</v>
      </c>
      <c r="R2228">
        <v>10.4</v>
      </c>
      <c r="S2228">
        <v>0.2</v>
      </c>
    </row>
    <row r="2229" spans="17:19" customFormat="1" x14ac:dyDescent="0.2">
      <c r="Q2229" s="140">
        <v>42100</v>
      </c>
      <c r="R2229">
        <v>7.6</v>
      </c>
      <c r="S2229">
        <v>0</v>
      </c>
    </row>
    <row r="2230" spans="17:19" customFormat="1" x14ac:dyDescent="0.2">
      <c r="Q2230" s="140">
        <v>42101</v>
      </c>
      <c r="R2230">
        <v>3.2</v>
      </c>
      <c r="S2230">
        <v>1.4</v>
      </c>
    </row>
    <row r="2231" spans="17:19" customFormat="1" x14ac:dyDescent="0.2">
      <c r="Q2231" s="140">
        <v>42102</v>
      </c>
      <c r="R2231">
        <v>0.7</v>
      </c>
      <c r="S2231">
        <v>4.0999999999999996</v>
      </c>
    </row>
    <row r="2232" spans="17:19" customFormat="1" x14ac:dyDescent="0.2">
      <c r="Q2232" s="140">
        <v>42103</v>
      </c>
      <c r="R2232">
        <v>1.1000000000000001</v>
      </c>
      <c r="S2232">
        <v>4.9000000000000004</v>
      </c>
    </row>
    <row r="2233" spans="17:19" customFormat="1" x14ac:dyDescent="0.2">
      <c r="Q2233" s="140">
        <v>42104</v>
      </c>
      <c r="R2233">
        <v>11.8</v>
      </c>
      <c r="S2233">
        <v>0.7</v>
      </c>
    </row>
    <row r="2234" spans="17:19" customFormat="1" x14ac:dyDescent="0.2">
      <c r="Q2234" s="140">
        <v>42105</v>
      </c>
      <c r="R2234">
        <v>14.5</v>
      </c>
      <c r="S2234">
        <v>0</v>
      </c>
    </row>
    <row r="2235" spans="17:19" customFormat="1" x14ac:dyDescent="0.2">
      <c r="Q2235" s="140">
        <v>42106</v>
      </c>
      <c r="R2235">
        <v>5.4</v>
      </c>
      <c r="S2235">
        <v>0.5</v>
      </c>
    </row>
    <row r="2236" spans="17:19" customFormat="1" x14ac:dyDescent="0.2">
      <c r="Q2236" s="140">
        <v>42107</v>
      </c>
      <c r="R2236">
        <v>2.4</v>
      </c>
      <c r="S2236">
        <v>1</v>
      </c>
    </row>
    <row r="2237" spans="17:19" customFormat="1" x14ac:dyDescent="0.2">
      <c r="Q2237" s="140">
        <v>42108</v>
      </c>
      <c r="R2237">
        <v>7.6</v>
      </c>
      <c r="S2237">
        <v>0.1</v>
      </c>
    </row>
    <row r="2238" spans="17:19" customFormat="1" x14ac:dyDescent="0.2">
      <c r="Q2238" s="140">
        <v>42109</v>
      </c>
      <c r="R2238">
        <v>6.6</v>
      </c>
      <c r="S2238">
        <v>2.1</v>
      </c>
    </row>
    <row r="2239" spans="17:19" customFormat="1" x14ac:dyDescent="0.2">
      <c r="Q2239" s="140">
        <v>42110</v>
      </c>
      <c r="R2239">
        <v>3.2</v>
      </c>
      <c r="S2239">
        <v>2</v>
      </c>
    </row>
    <row r="2240" spans="17:19" customFormat="1" x14ac:dyDescent="0.2">
      <c r="Q2240" s="140">
        <v>42111</v>
      </c>
      <c r="R2240">
        <v>3.6</v>
      </c>
      <c r="S2240">
        <v>5.0999999999999996</v>
      </c>
    </row>
    <row r="2241" spans="17:19" customFormat="1" x14ac:dyDescent="0.2">
      <c r="Q2241" s="140">
        <v>42112</v>
      </c>
      <c r="R2241">
        <v>2.5</v>
      </c>
      <c r="S2241">
        <v>5.4</v>
      </c>
    </row>
    <row r="2242" spans="17:19" customFormat="1" x14ac:dyDescent="0.2">
      <c r="Q2242" s="140">
        <v>42113</v>
      </c>
      <c r="R2242">
        <v>5.3</v>
      </c>
      <c r="S2242">
        <v>0</v>
      </c>
    </row>
    <row r="2243" spans="17:19" customFormat="1" x14ac:dyDescent="0.2">
      <c r="Q2243" s="140">
        <v>42114</v>
      </c>
      <c r="R2243">
        <v>14.2</v>
      </c>
      <c r="S2243">
        <v>0</v>
      </c>
    </row>
    <row r="2244" spans="17:19" customFormat="1" x14ac:dyDescent="0.2">
      <c r="Q2244" s="140">
        <v>42115</v>
      </c>
      <c r="R2244">
        <v>11.7</v>
      </c>
      <c r="S2244">
        <v>0</v>
      </c>
    </row>
    <row r="2245" spans="17:19" customFormat="1" x14ac:dyDescent="0.2">
      <c r="Q2245" s="140">
        <v>42116</v>
      </c>
      <c r="R2245">
        <v>18</v>
      </c>
      <c r="S2245">
        <v>0</v>
      </c>
    </row>
    <row r="2246" spans="17:19" customFormat="1" x14ac:dyDescent="0.2">
      <c r="Q2246" s="140">
        <v>42117</v>
      </c>
      <c r="R2246">
        <v>16.600000000000001</v>
      </c>
      <c r="S2246">
        <v>0</v>
      </c>
    </row>
    <row r="2247" spans="17:19" customFormat="1" x14ac:dyDescent="0.2">
      <c r="Q2247" s="140">
        <v>42118</v>
      </c>
      <c r="R2247">
        <v>12.6</v>
      </c>
      <c r="S2247">
        <v>0</v>
      </c>
    </row>
    <row r="2248" spans="17:19" customFormat="1" x14ac:dyDescent="0.2">
      <c r="Q2248" s="140">
        <v>42119</v>
      </c>
      <c r="R2248">
        <v>12.6</v>
      </c>
      <c r="S2248">
        <v>0</v>
      </c>
    </row>
    <row r="2249" spans="17:19" customFormat="1" x14ac:dyDescent="0.2">
      <c r="Q2249" s="140">
        <v>42120</v>
      </c>
      <c r="R2249">
        <v>14</v>
      </c>
      <c r="S2249">
        <v>0</v>
      </c>
    </row>
    <row r="2250" spans="17:19" customFormat="1" x14ac:dyDescent="0.2">
      <c r="Q2250" s="140">
        <v>42121</v>
      </c>
      <c r="R2250">
        <v>13.5</v>
      </c>
      <c r="S2250">
        <v>0</v>
      </c>
    </row>
    <row r="2251" spans="17:19" customFormat="1" x14ac:dyDescent="0.2">
      <c r="Q2251" s="140">
        <v>42122</v>
      </c>
      <c r="R2251">
        <v>11.5</v>
      </c>
      <c r="S2251">
        <v>1</v>
      </c>
    </row>
    <row r="2252" spans="17:19" customFormat="1" x14ac:dyDescent="0.2">
      <c r="Q2252" s="140">
        <v>42123</v>
      </c>
      <c r="R2252">
        <v>8.5</v>
      </c>
      <c r="S2252">
        <v>2.2999999999999998</v>
      </c>
    </row>
    <row r="2253" spans="17:19" customFormat="1" x14ac:dyDescent="0.2">
      <c r="Q2253" s="140">
        <v>42124</v>
      </c>
      <c r="R2253">
        <v>9</v>
      </c>
      <c r="S2253">
        <v>0</v>
      </c>
    </row>
    <row r="2254" spans="17:19" customFormat="1" x14ac:dyDescent="0.2">
      <c r="Q2254" s="140">
        <v>42125</v>
      </c>
      <c r="R2254">
        <v>11</v>
      </c>
      <c r="S2254">
        <v>1.2</v>
      </c>
    </row>
    <row r="2255" spans="17:19" customFormat="1" x14ac:dyDescent="0.2">
      <c r="Q2255" s="140">
        <v>42126</v>
      </c>
      <c r="R2255">
        <v>3.4</v>
      </c>
      <c r="S2255">
        <v>4.2</v>
      </c>
    </row>
    <row r="2256" spans="17:19" customFormat="1" x14ac:dyDescent="0.2">
      <c r="Q2256" s="140">
        <v>42127</v>
      </c>
      <c r="R2256">
        <v>0.8</v>
      </c>
      <c r="S2256">
        <v>8.6999999999999993</v>
      </c>
    </row>
    <row r="2257" spans="17:19" customFormat="1" x14ac:dyDescent="0.2">
      <c r="Q2257" s="140">
        <v>42128</v>
      </c>
      <c r="R2257">
        <v>0</v>
      </c>
      <c r="S2257">
        <v>8.6999999999999993</v>
      </c>
    </row>
    <row r="2258" spans="17:19" customFormat="1" x14ac:dyDescent="0.2">
      <c r="Q2258" s="140">
        <v>42129</v>
      </c>
      <c r="R2258">
        <v>0</v>
      </c>
      <c r="S2258">
        <v>10.6</v>
      </c>
    </row>
    <row r="2259" spans="17:19" customFormat="1" x14ac:dyDescent="0.2">
      <c r="Q2259" s="140">
        <v>42130</v>
      </c>
      <c r="R2259">
        <v>0</v>
      </c>
      <c r="S2259">
        <v>11.7</v>
      </c>
    </row>
    <row r="2260" spans="17:19" customFormat="1" x14ac:dyDescent="0.2">
      <c r="Q2260" s="140">
        <v>42131</v>
      </c>
      <c r="R2260">
        <v>0</v>
      </c>
      <c r="S2260">
        <v>9.8000000000000007</v>
      </c>
    </row>
    <row r="2261" spans="17:19" customFormat="1" x14ac:dyDescent="0.2">
      <c r="Q2261" s="140">
        <v>42132</v>
      </c>
      <c r="R2261">
        <v>0</v>
      </c>
      <c r="S2261">
        <v>3.4</v>
      </c>
    </row>
    <row r="2262" spans="17:19" customFormat="1" x14ac:dyDescent="0.2">
      <c r="Q2262" s="140">
        <v>42133</v>
      </c>
      <c r="R2262">
        <v>0.5</v>
      </c>
      <c r="S2262">
        <v>2.9</v>
      </c>
    </row>
    <row r="2263" spans="17:19" customFormat="1" x14ac:dyDescent="0.2">
      <c r="Q2263" s="140">
        <v>42134</v>
      </c>
      <c r="R2263">
        <v>0</v>
      </c>
      <c r="S2263">
        <v>6.8</v>
      </c>
    </row>
    <row r="2264" spans="17:19" customFormat="1" x14ac:dyDescent="0.2">
      <c r="Q2264" s="140">
        <v>42135</v>
      </c>
      <c r="R2264">
        <v>1.4</v>
      </c>
      <c r="S2264">
        <v>1.5</v>
      </c>
    </row>
    <row r="2265" spans="17:19" customFormat="1" x14ac:dyDescent="0.2">
      <c r="Q2265" s="140">
        <v>42136</v>
      </c>
      <c r="R2265">
        <v>8.1</v>
      </c>
      <c r="S2265">
        <v>0.3</v>
      </c>
    </row>
    <row r="2266" spans="17:19" customFormat="1" x14ac:dyDescent="0.2">
      <c r="Q2266" s="140">
        <v>42137</v>
      </c>
      <c r="R2266">
        <v>7.9</v>
      </c>
      <c r="S2266">
        <v>0.6</v>
      </c>
    </row>
    <row r="2267" spans="17:19" customFormat="1" x14ac:dyDescent="0.2">
      <c r="Q2267" s="140">
        <v>42138</v>
      </c>
      <c r="R2267">
        <v>4.2</v>
      </c>
      <c r="S2267">
        <v>0.2</v>
      </c>
    </row>
    <row r="2268" spans="17:19" customFormat="1" x14ac:dyDescent="0.2">
      <c r="Q2268" s="140">
        <v>42139</v>
      </c>
      <c r="R2268">
        <v>0.3</v>
      </c>
      <c r="S2268">
        <v>5.6</v>
      </c>
    </row>
    <row r="2269" spans="17:19" customFormat="1" x14ac:dyDescent="0.2">
      <c r="Q2269" s="140">
        <v>42140</v>
      </c>
      <c r="R2269">
        <v>0</v>
      </c>
      <c r="S2269">
        <v>7.7</v>
      </c>
    </row>
    <row r="2270" spans="17:19" customFormat="1" x14ac:dyDescent="0.2">
      <c r="Q2270" s="140">
        <v>42141</v>
      </c>
      <c r="R2270">
        <v>0</v>
      </c>
      <c r="S2270">
        <v>9.9</v>
      </c>
    </row>
    <row r="2271" spans="17:19" customFormat="1" x14ac:dyDescent="0.2">
      <c r="Q2271" s="140">
        <v>42142</v>
      </c>
      <c r="R2271">
        <v>0.9</v>
      </c>
      <c r="S2271">
        <v>6.6</v>
      </c>
    </row>
    <row r="2272" spans="17:19" customFormat="1" x14ac:dyDescent="0.2">
      <c r="Q2272" s="140">
        <v>42143</v>
      </c>
      <c r="R2272">
        <v>11.2</v>
      </c>
      <c r="S2272">
        <v>0</v>
      </c>
    </row>
    <row r="2273" spans="17:19" customFormat="1" x14ac:dyDescent="0.2">
      <c r="Q2273" s="140">
        <v>42144</v>
      </c>
      <c r="R2273">
        <v>15.6</v>
      </c>
      <c r="S2273">
        <v>0</v>
      </c>
    </row>
    <row r="2274" spans="17:19" customFormat="1" x14ac:dyDescent="0.2">
      <c r="Q2274" s="140">
        <v>42145</v>
      </c>
      <c r="R2274">
        <v>9.6</v>
      </c>
      <c r="S2274">
        <v>0.6</v>
      </c>
    </row>
    <row r="2275" spans="17:19" customFormat="1" x14ac:dyDescent="0.2">
      <c r="Q2275" s="140">
        <v>42146</v>
      </c>
      <c r="R2275">
        <v>3.5</v>
      </c>
      <c r="S2275">
        <v>5.4</v>
      </c>
    </row>
    <row r="2276" spans="17:19" customFormat="1" x14ac:dyDescent="0.2">
      <c r="Q2276" s="140">
        <v>42147</v>
      </c>
      <c r="R2276">
        <v>1.8</v>
      </c>
      <c r="S2276">
        <v>7.2</v>
      </c>
    </row>
    <row r="2277" spans="17:19" customFormat="1" x14ac:dyDescent="0.2">
      <c r="Q2277" s="140">
        <v>42148</v>
      </c>
      <c r="R2277">
        <v>0</v>
      </c>
      <c r="S2277">
        <v>11.5</v>
      </c>
    </row>
    <row r="2278" spans="17:19" customFormat="1" x14ac:dyDescent="0.2">
      <c r="Q2278" s="140">
        <v>42149</v>
      </c>
      <c r="R2278">
        <v>0</v>
      </c>
      <c r="S2278">
        <v>9.8000000000000007</v>
      </c>
    </row>
    <row r="2279" spans="17:19" customFormat="1" x14ac:dyDescent="0.2">
      <c r="Q2279" s="140">
        <v>42150</v>
      </c>
      <c r="R2279">
        <v>0</v>
      </c>
      <c r="S2279">
        <v>8.1999999999999993</v>
      </c>
    </row>
    <row r="2280" spans="17:19" customFormat="1" x14ac:dyDescent="0.2">
      <c r="Q2280" s="140">
        <v>42151</v>
      </c>
      <c r="R2280">
        <v>0.1</v>
      </c>
      <c r="S2280">
        <v>7.6</v>
      </c>
    </row>
    <row r="2281" spans="17:19" customFormat="1" x14ac:dyDescent="0.2">
      <c r="Q2281" s="140">
        <v>42152</v>
      </c>
      <c r="R2281">
        <v>1.5</v>
      </c>
      <c r="S2281">
        <v>8.3000000000000007</v>
      </c>
    </row>
    <row r="2282" spans="17:19" customFormat="1" x14ac:dyDescent="0.2">
      <c r="Q2282" s="140">
        <v>42153</v>
      </c>
      <c r="R2282">
        <v>0</v>
      </c>
      <c r="S2282">
        <v>9.6</v>
      </c>
    </row>
    <row r="2283" spans="17:19" customFormat="1" x14ac:dyDescent="0.2">
      <c r="Q2283" s="140">
        <v>42154</v>
      </c>
      <c r="R2283">
        <v>1.4</v>
      </c>
      <c r="S2283">
        <v>3.6</v>
      </c>
    </row>
    <row r="2284" spans="17:19" customFormat="1" x14ac:dyDescent="0.2">
      <c r="Q2284" s="140">
        <v>42155</v>
      </c>
      <c r="R2284">
        <v>10.3</v>
      </c>
      <c r="S2284">
        <v>0</v>
      </c>
    </row>
    <row r="2285" spans="17:19" customFormat="1" x14ac:dyDescent="0.2">
      <c r="Q2285" s="140">
        <v>42156</v>
      </c>
      <c r="R2285">
        <v>5.3</v>
      </c>
      <c r="S2285">
        <v>0.4</v>
      </c>
    </row>
    <row r="2286" spans="17:19" customFormat="1" x14ac:dyDescent="0.2">
      <c r="Q2286" s="140">
        <v>42157</v>
      </c>
      <c r="R2286">
        <v>3.4</v>
      </c>
      <c r="S2286">
        <v>3</v>
      </c>
    </row>
    <row r="2287" spans="17:19" customFormat="1" x14ac:dyDescent="0.2">
      <c r="Q2287" s="140">
        <v>42158</v>
      </c>
      <c r="R2287">
        <v>2.1</v>
      </c>
      <c r="S2287">
        <v>4.5999999999999996</v>
      </c>
    </row>
    <row r="2288" spans="17:19" customFormat="1" x14ac:dyDescent="0.2">
      <c r="Q2288" s="140">
        <v>42159</v>
      </c>
      <c r="R2288">
        <v>0.2</v>
      </c>
      <c r="S2288">
        <v>8.1</v>
      </c>
    </row>
    <row r="2289" spans="17:19" customFormat="1" x14ac:dyDescent="0.2">
      <c r="Q2289" s="140">
        <v>42160</v>
      </c>
      <c r="R2289">
        <v>0</v>
      </c>
      <c r="S2289">
        <v>9.4</v>
      </c>
    </row>
    <row r="2290" spans="17:19" customFormat="1" x14ac:dyDescent="0.2">
      <c r="Q2290" s="140">
        <v>42161</v>
      </c>
      <c r="R2290">
        <v>1.3</v>
      </c>
      <c r="S2290">
        <v>7</v>
      </c>
    </row>
    <row r="2291" spans="17:19" customFormat="1" x14ac:dyDescent="0.2">
      <c r="Q2291" s="140">
        <v>42162</v>
      </c>
      <c r="R2291">
        <v>0</v>
      </c>
      <c r="S2291">
        <v>14.3</v>
      </c>
    </row>
    <row r="2292" spans="17:19" customFormat="1" x14ac:dyDescent="0.2">
      <c r="Q2292" s="140">
        <v>42163</v>
      </c>
      <c r="R2292">
        <v>0</v>
      </c>
      <c r="S2292">
        <v>10.3</v>
      </c>
    </row>
    <row r="2293" spans="17:19" customFormat="1" x14ac:dyDescent="0.2">
      <c r="Q2293" s="140">
        <v>42164</v>
      </c>
      <c r="R2293">
        <v>0</v>
      </c>
      <c r="S2293">
        <v>12.7</v>
      </c>
    </row>
    <row r="2294" spans="17:19" customFormat="1" x14ac:dyDescent="0.2">
      <c r="Q2294" s="140">
        <v>42165</v>
      </c>
      <c r="R2294">
        <v>0</v>
      </c>
      <c r="S2294">
        <v>18.100000000000001</v>
      </c>
    </row>
    <row r="2295" spans="17:19" customFormat="1" x14ac:dyDescent="0.2">
      <c r="Q2295" s="140">
        <v>42166</v>
      </c>
      <c r="R2295">
        <v>0</v>
      </c>
      <c r="S2295">
        <v>15.9</v>
      </c>
    </row>
    <row r="2296" spans="17:19" customFormat="1" x14ac:dyDescent="0.2">
      <c r="Q2296" s="140">
        <v>42167</v>
      </c>
      <c r="R2296">
        <v>0</v>
      </c>
      <c r="S2296">
        <v>14.8</v>
      </c>
    </row>
    <row r="2297" spans="17:19" customFormat="1" x14ac:dyDescent="0.2">
      <c r="Q2297" s="140">
        <v>42168</v>
      </c>
      <c r="R2297">
        <v>0</v>
      </c>
      <c r="S2297">
        <v>13.4</v>
      </c>
    </row>
    <row r="2298" spans="17:19" customFormat="1" x14ac:dyDescent="0.2">
      <c r="Q2298" s="140">
        <v>42169</v>
      </c>
      <c r="R2298">
        <v>0</v>
      </c>
      <c r="S2298">
        <v>13.1</v>
      </c>
    </row>
    <row r="2299" spans="17:19" customFormat="1" x14ac:dyDescent="0.2">
      <c r="Q2299" s="140">
        <v>42170</v>
      </c>
      <c r="R2299">
        <v>0</v>
      </c>
      <c r="S2299">
        <v>13</v>
      </c>
    </row>
    <row r="2300" spans="17:19" customFormat="1" x14ac:dyDescent="0.2">
      <c r="Q2300" s="140">
        <v>42171</v>
      </c>
      <c r="R2300">
        <v>0</v>
      </c>
      <c r="S2300">
        <v>9.9</v>
      </c>
    </row>
    <row r="2301" spans="17:19" customFormat="1" x14ac:dyDescent="0.2">
      <c r="Q2301" s="140">
        <v>42172</v>
      </c>
      <c r="R2301">
        <v>0</v>
      </c>
      <c r="S2301">
        <v>9.9</v>
      </c>
    </row>
    <row r="2302" spans="17:19" customFormat="1" x14ac:dyDescent="0.2">
      <c r="Q2302" s="140">
        <v>42173</v>
      </c>
      <c r="R2302">
        <v>0</v>
      </c>
      <c r="S2302">
        <v>8.8000000000000007</v>
      </c>
    </row>
    <row r="2303" spans="17:19" customFormat="1" x14ac:dyDescent="0.2">
      <c r="Q2303" s="140">
        <v>42174</v>
      </c>
      <c r="R2303">
        <v>0</v>
      </c>
      <c r="S2303">
        <v>6.4</v>
      </c>
    </row>
    <row r="2304" spans="17:19" customFormat="1" x14ac:dyDescent="0.2">
      <c r="Q2304" s="140">
        <v>42175</v>
      </c>
      <c r="R2304">
        <v>0</v>
      </c>
      <c r="S2304">
        <v>10.7</v>
      </c>
    </row>
    <row r="2305" spans="17:19" customFormat="1" x14ac:dyDescent="0.2">
      <c r="Q2305" s="140">
        <v>42176</v>
      </c>
      <c r="R2305">
        <v>0</v>
      </c>
      <c r="S2305">
        <v>10.1</v>
      </c>
    </row>
    <row r="2306" spans="17:19" customFormat="1" x14ac:dyDescent="0.2">
      <c r="Q2306" s="140">
        <v>42177</v>
      </c>
      <c r="R2306">
        <v>0</v>
      </c>
      <c r="S2306">
        <v>16.8</v>
      </c>
    </row>
    <row r="2307" spans="17:19" customFormat="1" x14ac:dyDescent="0.2">
      <c r="Q2307" s="140">
        <v>42178</v>
      </c>
      <c r="R2307">
        <v>0</v>
      </c>
      <c r="S2307">
        <v>11.4</v>
      </c>
    </row>
    <row r="2308" spans="17:19" customFormat="1" x14ac:dyDescent="0.2">
      <c r="Q2308" s="140">
        <v>42179</v>
      </c>
      <c r="R2308">
        <v>0</v>
      </c>
      <c r="S2308">
        <v>7.3</v>
      </c>
    </row>
    <row r="2309" spans="17:19" customFormat="1" x14ac:dyDescent="0.2">
      <c r="Q2309" s="140">
        <v>42180</v>
      </c>
      <c r="R2309">
        <v>0</v>
      </c>
      <c r="S2309">
        <v>10.3</v>
      </c>
    </row>
    <row r="2310" spans="17:19" customFormat="1" x14ac:dyDescent="0.2">
      <c r="Q2310" s="140">
        <v>42181</v>
      </c>
      <c r="R2310">
        <v>0</v>
      </c>
      <c r="S2310">
        <v>6</v>
      </c>
    </row>
    <row r="2311" spans="17:19" customFormat="1" x14ac:dyDescent="0.2">
      <c r="Q2311" s="140">
        <v>42182</v>
      </c>
      <c r="R2311">
        <v>0.5</v>
      </c>
      <c r="S2311">
        <v>6.3</v>
      </c>
    </row>
    <row r="2312" spans="17:19" customFormat="1" x14ac:dyDescent="0.2">
      <c r="Q2312" s="140">
        <v>42183</v>
      </c>
      <c r="R2312">
        <v>0.8</v>
      </c>
      <c r="S2312">
        <v>4.2</v>
      </c>
    </row>
    <row r="2313" spans="17:19" customFormat="1" x14ac:dyDescent="0.2">
      <c r="Q2313" s="140">
        <v>42184</v>
      </c>
      <c r="R2313">
        <v>0.1</v>
      </c>
      <c r="S2313">
        <v>7.1</v>
      </c>
    </row>
    <row r="2314" spans="17:19" customFormat="1" x14ac:dyDescent="0.2">
      <c r="Q2314" s="140">
        <v>42185</v>
      </c>
      <c r="R2314">
        <v>0</v>
      </c>
      <c r="S2314">
        <v>10.3</v>
      </c>
    </row>
    <row r="2315" spans="17:19" customFormat="1" x14ac:dyDescent="0.2">
      <c r="Q2315" s="140">
        <v>42186</v>
      </c>
      <c r="R2315">
        <v>0</v>
      </c>
      <c r="S2315">
        <v>9.4</v>
      </c>
    </row>
    <row r="2316" spans="17:19" customFormat="1" x14ac:dyDescent="0.2">
      <c r="Q2316" s="140">
        <v>42187</v>
      </c>
      <c r="R2316">
        <v>0.4</v>
      </c>
      <c r="S2316">
        <v>4.4000000000000004</v>
      </c>
    </row>
    <row r="2317" spans="17:19" customFormat="1" x14ac:dyDescent="0.2">
      <c r="Q2317" s="140">
        <v>42188</v>
      </c>
      <c r="R2317">
        <v>0.1</v>
      </c>
      <c r="S2317">
        <v>6.2</v>
      </c>
    </row>
    <row r="2318" spans="17:19" customFormat="1" x14ac:dyDescent="0.2">
      <c r="Q2318" s="140">
        <v>42189</v>
      </c>
      <c r="R2318">
        <v>0.6</v>
      </c>
      <c r="S2318">
        <v>8.6999999999999993</v>
      </c>
    </row>
    <row r="2319" spans="17:19" customFormat="1" x14ac:dyDescent="0.2">
      <c r="Q2319" s="140">
        <v>42190</v>
      </c>
      <c r="R2319">
        <v>0.2</v>
      </c>
      <c r="S2319">
        <v>10.199999999999999</v>
      </c>
    </row>
    <row r="2320" spans="17:19" customFormat="1" x14ac:dyDescent="0.2">
      <c r="Q2320" s="140">
        <v>42191</v>
      </c>
      <c r="R2320">
        <v>0</v>
      </c>
      <c r="S2320">
        <v>15.1</v>
      </c>
    </row>
    <row r="2321" spans="17:19" customFormat="1" x14ac:dyDescent="0.2">
      <c r="Q2321" s="140">
        <v>42192</v>
      </c>
      <c r="R2321">
        <v>0</v>
      </c>
      <c r="S2321">
        <v>6</v>
      </c>
    </row>
    <row r="2322" spans="17:19" customFormat="1" x14ac:dyDescent="0.2">
      <c r="Q2322" s="140">
        <v>42193</v>
      </c>
      <c r="R2322">
        <v>4</v>
      </c>
      <c r="S2322">
        <v>0</v>
      </c>
    </row>
    <row r="2323" spans="17:19" customFormat="1" x14ac:dyDescent="0.2">
      <c r="Q2323" s="140">
        <v>42194</v>
      </c>
      <c r="R2323">
        <v>1.3</v>
      </c>
      <c r="S2323">
        <v>1.4</v>
      </c>
    </row>
    <row r="2324" spans="17:19" customFormat="1" x14ac:dyDescent="0.2">
      <c r="Q2324" s="140">
        <v>42195</v>
      </c>
      <c r="R2324">
        <v>0.1</v>
      </c>
      <c r="S2324">
        <v>6.9</v>
      </c>
    </row>
    <row r="2325" spans="17:19" customFormat="1" x14ac:dyDescent="0.2">
      <c r="Q2325" s="140">
        <v>42196</v>
      </c>
      <c r="R2325">
        <v>0</v>
      </c>
      <c r="S2325">
        <v>9.6</v>
      </c>
    </row>
    <row r="2326" spans="17:19" customFormat="1" x14ac:dyDescent="0.2">
      <c r="Q2326" s="140">
        <v>42197</v>
      </c>
      <c r="R2326">
        <v>0</v>
      </c>
      <c r="S2326">
        <v>15.4</v>
      </c>
    </row>
    <row r="2327" spans="17:19" customFormat="1" x14ac:dyDescent="0.2">
      <c r="Q2327" s="140">
        <v>42198</v>
      </c>
      <c r="R2327">
        <v>0</v>
      </c>
      <c r="S2327">
        <v>19.2</v>
      </c>
    </row>
    <row r="2328" spans="17:19" customFormat="1" x14ac:dyDescent="0.2">
      <c r="Q2328" s="140">
        <v>42199</v>
      </c>
      <c r="R2328">
        <v>0</v>
      </c>
      <c r="S2328">
        <v>15.8</v>
      </c>
    </row>
    <row r="2329" spans="17:19" customFormat="1" x14ac:dyDescent="0.2">
      <c r="Q2329" s="140">
        <v>42200</v>
      </c>
      <c r="R2329">
        <v>0</v>
      </c>
      <c r="S2329">
        <v>9.8000000000000007</v>
      </c>
    </row>
    <row r="2330" spans="17:19" customFormat="1" x14ac:dyDescent="0.2">
      <c r="Q2330" s="140">
        <v>42201</v>
      </c>
      <c r="R2330">
        <v>0</v>
      </c>
      <c r="S2330">
        <v>13.3</v>
      </c>
    </row>
    <row r="2331" spans="17:19" customFormat="1" x14ac:dyDescent="0.2">
      <c r="Q2331" s="140">
        <v>42202</v>
      </c>
      <c r="R2331">
        <v>0</v>
      </c>
      <c r="S2331">
        <v>20.7</v>
      </c>
    </row>
    <row r="2332" spans="17:19" customFormat="1" x14ac:dyDescent="0.2">
      <c r="Q2332" s="140">
        <v>42203</v>
      </c>
      <c r="R2332">
        <v>0</v>
      </c>
      <c r="S2332">
        <v>19.5</v>
      </c>
    </row>
    <row r="2333" spans="17:19" customFormat="1" x14ac:dyDescent="0.2">
      <c r="Q2333" s="140">
        <v>42204</v>
      </c>
      <c r="R2333">
        <v>0</v>
      </c>
      <c r="S2333">
        <v>12.1</v>
      </c>
    </row>
    <row r="2334" spans="17:19" customFormat="1" x14ac:dyDescent="0.2">
      <c r="Q2334" s="140">
        <v>42205</v>
      </c>
      <c r="R2334">
        <v>0</v>
      </c>
      <c r="S2334">
        <v>11.9</v>
      </c>
    </row>
    <row r="2335" spans="17:19" customFormat="1" x14ac:dyDescent="0.2">
      <c r="Q2335" s="140">
        <v>42206</v>
      </c>
      <c r="R2335">
        <v>0</v>
      </c>
      <c r="S2335">
        <v>10.3</v>
      </c>
    </row>
    <row r="2336" spans="17:19" customFormat="1" x14ac:dyDescent="0.2">
      <c r="Q2336" s="140">
        <v>42207</v>
      </c>
      <c r="R2336">
        <v>0.6</v>
      </c>
      <c r="S2336">
        <v>8.6</v>
      </c>
    </row>
    <row r="2337" spans="17:19" customFormat="1" x14ac:dyDescent="0.2">
      <c r="Q2337" s="140">
        <v>42208</v>
      </c>
      <c r="R2337">
        <v>0.1</v>
      </c>
      <c r="S2337">
        <v>10</v>
      </c>
    </row>
    <row r="2338" spans="17:19" customFormat="1" x14ac:dyDescent="0.2">
      <c r="Q2338" s="140">
        <v>42209</v>
      </c>
      <c r="R2338">
        <v>0.1</v>
      </c>
      <c r="S2338">
        <v>11.4</v>
      </c>
    </row>
    <row r="2339" spans="17:19" customFormat="1" x14ac:dyDescent="0.2">
      <c r="Q2339" s="140">
        <v>42210</v>
      </c>
      <c r="R2339">
        <v>0</v>
      </c>
      <c r="S2339">
        <v>15.2</v>
      </c>
    </row>
    <row r="2340" spans="17:19" customFormat="1" x14ac:dyDescent="0.2">
      <c r="Q2340" s="140">
        <v>42211</v>
      </c>
      <c r="R2340">
        <v>0</v>
      </c>
      <c r="S2340">
        <v>13.6</v>
      </c>
    </row>
    <row r="2341" spans="17:19" customFormat="1" x14ac:dyDescent="0.2">
      <c r="Q2341" s="140">
        <v>42212</v>
      </c>
      <c r="R2341">
        <v>0</v>
      </c>
      <c r="S2341">
        <v>17</v>
      </c>
    </row>
    <row r="2342" spans="17:19" customFormat="1" x14ac:dyDescent="0.2">
      <c r="Q2342" s="140">
        <v>42213</v>
      </c>
      <c r="R2342">
        <v>0</v>
      </c>
      <c r="S2342">
        <v>19</v>
      </c>
    </row>
    <row r="2343" spans="17:19" customFormat="1" x14ac:dyDescent="0.2">
      <c r="Q2343" s="140">
        <v>42214</v>
      </c>
      <c r="R2343">
        <v>0</v>
      </c>
      <c r="S2343">
        <v>15.8</v>
      </c>
    </row>
    <row r="2344" spans="17:19" customFormat="1" x14ac:dyDescent="0.2">
      <c r="Q2344" s="140">
        <v>42215</v>
      </c>
      <c r="R2344">
        <v>0.4</v>
      </c>
      <c r="S2344">
        <v>11.1</v>
      </c>
    </row>
    <row r="2345" spans="17:19" customFormat="1" x14ac:dyDescent="0.2">
      <c r="Q2345" s="140">
        <v>42216</v>
      </c>
      <c r="R2345">
        <v>0</v>
      </c>
      <c r="S2345">
        <v>12.8</v>
      </c>
    </row>
    <row r="2346" spans="17:19" customFormat="1" x14ac:dyDescent="0.2">
      <c r="Q2346" s="140">
        <v>42217</v>
      </c>
      <c r="R2346">
        <v>0</v>
      </c>
      <c r="S2346">
        <v>12.1</v>
      </c>
    </row>
    <row r="2347" spans="17:19" customFormat="1" x14ac:dyDescent="0.2">
      <c r="Q2347" s="140">
        <v>42218</v>
      </c>
      <c r="R2347">
        <v>0</v>
      </c>
      <c r="S2347">
        <v>15.6</v>
      </c>
    </row>
    <row r="2348" spans="17:19" customFormat="1" x14ac:dyDescent="0.2">
      <c r="Q2348" s="140">
        <v>42219</v>
      </c>
      <c r="R2348">
        <v>0</v>
      </c>
      <c r="S2348">
        <v>11.6</v>
      </c>
    </row>
    <row r="2349" spans="17:19" customFormat="1" x14ac:dyDescent="0.2">
      <c r="Q2349" s="140">
        <v>42220</v>
      </c>
      <c r="R2349">
        <v>0.4</v>
      </c>
      <c r="S2349">
        <v>7.4</v>
      </c>
    </row>
    <row r="2350" spans="17:19" customFormat="1" x14ac:dyDescent="0.2">
      <c r="Q2350" s="140">
        <v>42221</v>
      </c>
      <c r="R2350">
        <v>0</v>
      </c>
      <c r="S2350">
        <v>9.3000000000000007</v>
      </c>
    </row>
    <row r="2351" spans="17:19" customFormat="1" x14ac:dyDescent="0.2">
      <c r="Q2351" s="140">
        <v>42222</v>
      </c>
      <c r="R2351">
        <v>0</v>
      </c>
      <c r="S2351">
        <v>10</v>
      </c>
    </row>
    <row r="2352" spans="17:19" customFormat="1" x14ac:dyDescent="0.2">
      <c r="Q2352" s="140">
        <v>42223</v>
      </c>
      <c r="R2352">
        <v>0.1</v>
      </c>
      <c r="S2352">
        <v>9.1999999999999993</v>
      </c>
    </row>
    <row r="2353" spans="17:19" customFormat="1" x14ac:dyDescent="0.2">
      <c r="Q2353" s="140">
        <v>42224</v>
      </c>
      <c r="R2353">
        <v>0</v>
      </c>
      <c r="S2353">
        <v>12</v>
      </c>
    </row>
    <row r="2354" spans="17:19" customFormat="1" x14ac:dyDescent="0.2">
      <c r="Q2354" s="140">
        <v>42225</v>
      </c>
      <c r="R2354">
        <v>0</v>
      </c>
      <c r="S2354">
        <v>12.8</v>
      </c>
    </row>
    <row r="2355" spans="17:19" customFormat="1" x14ac:dyDescent="0.2">
      <c r="Q2355" s="140">
        <v>42226</v>
      </c>
      <c r="R2355">
        <v>0</v>
      </c>
      <c r="S2355">
        <v>13.1</v>
      </c>
    </row>
    <row r="2356" spans="17:19" customFormat="1" x14ac:dyDescent="0.2">
      <c r="Q2356" s="140">
        <v>42227</v>
      </c>
      <c r="R2356">
        <v>0</v>
      </c>
      <c r="S2356">
        <v>9.8000000000000007</v>
      </c>
    </row>
    <row r="2357" spans="17:19" customFormat="1" x14ac:dyDescent="0.2">
      <c r="Q2357" s="140">
        <v>42228</v>
      </c>
      <c r="R2357">
        <v>0.9</v>
      </c>
      <c r="S2357">
        <v>7.9</v>
      </c>
    </row>
    <row r="2358" spans="17:19" customFormat="1" x14ac:dyDescent="0.2">
      <c r="Q2358" s="140">
        <v>42229</v>
      </c>
      <c r="R2358">
        <v>1.1000000000000001</v>
      </c>
      <c r="S2358">
        <v>8.6</v>
      </c>
    </row>
    <row r="2359" spans="17:19" customFormat="1" x14ac:dyDescent="0.2">
      <c r="Q2359" s="140">
        <v>42230</v>
      </c>
      <c r="R2359">
        <v>0</v>
      </c>
      <c r="S2359">
        <v>11.7</v>
      </c>
    </row>
    <row r="2360" spans="17:19" customFormat="1" x14ac:dyDescent="0.2">
      <c r="Q2360" s="140">
        <v>42231</v>
      </c>
      <c r="R2360">
        <v>0</v>
      </c>
      <c r="S2360">
        <v>13.5</v>
      </c>
    </row>
    <row r="2361" spans="17:19" customFormat="1" x14ac:dyDescent="0.2">
      <c r="Q2361" s="140">
        <v>42232</v>
      </c>
      <c r="R2361">
        <v>0</v>
      </c>
      <c r="S2361">
        <v>13.6</v>
      </c>
    </row>
    <row r="2362" spans="17:19" customFormat="1" x14ac:dyDescent="0.2">
      <c r="Q2362" s="140">
        <v>42233</v>
      </c>
      <c r="R2362">
        <v>0</v>
      </c>
      <c r="S2362">
        <v>14.5</v>
      </c>
    </row>
    <row r="2363" spans="17:19" customFormat="1" x14ac:dyDescent="0.2">
      <c r="Q2363" s="140">
        <v>42234</v>
      </c>
      <c r="R2363">
        <v>0</v>
      </c>
      <c r="S2363">
        <v>11.7</v>
      </c>
    </row>
    <row r="2364" spans="17:19" customFormat="1" x14ac:dyDescent="0.2">
      <c r="Q2364" s="140">
        <v>42235</v>
      </c>
      <c r="R2364">
        <v>0.5</v>
      </c>
      <c r="S2364">
        <v>4.4000000000000004</v>
      </c>
    </row>
    <row r="2365" spans="17:19" customFormat="1" x14ac:dyDescent="0.2">
      <c r="Q2365" s="140">
        <v>42236</v>
      </c>
      <c r="R2365">
        <v>2.9</v>
      </c>
      <c r="S2365">
        <v>4.5999999999999996</v>
      </c>
    </row>
    <row r="2366" spans="17:19" customFormat="1" x14ac:dyDescent="0.2">
      <c r="Q2366" s="140">
        <v>42237</v>
      </c>
      <c r="R2366">
        <v>1.5</v>
      </c>
      <c r="S2366">
        <v>7.2</v>
      </c>
    </row>
    <row r="2367" spans="17:19" customFormat="1" x14ac:dyDescent="0.2">
      <c r="Q2367" s="140">
        <v>42238</v>
      </c>
      <c r="R2367">
        <v>1.2</v>
      </c>
      <c r="S2367">
        <v>4.9000000000000004</v>
      </c>
    </row>
    <row r="2368" spans="17:19" customFormat="1" x14ac:dyDescent="0.2">
      <c r="Q2368" s="140">
        <v>42239</v>
      </c>
      <c r="R2368">
        <v>0.6</v>
      </c>
      <c r="S2368">
        <v>5.2</v>
      </c>
    </row>
    <row r="2369" spans="17:19" customFormat="1" x14ac:dyDescent="0.2">
      <c r="Q2369" s="140">
        <v>42240</v>
      </c>
      <c r="R2369">
        <v>4.5</v>
      </c>
      <c r="S2369">
        <v>4</v>
      </c>
    </row>
    <row r="2370" spans="17:19" customFormat="1" x14ac:dyDescent="0.2">
      <c r="Q2370" s="140">
        <v>42241</v>
      </c>
      <c r="R2370">
        <v>4.9000000000000004</v>
      </c>
      <c r="S2370">
        <v>3.7</v>
      </c>
    </row>
    <row r="2371" spans="17:19" customFormat="1" x14ac:dyDescent="0.2">
      <c r="Q2371" s="140">
        <v>42242</v>
      </c>
      <c r="R2371">
        <v>3.4</v>
      </c>
      <c r="S2371">
        <v>4.0999999999999996</v>
      </c>
    </row>
    <row r="2372" spans="17:19" customFormat="1" x14ac:dyDescent="0.2">
      <c r="Q2372" s="140">
        <v>42243</v>
      </c>
      <c r="R2372">
        <v>4.2</v>
      </c>
      <c r="S2372">
        <v>4.4000000000000004</v>
      </c>
    </row>
    <row r="2373" spans="17:19" customFormat="1" x14ac:dyDescent="0.2">
      <c r="Q2373" s="140">
        <v>42244</v>
      </c>
      <c r="R2373">
        <v>1.8</v>
      </c>
      <c r="S2373">
        <v>6.9</v>
      </c>
    </row>
    <row r="2374" spans="17:19" customFormat="1" x14ac:dyDescent="0.2">
      <c r="Q2374" s="140">
        <v>42245</v>
      </c>
      <c r="R2374">
        <v>0</v>
      </c>
      <c r="S2374">
        <v>9.1</v>
      </c>
    </row>
    <row r="2375" spans="17:19" customFormat="1" x14ac:dyDescent="0.2">
      <c r="Q2375" s="140">
        <v>42246</v>
      </c>
      <c r="R2375">
        <v>0</v>
      </c>
      <c r="S2375">
        <v>11.3</v>
      </c>
    </row>
    <row r="2376" spans="17:19" customFormat="1" x14ac:dyDescent="0.2">
      <c r="Q2376" s="140">
        <v>42247</v>
      </c>
      <c r="R2376">
        <v>0</v>
      </c>
      <c r="S2376">
        <v>14.4</v>
      </c>
    </row>
    <row r="2377" spans="17:19" customFormat="1" x14ac:dyDescent="0.2">
      <c r="Q2377" s="140">
        <v>42248</v>
      </c>
      <c r="R2377">
        <v>0</v>
      </c>
      <c r="S2377">
        <v>16.600000000000001</v>
      </c>
    </row>
    <row r="2378" spans="17:19" customFormat="1" x14ac:dyDescent="0.2">
      <c r="Q2378" s="140">
        <v>42249</v>
      </c>
      <c r="R2378">
        <v>0</v>
      </c>
      <c r="S2378">
        <v>16</v>
      </c>
    </row>
    <row r="2379" spans="17:19" customFormat="1" x14ac:dyDescent="0.2">
      <c r="Q2379" s="140">
        <v>42250</v>
      </c>
      <c r="R2379">
        <v>0</v>
      </c>
      <c r="S2379">
        <v>16.600000000000001</v>
      </c>
    </row>
    <row r="2380" spans="17:19" customFormat="1" x14ac:dyDescent="0.2">
      <c r="Q2380" s="140">
        <v>42251</v>
      </c>
      <c r="R2380">
        <v>0</v>
      </c>
      <c r="S2380">
        <v>17</v>
      </c>
    </row>
    <row r="2381" spans="17:19" customFormat="1" x14ac:dyDescent="0.2">
      <c r="Q2381" s="140">
        <v>42252</v>
      </c>
      <c r="R2381">
        <v>0</v>
      </c>
      <c r="S2381">
        <v>16.5</v>
      </c>
    </row>
    <row r="2382" spans="17:19" customFormat="1" x14ac:dyDescent="0.2">
      <c r="Q2382" s="140">
        <v>42253</v>
      </c>
      <c r="R2382">
        <v>0</v>
      </c>
      <c r="S2382">
        <v>18.3</v>
      </c>
    </row>
    <row r="2383" spans="17:19" customFormat="1" x14ac:dyDescent="0.2">
      <c r="Q2383" s="140">
        <v>42254</v>
      </c>
      <c r="R2383">
        <v>0</v>
      </c>
      <c r="S2383">
        <v>17.899999999999999</v>
      </c>
    </row>
    <row r="2384" spans="17:19" customFormat="1" x14ac:dyDescent="0.2">
      <c r="Q2384" s="140">
        <v>42255</v>
      </c>
      <c r="R2384">
        <v>0</v>
      </c>
      <c r="S2384">
        <v>11.5</v>
      </c>
    </row>
    <row r="2385" spans="17:19" customFormat="1" x14ac:dyDescent="0.2">
      <c r="Q2385" s="140">
        <v>42256</v>
      </c>
      <c r="R2385">
        <v>0</v>
      </c>
      <c r="S2385">
        <v>9.6999999999999993</v>
      </c>
    </row>
    <row r="2386" spans="17:19" customFormat="1" x14ac:dyDescent="0.2">
      <c r="Q2386" s="140">
        <v>42257</v>
      </c>
      <c r="R2386">
        <v>0.6</v>
      </c>
      <c r="S2386">
        <v>6.7</v>
      </c>
    </row>
    <row r="2387" spans="17:19" customFormat="1" x14ac:dyDescent="0.2">
      <c r="Q2387" s="140">
        <v>42258</v>
      </c>
      <c r="R2387">
        <v>1.8</v>
      </c>
      <c r="S2387">
        <v>2.4</v>
      </c>
    </row>
    <row r="2388" spans="17:19" customFormat="1" x14ac:dyDescent="0.2">
      <c r="Q2388" s="140">
        <v>42259</v>
      </c>
      <c r="R2388">
        <v>7.8</v>
      </c>
      <c r="S2388">
        <v>0.3</v>
      </c>
    </row>
    <row r="2389" spans="17:19" customFormat="1" x14ac:dyDescent="0.2">
      <c r="Q2389" s="140">
        <v>42260</v>
      </c>
      <c r="R2389">
        <v>8.1999999999999993</v>
      </c>
      <c r="S2389">
        <v>2.7</v>
      </c>
    </row>
    <row r="2390" spans="17:19" customFormat="1" x14ac:dyDescent="0.2">
      <c r="Q2390" s="140">
        <v>42261</v>
      </c>
      <c r="R2390">
        <v>2</v>
      </c>
      <c r="S2390">
        <v>7</v>
      </c>
    </row>
    <row r="2391" spans="17:19" customFormat="1" x14ac:dyDescent="0.2">
      <c r="Q2391" s="140">
        <v>42262</v>
      </c>
      <c r="R2391">
        <v>0.3</v>
      </c>
      <c r="S2391">
        <v>8</v>
      </c>
    </row>
    <row r="2392" spans="17:19" customFormat="1" x14ac:dyDescent="0.2">
      <c r="Q2392" s="140">
        <v>42263</v>
      </c>
      <c r="R2392">
        <v>0.5</v>
      </c>
      <c r="S2392">
        <v>9.6</v>
      </c>
    </row>
    <row r="2393" spans="17:19" customFormat="1" x14ac:dyDescent="0.2">
      <c r="Q2393" s="140">
        <v>42264</v>
      </c>
      <c r="R2393">
        <v>0</v>
      </c>
      <c r="S2393">
        <v>13</v>
      </c>
    </row>
    <row r="2394" spans="17:19" customFormat="1" x14ac:dyDescent="0.2">
      <c r="Q2394" s="140">
        <v>42265</v>
      </c>
      <c r="R2394">
        <v>0</v>
      </c>
      <c r="S2394">
        <v>12.5</v>
      </c>
    </row>
    <row r="2395" spans="17:19" customFormat="1" x14ac:dyDescent="0.2">
      <c r="Q2395" s="140">
        <v>42266</v>
      </c>
      <c r="R2395">
        <v>2.4</v>
      </c>
      <c r="S2395">
        <v>2.2999999999999998</v>
      </c>
    </row>
    <row r="2396" spans="17:19" customFormat="1" x14ac:dyDescent="0.2">
      <c r="Q2396" s="140">
        <v>42267</v>
      </c>
      <c r="R2396">
        <v>6.6</v>
      </c>
      <c r="S2396">
        <v>2.9</v>
      </c>
    </row>
    <row r="2397" spans="17:19" customFormat="1" x14ac:dyDescent="0.2">
      <c r="Q2397" s="140">
        <v>42268</v>
      </c>
      <c r="R2397">
        <v>4.5999999999999996</v>
      </c>
      <c r="S2397">
        <v>4.3</v>
      </c>
    </row>
    <row r="2398" spans="17:19" customFormat="1" x14ac:dyDescent="0.2">
      <c r="Q2398" s="140">
        <v>42269</v>
      </c>
      <c r="R2398">
        <v>3.8</v>
      </c>
      <c r="S2398">
        <v>6.1</v>
      </c>
    </row>
    <row r="2399" spans="17:19" customFormat="1" x14ac:dyDescent="0.2">
      <c r="Q2399" s="140">
        <v>42270</v>
      </c>
      <c r="R2399">
        <v>2.6</v>
      </c>
      <c r="S2399">
        <v>7.1</v>
      </c>
    </row>
    <row r="2400" spans="17:19" customFormat="1" x14ac:dyDescent="0.2">
      <c r="Q2400" s="140">
        <v>42271</v>
      </c>
      <c r="R2400">
        <v>2.4</v>
      </c>
      <c r="S2400">
        <v>6.4</v>
      </c>
    </row>
    <row r="2401" spans="17:19" customFormat="1" x14ac:dyDescent="0.2">
      <c r="Q2401" s="140">
        <v>42272</v>
      </c>
      <c r="R2401">
        <v>2.7</v>
      </c>
      <c r="S2401">
        <v>7.2</v>
      </c>
    </row>
    <row r="2402" spans="17:19" customFormat="1" x14ac:dyDescent="0.2">
      <c r="Q2402" s="140">
        <v>42273</v>
      </c>
      <c r="R2402">
        <v>2.2000000000000002</v>
      </c>
      <c r="S2402">
        <v>6.6</v>
      </c>
    </row>
    <row r="2403" spans="17:19" customFormat="1" x14ac:dyDescent="0.2">
      <c r="Q2403" s="140">
        <v>42274</v>
      </c>
      <c r="R2403">
        <v>0</v>
      </c>
      <c r="S2403">
        <v>5.4</v>
      </c>
    </row>
    <row r="2404" spans="17:19" customFormat="1" x14ac:dyDescent="0.2">
      <c r="Q2404" s="140">
        <v>42275</v>
      </c>
      <c r="R2404">
        <v>0</v>
      </c>
      <c r="S2404">
        <v>7.6</v>
      </c>
    </row>
    <row r="2405" spans="17:19" customFormat="1" x14ac:dyDescent="0.2">
      <c r="Q2405" s="140">
        <v>42276</v>
      </c>
      <c r="R2405">
        <v>0.8</v>
      </c>
      <c r="S2405">
        <v>2.8</v>
      </c>
    </row>
    <row r="2406" spans="17:19" customFormat="1" x14ac:dyDescent="0.2">
      <c r="Q2406" s="140">
        <v>42277</v>
      </c>
      <c r="R2406">
        <v>6.6</v>
      </c>
      <c r="S2406">
        <v>1.3</v>
      </c>
    </row>
    <row r="2407" spans="17:19" customFormat="1" x14ac:dyDescent="0.2">
      <c r="Q2407" s="140">
        <v>42278</v>
      </c>
      <c r="R2407">
        <v>10.1</v>
      </c>
      <c r="S2407">
        <v>0.6</v>
      </c>
    </row>
    <row r="2408" spans="17:19" customFormat="1" x14ac:dyDescent="0.2">
      <c r="Q2408" s="140">
        <v>42279</v>
      </c>
      <c r="R2408">
        <v>9.3000000000000007</v>
      </c>
      <c r="S2408">
        <v>0.7</v>
      </c>
    </row>
    <row r="2409" spans="17:19" customFormat="1" x14ac:dyDescent="0.2">
      <c r="Q2409" s="140">
        <v>42280</v>
      </c>
      <c r="R2409">
        <v>12.3</v>
      </c>
      <c r="S2409">
        <v>0</v>
      </c>
    </row>
    <row r="2410" spans="17:19" customFormat="1" x14ac:dyDescent="0.2">
      <c r="Q2410" s="140">
        <v>42281</v>
      </c>
      <c r="R2410">
        <v>8.6</v>
      </c>
      <c r="S2410">
        <v>0.1</v>
      </c>
    </row>
    <row r="2411" spans="17:19" customFormat="1" x14ac:dyDescent="0.2">
      <c r="Q2411" s="140">
        <v>42282</v>
      </c>
      <c r="R2411">
        <v>5.0999999999999996</v>
      </c>
      <c r="S2411">
        <v>1.6</v>
      </c>
    </row>
    <row r="2412" spans="17:19" customFormat="1" x14ac:dyDescent="0.2">
      <c r="Q2412" s="140">
        <v>42283</v>
      </c>
      <c r="R2412">
        <v>4.3</v>
      </c>
      <c r="S2412">
        <v>2.4</v>
      </c>
    </row>
    <row r="2413" spans="17:19" customFormat="1" x14ac:dyDescent="0.2">
      <c r="Q2413" s="140">
        <v>42284</v>
      </c>
      <c r="R2413">
        <v>4.3</v>
      </c>
      <c r="S2413">
        <v>4.5</v>
      </c>
    </row>
    <row r="2414" spans="17:19" customFormat="1" x14ac:dyDescent="0.2">
      <c r="Q2414" s="140">
        <v>42285</v>
      </c>
      <c r="R2414">
        <v>3.3</v>
      </c>
      <c r="S2414">
        <v>5.5</v>
      </c>
    </row>
    <row r="2415" spans="17:19" customFormat="1" x14ac:dyDescent="0.2">
      <c r="Q2415" s="140">
        <v>42286</v>
      </c>
      <c r="R2415">
        <v>6.3</v>
      </c>
      <c r="S2415">
        <v>0</v>
      </c>
    </row>
    <row r="2416" spans="17:19" customFormat="1" x14ac:dyDescent="0.2">
      <c r="Q2416" s="140">
        <v>42287</v>
      </c>
      <c r="R2416">
        <v>11.6</v>
      </c>
      <c r="S2416">
        <v>0.4</v>
      </c>
    </row>
    <row r="2417" spans="17:19" customFormat="1" x14ac:dyDescent="0.2">
      <c r="Q2417" s="140">
        <v>42288</v>
      </c>
      <c r="R2417">
        <v>4.8</v>
      </c>
      <c r="S2417">
        <v>4.8</v>
      </c>
    </row>
    <row r="2418" spans="17:19" customFormat="1" x14ac:dyDescent="0.2">
      <c r="Q2418" s="140">
        <v>42289</v>
      </c>
      <c r="R2418">
        <v>0.7</v>
      </c>
      <c r="S2418">
        <v>4.5999999999999996</v>
      </c>
    </row>
    <row r="2419" spans="17:19" customFormat="1" x14ac:dyDescent="0.2">
      <c r="Q2419" s="140">
        <v>42290</v>
      </c>
      <c r="R2419">
        <v>6.9</v>
      </c>
      <c r="S2419">
        <v>1</v>
      </c>
    </row>
    <row r="2420" spans="17:19" customFormat="1" x14ac:dyDescent="0.2">
      <c r="Q2420" s="140">
        <v>42291</v>
      </c>
      <c r="R2420">
        <v>10.9</v>
      </c>
      <c r="S2420">
        <v>1</v>
      </c>
    </row>
    <row r="2421" spans="17:19" customFormat="1" x14ac:dyDescent="0.2">
      <c r="Q2421" s="140">
        <v>42292</v>
      </c>
      <c r="R2421">
        <v>9.6999999999999993</v>
      </c>
      <c r="S2421">
        <v>2.4</v>
      </c>
    </row>
    <row r="2422" spans="17:19" customFormat="1" x14ac:dyDescent="0.2">
      <c r="Q2422" s="140">
        <v>42293</v>
      </c>
      <c r="R2422">
        <v>15.8</v>
      </c>
      <c r="S2422">
        <v>0</v>
      </c>
    </row>
    <row r="2423" spans="17:19" customFormat="1" x14ac:dyDescent="0.2">
      <c r="Q2423" s="140">
        <v>42294</v>
      </c>
      <c r="R2423">
        <v>22.6</v>
      </c>
      <c r="S2423">
        <v>0</v>
      </c>
    </row>
    <row r="2424" spans="17:19" customFormat="1" x14ac:dyDescent="0.2">
      <c r="Q2424" s="140">
        <v>42295</v>
      </c>
      <c r="R2424">
        <v>18.600000000000001</v>
      </c>
      <c r="S2424">
        <v>0</v>
      </c>
    </row>
    <row r="2425" spans="17:19" customFormat="1" x14ac:dyDescent="0.2">
      <c r="Q2425" s="140">
        <v>42296</v>
      </c>
      <c r="R2425">
        <v>6.5</v>
      </c>
      <c r="S2425">
        <v>2.4</v>
      </c>
    </row>
    <row r="2426" spans="17:19" customFormat="1" x14ac:dyDescent="0.2">
      <c r="Q2426" s="140">
        <v>42297</v>
      </c>
      <c r="R2426">
        <v>3</v>
      </c>
      <c r="S2426">
        <v>4.3</v>
      </c>
    </row>
    <row r="2427" spans="17:19" customFormat="1" x14ac:dyDescent="0.2">
      <c r="Q2427" s="140">
        <v>42298</v>
      </c>
      <c r="R2427">
        <v>2.1</v>
      </c>
      <c r="S2427">
        <v>5.2</v>
      </c>
    </row>
    <row r="2428" spans="17:19" customFormat="1" x14ac:dyDescent="0.2">
      <c r="Q2428" s="140">
        <v>42299</v>
      </c>
      <c r="R2428">
        <v>1.9</v>
      </c>
      <c r="S2428">
        <v>3.9</v>
      </c>
    </row>
    <row r="2429" spans="17:19" customFormat="1" x14ac:dyDescent="0.2">
      <c r="Q2429" s="140">
        <v>42300</v>
      </c>
      <c r="R2429">
        <v>2.2999999999999998</v>
      </c>
      <c r="S2429">
        <v>2.8</v>
      </c>
    </row>
    <row r="2430" spans="17:19" customFormat="1" x14ac:dyDescent="0.2">
      <c r="Q2430" s="140">
        <v>42301</v>
      </c>
      <c r="R2430">
        <v>4.8</v>
      </c>
      <c r="S2430">
        <v>0.8</v>
      </c>
    </row>
    <row r="2431" spans="17:19" customFormat="1" x14ac:dyDescent="0.2">
      <c r="Q2431" s="140">
        <v>42302</v>
      </c>
      <c r="R2431">
        <v>14.8</v>
      </c>
      <c r="S2431">
        <v>0.1</v>
      </c>
    </row>
    <row r="2432" spans="17:19" customFormat="1" x14ac:dyDescent="0.2">
      <c r="Q2432" s="140">
        <v>42303</v>
      </c>
      <c r="R2432">
        <v>11.7</v>
      </c>
      <c r="S2432">
        <v>0.4</v>
      </c>
    </row>
    <row r="2433" spans="17:19" customFormat="1" x14ac:dyDescent="0.2">
      <c r="Q2433" s="140">
        <v>42304</v>
      </c>
      <c r="R2433">
        <v>10</v>
      </c>
      <c r="S2433">
        <v>0</v>
      </c>
    </row>
    <row r="2434" spans="17:19" customFormat="1" x14ac:dyDescent="0.2">
      <c r="Q2434" s="140">
        <v>42305</v>
      </c>
      <c r="R2434">
        <v>11.7</v>
      </c>
      <c r="S2434">
        <v>0</v>
      </c>
    </row>
    <row r="2435" spans="17:19" customFormat="1" x14ac:dyDescent="0.2">
      <c r="Q2435" s="140">
        <v>42306</v>
      </c>
      <c r="R2435">
        <v>21.7</v>
      </c>
      <c r="S2435">
        <v>0</v>
      </c>
    </row>
    <row r="2436" spans="17:19" customFormat="1" x14ac:dyDescent="0.2">
      <c r="Q2436" s="140">
        <v>42307</v>
      </c>
      <c r="R2436">
        <v>14.7</v>
      </c>
      <c r="S2436">
        <v>0</v>
      </c>
    </row>
    <row r="2437" spans="17:19" customFormat="1" x14ac:dyDescent="0.2">
      <c r="Q2437" s="140">
        <v>42308</v>
      </c>
      <c r="R2437">
        <v>12.5</v>
      </c>
      <c r="S2437">
        <v>0</v>
      </c>
    </row>
    <row r="2438" spans="17:19" customFormat="1" x14ac:dyDescent="0.2">
      <c r="Q2438" s="140">
        <v>42309</v>
      </c>
      <c r="R2438">
        <v>10.199999999999999</v>
      </c>
      <c r="S2438">
        <v>0.9</v>
      </c>
    </row>
    <row r="2439" spans="17:19" customFormat="1" x14ac:dyDescent="0.2">
      <c r="Q2439" s="140">
        <v>42310</v>
      </c>
      <c r="R2439">
        <v>8.1</v>
      </c>
      <c r="S2439">
        <v>1.5</v>
      </c>
    </row>
    <row r="2440" spans="17:19" customFormat="1" x14ac:dyDescent="0.2">
      <c r="Q2440" s="140">
        <v>42311</v>
      </c>
      <c r="R2440">
        <v>7.2</v>
      </c>
      <c r="S2440">
        <v>0</v>
      </c>
    </row>
    <row r="2441" spans="17:19" customFormat="1" x14ac:dyDescent="0.2">
      <c r="Q2441" s="140">
        <v>42312</v>
      </c>
      <c r="R2441">
        <v>4.2</v>
      </c>
      <c r="S2441">
        <v>0.5</v>
      </c>
    </row>
    <row r="2442" spans="17:19" customFormat="1" x14ac:dyDescent="0.2">
      <c r="Q2442" s="140">
        <v>42313</v>
      </c>
      <c r="R2442">
        <v>1.3</v>
      </c>
      <c r="S2442">
        <v>1.1000000000000001</v>
      </c>
    </row>
    <row r="2443" spans="17:19" customFormat="1" x14ac:dyDescent="0.2">
      <c r="Q2443" s="140">
        <v>42314</v>
      </c>
      <c r="R2443">
        <v>13.6</v>
      </c>
      <c r="S2443">
        <v>0.1</v>
      </c>
    </row>
    <row r="2444" spans="17:19" customFormat="1" x14ac:dyDescent="0.2">
      <c r="Q2444" s="140">
        <v>42315</v>
      </c>
      <c r="R2444">
        <v>18.3</v>
      </c>
      <c r="S2444">
        <v>0</v>
      </c>
    </row>
    <row r="2445" spans="17:19" customFormat="1" x14ac:dyDescent="0.2">
      <c r="Q2445" s="140">
        <v>42316</v>
      </c>
      <c r="R2445">
        <v>24</v>
      </c>
      <c r="S2445">
        <v>0</v>
      </c>
    </row>
    <row r="2446" spans="17:19" customFormat="1" x14ac:dyDescent="0.2">
      <c r="Q2446" s="140">
        <v>42317</v>
      </c>
      <c r="R2446">
        <v>23.1</v>
      </c>
      <c r="S2446">
        <v>0</v>
      </c>
    </row>
    <row r="2447" spans="17:19" customFormat="1" x14ac:dyDescent="0.2">
      <c r="Q2447" s="140">
        <v>42318</v>
      </c>
      <c r="R2447">
        <v>19.3</v>
      </c>
      <c r="S2447">
        <v>0</v>
      </c>
    </row>
    <row r="2448" spans="17:19" customFormat="1" x14ac:dyDescent="0.2">
      <c r="Q2448" s="140">
        <v>42319</v>
      </c>
      <c r="R2448">
        <v>7.4</v>
      </c>
      <c r="S2448">
        <v>0</v>
      </c>
    </row>
    <row r="2449" spans="17:19" customFormat="1" x14ac:dyDescent="0.2">
      <c r="Q2449" s="140">
        <v>42320</v>
      </c>
      <c r="R2449">
        <v>14.9</v>
      </c>
      <c r="S2449">
        <v>0</v>
      </c>
    </row>
    <row r="2450" spans="17:19" customFormat="1" x14ac:dyDescent="0.2">
      <c r="Q2450" s="140">
        <v>42321</v>
      </c>
      <c r="R2450">
        <v>22.6</v>
      </c>
      <c r="S2450">
        <v>0</v>
      </c>
    </row>
    <row r="2451" spans="17:19" customFormat="1" x14ac:dyDescent="0.2">
      <c r="Q2451" s="140">
        <v>42322</v>
      </c>
      <c r="R2451">
        <v>16.7</v>
      </c>
      <c r="S2451">
        <v>0.3</v>
      </c>
    </row>
    <row r="2452" spans="17:19" customFormat="1" x14ac:dyDescent="0.2">
      <c r="Q2452" s="140">
        <v>42323</v>
      </c>
      <c r="R2452">
        <v>10.5</v>
      </c>
      <c r="S2452">
        <v>0.4</v>
      </c>
    </row>
    <row r="2453" spans="17:19" customFormat="1" x14ac:dyDescent="0.2">
      <c r="Q2453" s="140">
        <v>42324</v>
      </c>
      <c r="R2453">
        <v>13.5</v>
      </c>
      <c r="S2453">
        <v>0</v>
      </c>
    </row>
    <row r="2454" spans="17:19" customFormat="1" x14ac:dyDescent="0.2">
      <c r="Q2454" s="140">
        <v>42325</v>
      </c>
      <c r="R2454">
        <v>5.8</v>
      </c>
      <c r="S2454">
        <v>0</v>
      </c>
    </row>
    <row r="2455" spans="17:19" customFormat="1" x14ac:dyDescent="0.2">
      <c r="Q2455" s="140">
        <v>42326</v>
      </c>
      <c r="R2455">
        <v>8.6999999999999993</v>
      </c>
      <c r="S2455">
        <v>0</v>
      </c>
    </row>
    <row r="2456" spans="17:19" customFormat="1" x14ac:dyDescent="0.2">
      <c r="Q2456" s="140">
        <v>42327</v>
      </c>
      <c r="R2456">
        <v>20.9</v>
      </c>
      <c r="S2456">
        <v>0</v>
      </c>
    </row>
    <row r="2457" spans="17:19" customFormat="1" x14ac:dyDescent="0.2">
      <c r="Q2457" s="140">
        <v>42328</v>
      </c>
      <c r="R2457">
        <v>23.5</v>
      </c>
      <c r="S2457">
        <v>0</v>
      </c>
    </row>
    <row r="2458" spans="17:19" customFormat="1" x14ac:dyDescent="0.2">
      <c r="Q2458" s="140">
        <v>42329</v>
      </c>
      <c r="R2458">
        <v>31.8</v>
      </c>
      <c r="S2458">
        <v>0</v>
      </c>
    </row>
    <row r="2459" spans="17:19" customFormat="1" x14ac:dyDescent="0.2">
      <c r="Q2459" s="140">
        <v>42330</v>
      </c>
      <c r="R2459">
        <v>36.6</v>
      </c>
      <c r="S2459">
        <v>0</v>
      </c>
    </row>
    <row r="2460" spans="17:19" customFormat="1" x14ac:dyDescent="0.2">
      <c r="Q2460" s="140">
        <v>42331</v>
      </c>
      <c r="R2460">
        <v>24.7</v>
      </c>
      <c r="S2460">
        <v>0</v>
      </c>
    </row>
    <row r="2461" spans="17:19" customFormat="1" x14ac:dyDescent="0.2">
      <c r="Q2461" s="140">
        <v>42332</v>
      </c>
      <c r="R2461">
        <v>21.1</v>
      </c>
      <c r="S2461">
        <v>0</v>
      </c>
    </row>
    <row r="2462" spans="17:19" customFormat="1" x14ac:dyDescent="0.2">
      <c r="Q2462" s="140">
        <v>42333</v>
      </c>
      <c r="R2462">
        <v>15.1</v>
      </c>
      <c r="S2462">
        <v>0</v>
      </c>
    </row>
    <row r="2463" spans="17:19" customFormat="1" x14ac:dyDescent="0.2">
      <c r="Q2463" s="140">
        <v>42334</v>
      </c>
      <c r="R2463">
        <v>5.5</v>
      </c>
      <c r="S2463">
        <v>0.2</v>
      </c>
    </row>
    <row r="2464" spans="17:19" customFormat="1" x14ac:dyDescent="0.2">
      <c r="Q2464" s="140">
        <v>42335</v>
      </c>
      <c r="R2464">
        <v>20.399999999999999</v>
      </c>
      <c r="S2464">
        <v>0</v>
      </c>
    </row>
    <row r="2465" spans="17:19" customFormat="1" x14ac:dyDescent="0.2">
      <c r="Q2465" s="140">
        <v>42336</v>
      </c>
      <c r="R2465">
        <v>27.9</v>
      </c>
      <c r="S2465">
        <v>0</v>
      </c>
    </row>
    <row r="2466" spans="17:19" customFormat="1" x14ac:dyDescent="0.2">
      <c r="Q2466" s="140">
        <v>42337</v>
      </c>
      <c r="R2466">
        <v>26.8</v>
      </c>
      <c r="S2466">
        <v>0</v>
      </c>
    </row>
    <row r="2467" spans="17:19" customFormat="1" x14ac:dyDescent="0.2">
      <c r="Q2467" s="140">
        <v>42338</v>
      </c>
      <c r="R2467">
        <v>24</v>
      </c>
      <c r="S2467">
        <v>0</v>
      </c>
    </row>
    <row r="2468" spans="17:19" customFormat="1" x14ac:dyDescent="0.2">
      <c r="Q2468" s="140">
        <v>42339</v>
      </c>
      <c r="R2468">
        <v>23</v>
      </c>
      <c r="S2468">
        <v>0</v>
      </c>
    </row>
    <row r="2469" spans="17:19" customFormat="1" x14ac:dyDescent="0.2">
      <c r="Q2469" s="140">
        <v>42340</v>
      </c>
      <c r="R2469">
        <v>30.2</v>
      </c>
      <c r="S2469">
        <v>0</v>
      </c>
    </row>
    <row r="2470" spans="17:19" customFormat="1" x14ac:dyDescent="0.2">
      <c r="Q2470" s="140">
        <v>42341</v>
      </c>
      <c r="R2470">
        <v>32</v>
      </c>
      <c r="S2470">
        <v>0</v>
      </c>
    </row>
    <row r="2471" spans="17:19" customFormat="1" x14ac:dyDescent="0.2">
      <c r="Q2471" s="140">
        <v>42342</v>
      </c>
      <c r="R2471">
        <v>29.1</v>
      </c>
      <c r="S2471">
        <v>0</v>
      </c>
    </row>
    <row r="2472" spans="17:19" customFormat="1" x14ac:dyDescent="0.2">
      <c r="Q2472" s="140">
        <v>42343</v>
      </c>
      <c r="R2472">
        <v>28.7</v>
      </c>
      <c r="S2472">
        <v>0</v>
      </c>
    </row>
    <row r="2473" spans="17:19" customFormat="1" x14ac:dyDescent="0.2">
      <c r="Q2473" s="140">
        <v>42344</v>
      </c>
      <c r="R2473">
        <v>24.4</v>
      </c>
      <c r="S2473">
        <v>0</v>
      </c>
    </row>
    <row r="2474" spans="17:19" customFormat="1" x14ac:dyDescent="0.2">
      <c r="Q2474" s="140">
        <v>42345</v>
      </c>
      <c r="R2474">
        <v>25.3</v>
      </c>
      <c r="S2474">
        <v>0</v>
      </c>
    </row>
    <row r="2475" spans="17:19" customFormat="1" x14ac:dyDescent="0.2">
      <c r="Q2475" s="140">
        <v>42346</v>
      </c>
      <c r="R2475">
        <v>18.3</v>
      </c>
      <c r="S2475">
        <v>0</v>
      </c>
    </row>
    <row r="2476" spans="17:19" customFormat="1" x14ac:dyDescent="0.2">
      <c r="Q2476" s="140">
        <v>42347</v>
      </c>
      <c r="R2476">
        <v>16.399999999999999</v>
      </c>
      <c r="S2476">
        <v>0</v>
      </c>
    </row>
    <row r="2477" spans="17:19" customFormat="1" x14ac:dyDescent="0.2">
      <c r="Q2477" s="140">
        <v>42348</v>
      </c>
      <c r="R2477">
        <v>13.2</v>
      </c>
      <c r="S2477">
        <v>0</v>
      </c>
    </row>
    <row r="2478" spans="17:19" customFormat="1" x14ac:dyDescent="0.2">
      <c r="Q2478" s="140">
        <v>42349</v>
      </c>
      <c r="R2478">
        <v>15</v>
      </c>
      <c r="S2478">
        <v>0</v>
      </c>
    </row>
    <row r="2479" spans="17:19" customFormat="1" x14ac:dyDescent="0.2">
      <c r="Q2479" s="140">
        <v>42350</v>
      </c>
      <c r="R2479">
        <v>3.2</v>
      </c>
      <c r="S2479">
        <v>1</v>
      </c>
    </row>
    <row r="2480" spans="17:19" customFormat="1" x14ac:dyDescent="0.2">
      <c r="Q2480" s="140">
        <v>42351</v>
      </c>
      <c r="R2480">
        <v>2.1</v>
      </c>
      <c r="S2480">
        <v>0</v>
      </c>
    </row>
    <row r="2481" spans="17:19" customFormat="1" x14ac:dyDescent="0.2">
      <c r="Q2481" s="140">
        <v>42352</v>
      </c>
      <c r="R2481">
        <v>15.9</v>
      </c>
      <c r="S2481">
        <v>0</v>
      </c>
    </row>
    <row r="2482" spans="17:19" customFormat="1" x14ac:dyDescent="0.2">
      <c r="Q2482" s="140">
        <v>42353</v>
      </c>
      <c r="R2482">
        <v>22.2</v>
      </c>
      <c r="S2482">
        <v>0</v>
      </c>
    </row>
    <row r="2483" spans="17:19" customFormat="1" x14ac:dyDescent="0.2">
      <c r="Q2483" s="140">
        <v>42354</v>
      </c>
      <c r="R2483">
        <v>18.7</v>
      </c>
      <c r="S2483">
        <v>0</v>
      </c>
    </row>
    <row r="2484" spans="17:19" customFormat="1" x14ac:dyDescent="0.2">
      <c r="Q2484" s="140">
        <v>42355</v>
      </c>
      <c r="R2484">
        <v>31.4</v>
      </c>
      <c r="S2484">
        <v>0</v>
      </c>
    </row>
    <row r="2485" spans="17:19" customFormat="1" x14ac:dyDescent="0.2">
      <c r="Q2485" s="140">
        <v>42356</v>
      </c>
      <c r="R2485">
        <v>33.299999999999997</v>
      </c>
      <c r="S2485">
        <v>0</v>
      </c>
    </row>
    <row r="2486" spans="17:19" customFormat="1" x14ac:dyDescent="0.2">
      <c r="Q2486" s="140">
        <v>42357</v>
      </c>
      <c r="R2486">
        <v>35.5</v>
      </c>
      <c r="S2486">
        <v>0</v>
      </c>
    </row>
    <row r="2487" spans="17:19" customFormat="1" x14ac:dyDescent="0.2">
      <c r="Q2487" s="140">
        <v>42358</v>
      </c>
      <c r="R2487">
        <v>19.600000000000001</v>
      </c>
      <c r="S2487">
        <v>0</v>
      </c>
    </row>
    <row r="2488" spans="17:19" customFormat="1" x14ac:dyDescent="0.2">
      <c r="Q2488" s="140">
        <v>42359</v>
      </c>
      <c r="R2488">
        <v>14.2</v>
      </c>
      <c r="S2488">
        <v>0</v>
      </c>
    </row>
    <row r="2489" spans="17:19" customFormat="1" x14ac:dyDescent="0.2">
      <c r="Q2489" s="140">
        <v>42360</v>
      </c>
      <c r="R2489">
        <v>22.7</v>
      </c>
      <c r="S2489">
        <v>0</v>
      </c>
    </row>
    <row r="2490" spans="17:19" customFormat="1" x14ac:dyDescent="0.2">
      <c r="Q2490" s="140">
        <v>42361</v>
      </c>
      <c r="R2490">
        <v>9.5</v>
      </c>
      <c r="S2490">
        <v>0</v>
      </c>
    </row>
    <row r="2491" spans="17:19" customFormat="1" x14ac:dyDescent="0.2">
      <c r="Q2491" s="140">
        <v>42362</v>
      </c>
      <c r="R2491">
        <v>23.8</v>
      </c>
      <c r="S2491">
        <v>0</v>
      </c>
    </row>
    <row r="2492" spans="17:19" customFormat="1" x14ac:dyDescent="0.2">
      <c r="Q2492" s="140">
        <v>42363</v>
      </c>
      <c r="R2492">
        <v>23.7</v>
      </c>
      <c r="S2492">
        <v>0</v>
      </c>
    </row>
    <row r="2493" spans="17:19" customFormat="1" x14ac:dyDescent="0.2">
      <c r="Q2493" s="140">
        <v>42364</v>
      </c>
      <c r="R2493">
        <v>18.7</v>
      </c>
      <c r="S2493">
        <v>0</v>
      </c>
    </row>
    <row r="2494" spans="17:19" customFormat="1" x14ac:dyDescent="0.2">
      <c r="Q2494" s="140">
        <v>42365</v>
      </c>
      <c r="R2494">
        <v>25.1</v>
      </c>
      <c r="S2494">
        <v>0</v>
      </c>
    </row>
    <row r="2495" spans="17:19" customFormat="1" x14ac:dyDescent="0.2">
      <c r="Q2495" s="140">
        <v>42366</v>
      </c>
      <c r="R2495">
        <v>26.9</v>
      </c>
      <c r="S2495">
        <v>0</v>
      </c>
    </row>
    <row r="2496" spans="17:19" customFormat="1" x14ac:dyDescent="0.2">
      <c r="Q2496" s="140">
        <v>42367</v>
      </c>
      <c r="R2496">
        <v>32.6</v>
      </c>
      <c r="S2496">
        <v>0</v>
      </c>
    </row>
    <row r="2497" spans="17:19" customFormat="1" x14ac:dyDescent="0.2">
      <c r="Q2497" s="140">
        <v>42368</v>
      </c>
      <c r="R2497">
        <v>34.200000000000003</v>
      </c>
      <c r="S2497">
        <v>0</v>
      </c>
    </row>
    <row r="2498" spans="17:19" customFormat="1" x14ac:dyDescent="0.2">
      <c r="Q2498" s="140">
        <v>42369</v>
      </c>
      <c r="R2498">
        <v>35.299999999999997</v>
      </c>
      <c r="S2498">
        <v>0</v>
      </c>
    </row>
    <row r="2499" spans="17:19" customFormat="1" x14ac:dyDescent="0.2">
      <c r="Q2499" s="140">
        <v>42370</v>
      </c>
      <c r="R2499">
        <v>35.1</v>
      </c>
      <c r="S2499">
        <v>0</v>
      </c>
    </row>
    <row r="2500" spans="17:19" customFormat="1" x14ac:dyDescent="0.2">
      <c r="Q2500" s="140">
        <v>42371</v>
      </c>
      <c r="R2500">
        <v>32.6</v>
      </c>
      <c r="S2500">
        <v>0</v>
      </c>
    </row>
    <row r="2501" spans="17:19" customFormat="1" x14ac:dyDescent="0.2">
      <c r="Q2501" s="140">
        <v>42372</v>
      </c>
      <c r="R2501">
        <v>34.9</v>
      </c>
      <c r="S2501">
        <v>0</v>
      </c>
    </row>
    <row r="2502" spans="17:19" customFormat="1" x14ac:dyDescent="0.2">
      <c r="Q2502" s="140">
        <v>42373</v>
      </c>
      <c r="R2502">
        <v>35.5</v>
      </c>
      <c r="S2502">
        <v>0</v>
      </c>
    </row>
    <row r="2503" spans="17:19" customFormat="1" x14ac:dyDescent="0.2">
      <c r="Q2503" s="140">
        <v>42374</v>
      </c>
      <c r="R2503">
        <v>35.1</v>
      </c>
      <c r="S2503">
        <v>0</v>
      </c>
    </row>
    <row r="2504" spans="17:19" customFormat="1" x14ac:dyDescent="0.2">
      <c r="Q2504" s="140">
        <v>42375</v>
      </c>
      <c r="R2504">
        <v>29.5</v>
      </c>
      <c r="S2504">
        <v>0</v>
      </c>
    </row>
    <row r="2505" spans="17:19" customFormat="1" x14ac:dyDescent="0.2">
      <c r="Q2505" s="140">
        <v>42376</v>
      </c>
      <c r="R2505">
        <v>22.9</v>
      </c>
      <c r="S2505">
        <v>0</v>
      </c>
    </row>
    <row r="2506" spans="17:19" customFormat="1" x14ac:dyDescent="0.2">
      <c r="Q2506" s="140">
        <v>42377</v>
      </c>
      <c r="R2506">
        <v>18.2</v>
      </c>
      <c r="S2506">
        <v>0</v>
      </c>
    </row>
    <row r="2507" spans="17:19" customFormat="1" x14ac:dyDescent="0.2">
      <c r="Q2507" s="140">
        <v>42378</v>
      </c>
      <c r="R2507">
        <v>33.5</v>
      </c>
      <c r="S2507">
        <v>0</v>
      </c>
    </row>
    <row r="2508" spans="17:19" customFormat="1" x14ac:dyDescent="0.2">
      <c r="Q2508" s="140">
        <v>42379</v>
      </c>
      <c r="R2508">
        <v>57.8</v>
      </c>
      <c r="S2508">
        <v>0</v>
      </c>
    </row>
    <row r="2509" spans="17:19" customFormat="1" x14ac:dyDescent="0.2">
      <c r="Q2509" s="140">
        <v>42380</v>
      </c>
      <c r="R2509">
        <v>41.2</v>
      </c>
      <c r="S2509">
        <v>0</v>
      </c>
    </row>
    <row r="2510" spans="17:19" customFormat="1" x14ac:dyDescent="0.2">
      <c r="Q2510" s="140">
        <v>42381</v>
      </c>
      <c r="R2510">
        <v>47.3</v>
      </c>
      <c r="S2510">
        <v>0</v>
      </c>
    </row>
    <row r="2511" spans="17:19" customFormat="1" x14ac:dyDescent="0.2">
      <c r="Q2511" s="140">
        <v>42382</v>
      </c>
      <c r="R2511">
        <v>42.1</v>
      </c>
      <c r="S2511">
        <v>0</v>
      </c>
    </row>
    <row r="2512" spans="17:19" customFormat="1" x14ac:dyDescent="0.2">
      <c r="Q2512" s="140">
        <v>42383</v>
      </c>
      <c r="R2512">
        <v>21.8</v>
      </c>
      <c r="S2512">
        <v>0</v>
      </c>
    </row>
    <row r="2513" spans="17:19" customFormat="1" x14ac:dyDescent="0.2">
      <c r="Q2513" s="140">
        <v>42384</v>
      </c>
      <c r="R2513">
        <v>27.9</v>
      </c>
      <c r="S2513">
        <v>0</v>
      </c>
    </row>
    <row r="2514" spans="17:19" customFormat="1" x14ac:dyDescent="0.2">
      <c r="Q2514" s="140">
        <v>42385</v>
      </c>
      <c r="R2514">
        <v>38.4</v>
      </c>
      <c r="S2514">
        <v>0</v>
      </c>
    </row>
    <row r="2515" spans="17:19" customFormat="1" x14ac:dyDescent="0.2">
      <c r="Q2515" s="140">
        <v>42386</v>
      </c>
      <c r="R2515">
        <v>55</v>
      </c>
      <c r="S2515">
        <v>0</v>
      </c>
    </row>
    <row r="2516" spans="17:19" customFormat="1" x14ac:dyDescent="0.2">
      <c r="Q2516" s="140">
        <v>42387</v>
      </c>
      <c r="R2516">
        <v>58.2</v>
      </c>
      <c r="S2516">
        <v>0</v>
      </c>
    </row>
    <row r="2517" spans="17:19" customFormat="1" x14ac:dyDescent="0.2">
      <c r="Q2517" s="140">
        <v>42388</v>
      </c>
      <c r="R2517">
        <v>49</v>
      </c>
      <c r="S2517">
        <v>0</v>
      </c>
    </row>
    <row r="2518" spans="17:19" customFormat="1" x14ac:dyDescent="0.2">
      <c r="Q2518" s="140">
        <v>42389</v>
      </c>
      <c r="R2518">
        <v>47.7</v>
      </c>
      <c r="S2518">
        <v>0</v>
      </c>
    </row>
    <row r="2519" spans="17:19" customFormat="1" x14ac:dyDescent="0.2">
      <c r="Q2519" s="140">
        <v>42390</v>
      </c>
      <c r="R2519">
        <v>46.7</v>
      </c>
      <c r="S2519">
        <v>0</v>
      </c>
    </row>
    <row r="2520" spans="17:19" customFormat="1" x14ac:dyDescent="0.2">
      <c r="Q2520" s="140">
        <v>42391</v>
      </c>
      <c r="R2520">
        <v>41.2</v>
      </c>
      <c r="S2520">
        <v>0</v>
      </c>
    </row>
    <row r="2521" spans="17:19" customFormat="1" x14ac:dyDescent="0.2">
      <c r="Q2521" s="140">
        <v>42392</v>
      </c>
      <c r="R2521">
        <v>43.3</v>
      </c>
      <c r="S2521">
        <v>0</v>
      </c>
    </row>
    <row r="2522" spans="17:19" customFormat="1" x14ac:dyDescent="0.2">
      <c r="Q2522" s="140">
        <v>42393</v>
      </c>
      <c r="R2522">
        <v>33.6</v>
      </c>
      <c r="S2522">
        <v>0</v>
      </c>
    </row>
    <row r="2523" spans="17:19" customFormat="1" x14ac:dyDescent="0.2">
      <c r="Q2523" s="140">
        <v>42394</v>
      </c>
      <c r="R2523">
        <v>27</v>
      </c>
      <c r="S2523">
        <v>0</v>
      </c>
    </row>
    <row r="2524" spans="17:19" customFormat="1" x14ac:dyDescent="0.2">
      <c r="Q2524" s="140">
        <v>42395</v>
      </c>
      <c r="R2524">
        <v>32.5</v>
      </c>
      <c r="S2524">
        <v>0</v>
      </c>
    </row>
    <row r="2525" spans="17:19" customFormat="1" x14ac:dyDescent="0.2">
      <c r="Q2525" s="140">
        <v>42396</v>
      </c>
      <c r="R2525">
        <v>31</v>
      </c>
      <c r="S2525">
        <v>0</v>
      </c>
    </row>
    <row r="2526" spans="17:19" customFormat="1" x14ac:dyDescent="0.2">
      <c r="Q2526" s="140">
        <v>42397</v>
      </c>
      <c r="R2526">
        <v>25.7</v>
      </c>
      <c r="S2526">
        <v>0</v>
      </c>
    </row>
    <row r="2527" spans="17:19" customFormat="1" x14ac:dyDescent="0.2">
      <c r="Q2527" s="140">
        <v>42398</v>
      </c>
      <c r="R2527">
        <v>28.3</v>
      </c>
      <c r="S2527">
        <v>0</v>
      </c>
    </row>
    <row r="2528" spans="17:19" customFormat="1" x14ac:dyDescent="0.2">
      <c r="Q2528" s="140">
        <v>42399</v>
      </c>
      <c r="R2528">
        <v>19.899999999999999</v>
      </c>
      <c r="S2528">
        <v>0</v>
      </c>
    </row>
    <row r="2529" spans="17:19" customFormat="1" x14ac:dyDescent="0.2">
      <c r="Q2529" s="140">
        <v>42400</v>
      </c>
      <c r="R2529">
        <v>15.1</v>
      </c>
      <c r="S2529">
        <v>0</v>
      </c>
    </row>
    <row r="2530" spans="17:19" customFormat="1" x14ac:dyDescent="0.2">
      <c r="Q2530" s="140">
        <v>42401</v>
      </c>
      <c r="R2530">
        <v>23.7</v>
      </c>
      <c r="S2530">
        <v>0</v>
      </c>
    </row>
    <row r="2531" spans="17:19" customFormat="1" x14ac:dyDescent="0.2">
      <c r="Q2531" s="140">
        <v>42402</v>
      </c>
      <c r="R2531">
        <v>19.399999999999999</v>
      </c>
      <c r="S2531">
        <v>0</v>
      </c>
    </row>
    <row r="2532" spans="17:19" customFormat="1" x14ac:dyDescent="0.2">
      <c r="Q2532" s="140">
        <v>42403</v>
      </c>
      <c r="R2532">
        <v>29.9</v>
      </c>
      <c r="S2532">
        <v>0</v>
      </c>
    </row>
    <row r="2533" spans="17:19" customFormat="1" x14ac:dyDescent="0.2">
      <c r="Q2533" s="140">
        <v>42404</v>
      </c>
      <c r="R2533">
        <v>36.6</v>
      </c>
      <c r="S2533">
        <v>0</v>
      </c>
    </row>
    <row r="2534" spans="17:19" customFormat="1" x14ac:dyDescent="0.2">
      <c r="Q2534" s="140">
        <v>42405</v>
      </c>
      <c r="R2534">
        <v>35.299999999999997</v>
      </c>
      <c r="S2534">
        <v>0</v>
      </c>
    </row>
    <row r="2535" spans="17:19" customFormat="1" x14ac:dyDescent="0.2">
      <c r="Q2535" s="140">
        <v>42406</v>
      </c>
      <c r="R2535">
        <v>27.1</v>
      </c>
      <c r="S2535">
        <v>0</v>
      </c>
    </row>
    <row r="2536" spans="17:19" customFormat="1" x14ac:dyDescent="0.2">
      <c r="Q2536" s="140">
        <v>42407</v>
      </c>
      <c r="R2536">
        <v>23.2</v>
      </c>
      <c r="S2536">
        <v>0</v>
      </c>
    </row>
    <row r="2537" spans="17:19" customFormat="1" x14ac:dyDescent="0.2">
      <c r="Q2537" s="140">
        <v>42408</v>
      </c>
      <c r="R2537">
        <v>39.4</v>
      </c>
      <c r="S2537">
        <v>0</v>
      </c>
    </row>
    <row r="2538" spans="17:19" customFormat="1" x14ac:dyDescent="0.2">
      <c r="Q2538" s="140">
        <v>42409</v>
      </c>
      <c r="R2538">
        <v>46.8</v>
      </c>
      <c r="S2538">
        <v>0</v>
      </c>
    </row>
    <row r="2539" spans="17:19" customFormat="1" x14ac:dyDescent="0.2">
      <c r="Q2539" s="140">
        <v>42410</v>
      </c>
      <c r="R2539">
        <v>48.6</v>
      </c>
      <c r="S2539">
        <v>0</v>
      </c>
    </row>
    <row r="2540" spans="17:19" customFormat="1" x14ac:dyDescent="0.2">
      <c r="Q2540" s="140">
        <v>42411</v>
      </c>
      <c r="R2540">
        <v>42.8</v>
      </c>
      <c r="S2540">
        <v>0</v>
      </c>
    </row>
    <row r="2541" spans="17:19" customFormat="1" x14ac:dyDescent="0.2">
      <c r="Q2541" s="140">
        <v>42412</v>
      </c>
      <c r="R2541">
        <v>41.9</v>
      </c>
      <c r="S2541">
        <v>0</v>
      </c>
    </row>
    <row r="2542" spans="17:19" customFormat="1" x14ac:dyDescent="0.2">
      <c r="Q2542" s="140">
        <v>42413</v>
      </c>
      <c r="R2542">
        <v>49.5</v>
      </c>
      <c r="S2542">
        <v>0</v>
      </c>
    </row>
    <row r="2543" spans="17:19" customFormat="1" x14ac:dyDescent="0.2">
      <c r="Q2543" s="140">
        <v>42414</v>
      </c>
      <c r="R2543">
        <v>43.5</v>
      </c>
      <c r="S2543">
        <v>0</v>
      </c>
    </row>
    <row r="2544" spans="17:19" customFormat="1" x14ac:dyDescent="0.2">
      <c r="Q2544" s="140">
        <v>42415</v>
      </c>
      <c r="R2544">
        <v>35.799999999999997</v>
      </c>
      <c r="S2544">
        <v>0</v>
      </c>
    </row>
    <row r="2545" spans="17:19" customFormat="1" x14ac:dyDescent="0.2">
      <c r="Q2545" s="140">
        <v>42416</v>
      </c>
      <c r="R2545">
        <v>30.6</v>
      </c>
      <c r="S2545">
        <v>0</v>
      </c>
    </row>
    <row r="2546" spans="17:19" customFormat="1" x14ac:dyDescent="0.2">
      <c r="Q2546" s="140">
        <v>42417</v>
      </c>
      <c r="R2546">
        <v>29.1</v>
      </c>
      <c r="S2546">
        <v>0</v>
      </c>
    </row>
    <row r="2547" spans="17:19" customFormat="1" x14ac:dyDescent="0.2">
      <c r="Q2547" s="140">
        <v>42418</v>
      </c>
      <c r="R2547">
        <v>23.5</v>
      </c>
      <c r="S2547">
        <v>0</v>
      </c>
    </row>
    <row r="2548" spans="17:19" customFormat="1" x14ac:dyDescent="0.2">
      <c r="Q2548" s="140">
        <v>42419</v>
      </c>
      <c r="R2548">
        <v>9.3000000000000007</v>
      </c>
      <c r="S2548">
        <v>0.3</v>
      </c>
    </row>
    <row r="2549" spans="17:19" customFormat="1" x14ac:dyDescent="0.2">
      <c r="Q2549" s="140">
        <v>42420</v>
      </c>
      <c r="R2549">
        <v>9.3000000000000007</v>
      </c>
      <c r="S2549">
        <v>1.5</v>
      </c>
    </row>
    <row r="2550" spans="17:19" customFormat="1" x14ac:dyDescent="0.2">
      <c r="Q2550" s="140">
        <v>42421</v>
      </c>
      <c r="R2550">
        <v>20.9</v>
      </c>
      <c r="S2550">
        <v>0</v>
      </c>
    </row>
    <row r="2551" spans="17:19" customFormat="1" x14ac:dyDescent="0.2">
      <c r="Q2551" s="140">
        <v>42422</v>
      </c>
      <c r="R2551">
        <v>24.5</v>
      </c>
      <c r="S2551">
        <v>0</v>
      </c>
    </row>
    <row r="2552" spans="17:19" customFormat="1" x14ac:dyDescent="0.2">
      <c r="Q2552" s="140">
        <v>42423</v>
      </c>
      <c r="R2552">
        <v>24.2</v>
      </c>
      <c r="S2552">
        <v>0</v>
      </c>
    </row>
    <row r="2553" spans="17:19" customFormat="1" x14ac:dyDescent="0.2">
      <c r="Q2553" s="140">
        <v>42424</v>
      </c>
      <c r="R2553">
        <v>27.7</v>
      </c>
      <c r="S2553">
        <v>0</v>
      </c>
    </row>
    <row r="2554" spans="17:19" customFormat="1" x14ac:dyDescent="0.2">
      <c r="Q2554" s="140">
        <v>42425</v>
      </c>
      <c r="R2554">
        <v>27.9</v>
      </c>
      <c r="S2554">
        <v>0</v>
      </c>
    </row>
    <row r="2555" spans="17:19" customFormat="1" x14ac:dyDescent="0.2">
      <c r="Q2555" s="140">
        <v>42426</v>
      </c>
      <c r="R2555">
        <v>33.6</v>
      </c>
      <c r="S2555">
        <v>0</v>
      </c>
    </row>
    <row r="2556" spans="17:19" customFormat="1" x14ac:dyDescent="0.2">
      <c r="Q2556" s="140">
        <v>42427</v>
      </c>
      <c r="R2556">
        <v>20.3</v>
      </c>
      <c r="S2556">
        <v>0</v>
      </c>
    </row>
    <row r="2557" spans="17:19" customFormat="1" x14ac:dyDescent="0.2">
      <c r="Q2557" s="140">
        <v>42428</v>
      </c>
      <c r="R2557">
        <v>11.1</v>
      </c>
      <c r="S2557">
        <v>0.7</v>
      </c>
    </row>
    <row r="2558" spans="17:19" customFormat="1" x14ac:dyDescent="0.2">
      <c r="Q2558" s="140">
        <v>42429</v>
      </c>
      <c r="R2558">
        <v>16.899999999999999</v>
      </c>
      <c r="S2558">
        <v>0</v>
      </c>
    </row>
    <row r="2559" spans="17:19" customFormat="1" x14ac:dyDescent="0.2">
      <c r="Q2559" s="140">
        <v>42430</v>
      </c>
      <c r="R2559">
        <v>27.6</v>
      </c>
      <c r="S2559">
        <v>0</v>
      </c>
    </row>
    <row r="2560" spans="17:19" customFormat="1" x14ac:dyDescent="0.2">
      <c r="Q2560" s="140">
        <v>42431</v>
      </c>
      <c r="R2560">
        <v>34.5</v>
      </c>
      <c r="S2560">
        <v>0</v>
      </c>
    </row>
    <row r="2561" spans="17:19" customFormat="1" x14ac:dyDescent="0.2">
      <c r="Q2561" s="140">
        <v>42432</v>
      </c>
      <c r="R2561">
        <v>26.7</v>
      </c>
      <c r="S2561">
        <v>0</v>
      </c>
    </row>
    <row r="2562" spans="17:19" customFormat="1" x14ac:dyDescent="0.2">
      <c r="Q2562" s="140">
        <v>42433</v>
      </c>
      <c r="R2562">
        <v>27.2</v>
      </c>
      <c r="S2562">
        <v>0</v>
      </c>
    </row>
    <row r="2563" spans="17:19" customFormat="1" x14ac:dyDescent="0.2">
      <c r="Q2563" s="140">
        <v>42434</v>
      </c>
      <c r="R2563">
        <v>26</v>
      </c>
      <c r="S2563">
        <v>0</v>
      </c>
    </row>
    <row r="2564" spans="17:19" customFormat="1" x14ac:dyDescent="0.2">
      <c r="Q2564" s="140">
        <v>42435</v>
      </c>
      <c r="R2564">
        <v>20.3</v>
      </c>
      <c r="S2564">
        <v>0</v>
      </c>
    </row>
    <row r="2565" spans="17:19" customFormat="1" x14ac:dyDescent="0.2">
      <c r="Q2565" s="140">
        <v>42436</v>
      </c>
      <c r="R2565">
        <v>7.6</v>
      </c>
      <c r="S2565">
        <v>0.5</v>
      </c>
    </row>
    <row r="2566" spans="17:19" customFormat="1" x14ac:dyDescent="0.2">
      <c r="Q2566" s="140">
        <v>42437</v>
      </c>
      <c r="R2566">
        <v>2.8</v>
      </c>
      <c r="S2566">
        <v>1.6</v>
      </c>
    </row>
    <row r="2567" spans="17:19" customFormat="1" x14ac:dyDescent="0.2">
      <c r="Q2567" s="140">
        <v>42438</v>
      </c>
      <c r="R2567">
        <v>3.8</v>
      </c>
      <c r="S2567">
        <v>0.2</v>
      </c>
    </row>
    <row r="2568" spans="17:19" customFormat="1" x14ac:dyDescent="0.2">
      <c r="Q2568" s="140">
        <v>42439</v>
      </c>
      <c r="R2568">
        <v>16</v>
      </c>
      <c r="S2568">
        <v>0</v>
      </c>
    </row>
    <row r="2569" spans="17:19" customFormat="1" x14ac:dyDescent="0.2">
      <c r="Q2569" s="140">
        <v>42440</v>
      </c>
      <c r="R2569">
        <v>16.2</v>
      </c>
      <c r="S2569">
        <v>0</v>
      </c>
    </row>
    <row r="2570" spans="17:19" customFormat="1" x14ac:dyDescent="0.2">
      <c r="Q2570" s="140">
        <v>42441</v>
      </c>
      <c r="R2570">
        <v>10.8</v>
      </c>
      <c r="S2570">
        <v>0</v>
      </c>
    </row>
    <row r="2571" spans="17:19" customFormat="1" x14ac:dyDescent="0.2">
      <c r="Q2571" s="140">
        <v>42442</v>
      </c>
      <c r="R2571">
        <v>7.6</v>
      </c>
      <c r="S2571">
        <v>0</v>
      </c>
    </row>
    <row r="2572" spans="17:19" customFormat="1" x14ac:dyDescent="0.2">
      <c r="Q2572" s="140">
        <v>42443</v>
      </c>
      <c r="R2572">
        <v>8.9</v>
      </c>
      <c r="S2572">
        <v>0</v>
      </c>
    </row>
    <row r="2573" spans="17:19" customFormat="1" x14ac:dyDescent="0.2">
      <c r="Q2573" s="140">
        <v>42444</v>
      </c>
      <c r="R2573">
        <v>5.5</v>
      </c>
      <c r="S2573">
        <v>3.2</v>
      </c>
    </row>
    <row r="2574" spans="17:19" customFormat="1" x14ac:dyDescent="0.2">
      <c r="Q2574" s="140">
        <v>42445</v>
      </c>
      <c r="R2574">
        <v>11.1</v>
      </c>
      <c r="S2574">
        <v>0</v>
      </c>
    </row>
    <row r="2575" spans="17:19" customFormat="1" x14ac:dyDescent="0.2">
      <c r="Q2575" s="140">
        <v>42446</v>
      </c>
      <c r="R2575">
        <v>14.3</v>
      </c>
      <c r="S2575">
        <v>0</v>
      </c>
    </row>
    <row r="2576" spans="17:19" customFormat="1" x14ac:dyDescent="0.2">
      <c r="Q2576" s="140">
        <v>42447</v>
      </c>
      <c r="R2576">
        <v>20.6</v>
      </c>
      <c r="S2576">
        <v>0</v>
      </c>
    </row>
    <row r="2577" spans="17:19" customFormat="1" x14ac:dyDescent="0.2">
      <c r="Q2577" s="140">
        <v>42448</v>
      </c>
      <c r="R2577">
        <v>22.3</v>
      </c>
      <c r="S2577">
        <v>0</v>
      </c>
    </row>
    <row r="2578" spans="17:19" customFormat="1" x14ac:dyDescent="0.2">
      <c r="Q2578" s="140">
        <v>42449</v>
      </c>
      <c r="R2578">
        <v>23.3</v>
      </c>
      <c r="S2578">
        <v>0</v>
      </c>
    </row>
    <row r="2579" spans="17:19" customFormat="1" x14ac:dyDescent="0.2">
      <c r="Q2579" s="140">
        <v>42450</v>
      </c>
      <c r="R2579">
        <v>20.8</v>
      </c>
      <c r="S2579">
        <v>0</v>
      </c>
    </row>
    <row r="2580" spans="17:19" customFormat="1" x14ac:dyDescent="0.2">
      <c r="Q2580" s="140">
        <v>42451</v>
      </c>
      <c r="R2580">
        <v>9</v>
      </c>
      <c r="S2580">
        <v>0.7</v>
      </c>
    </row>
    <row r="2581" spans="17:19" customFormat="1" x14ac:dyDescent="0.2">
      <c r="Q2581" s="140">
        <v>42452</v>
      </c>
      <c r="R2581">
        <v>4</v>
      </c>
      <c r="S2581">
        <v>0.7</v>
      </c>
    </row>
    <row r="2582" spans="17:19" customFormat="1" x14ac:dyDescent="0.2">
      <c r="Q2582" s="140">
        <v>42453</v>
      </c>
      <c r="R2582">
        <v>14.2</v>
      </c>
      <c r="S2582">
        <v>0</v>
      </c>
    </row>
    <row r="2583" spans="17:19" customFormat="1" x14ac:dyDescent="0.2">
      <c r="Q2583" s="140">
        <v>42454</v>
      </c>
      <c r="R2583">
        <v>24.1</v>
      </c>
      <c r="S2583">
        <v>0</v>
      </c>
    </row>
    <row r="2584" spans="17:19" customFormat="1" x14ac:dyDescent="0.2">
      <c r="Q2584" s="140">
        <v>42455</v>
      </c>
      <c r="R2584">
        <v>15.9</v>
      </c>
      <c r="S2584">
        <v>0</v>
      </c>
    </row>
    <row r="2585" spans="17:19" customFormat="1" x14ac:dyDescent="0.2">
      <c r="Q2585" s="140">
        <v>42456</v>
      </c>
      <c r="R2585">
        <v>16.2</v>
      </c>
      <c r="S2585">
        <v>0</v>
      </c>
    </row>
    <row r="2586" spans="17:19" customFormat="1" x14ac:dyDescent="0.2">
      <c r="Q2586" s="140">
        <v>42457</v>
      </c>
      <c r="R2586">
        <v>17.5</v>
      </c>
      <c r="S2586">
        <v>0</v>
      </c>
    </row>
    <row r="2587" spans="17:19" customFormat="1" x14ac:dyDescent="0.2">
      <c r="Q2587" s="140">
        <v>42458</v>
      </c>
      <c r="R2587">
        <v>15.2</v>
      </c>
      <c r="S2587">
        <v>0</v>
      </c>
    </row>
    <row r="2588" spans="17:19" customFormat="1" x14ac:dyDescent="0.2">
      <c r="Q2588" s="140">
        <v>42459</v>
      </c>
      <c r="R2588">
        <v>9.6999999999999993</v>
      </c>
      <c r="S2588">
        <v>0</v>
      </c>
    </row>
    <row r="2589" spans="17:19" customFormat="1" x14ac:dyDescent="0.2">
      <c r="Q2589" s="140">
        <v>42460</v>
      </c>
      <c r="R2589">
        <v>4.5999999999999996</v>
      </c>
      <c r="S2589">
        <v>0.3</v>
      </c>
    </row>
    <row r="2590" spans="17:19" customFormat="1" x14ac:dyDescent="0.2">
      <c r="Q2590" s="140">
        <v>42461</v>
      </c>
      <c r="R2590">
        <v>17.7</v>
      </c>
      <c r="S2590">
        <v>0</v>
      </c>
    </row>
    <row r="2591" spans="17:19" customFormat="1" x14ac:dyDescent="0.2">
      <c r="Q2591" s="140">
        <v>42462</v>
      </c>
      <c r="R2591">
        <v>22.2</v>
      </c>
      <c r="S2591">
        <v>0</v>
      </c>
    </row>
    <row r="2592" spans="17:19" customFormat="1" x14ac:dyDescent="0.2">
      <c r="Q2592" s="140">
        <v>42463</v>
      </c>
      <c r="R2592">
        <v>13</v>
      </c>
      <c r="S2592">
        <v>2.4</v>
      </c>
    </row>
    <row r="2593" spans="17:19" customFormat="1" x14ac:dyDescent="0.2">
      <c r="Q2593" s="140">
        <v>42464</v>
      </c>
      <c r="R2593">
        <v>15.1</v>
      </c>
      <c r="S2593">
        <v>0</v>
      </c>
    </row>
    <row r="2594" spans="17:19" customFormat="1" x14ac:dyDescent="0.2">
      <c r="Q2594" s="140">
        <v>42465</v>
      </c>
      <c r="R2594">
        <v>23.1</v>
      </c>
      <c r="S2594">
        <v>0</v>
      </c>
    </row>
    <row r="2595" spans="17:19" customFormat="1" x14ac:dyDescent="0.2">
      <c r="Q2595" s="140">
        <v>42466</v>
      </c>
      <c r="R2595">
        <v>14.3</v>
      </c>
      <c r="S2595">
        <v>0</v>
      </c>
    </row>
    <row r="2596" spans="17:19" customFormat="1" x14ac:dyDescent="0.2">
      <c r="Q2596" s="140">
        <v>42467</v>
      </c>
      <c r="R2596">
        <v>19.3</v>
      </c>
      <c r="S2596">
        <v>0</v>
      </c>
    </row>
    <row r="2597" spans="17:19" customFormat="1" x14ac:dyDescent="0.2">
      <c r="Q2597" s="140">
        <v>42468</v>
      </c>
      <c r="R2597">
        <v>21.2</v>
      </c>
      <c r="S2597">
        <v>0</v>
      </c>
    </row>
    <row r="2598" spans="17:19" customFormat="1" x14ac:dyDescent="0.2">
      <c r="Q2598" s="140">
        <v>42469</v>
      </c>
      <c r="R2598">
        <v>27.7</v>
      </c>
      <c r="S2598">
        <v>0</v>
      </c>
    </row>
    <row r="2599" spans="17:19" customFormat="1" x14ac:dyDescent="0.2">
      <c r="Q2599" s="140">
        <v>42470</v>
      </c>
      <c r="R2599">
        <v>16.899999999999999</v>
      </c>
      <c r="S2599">
        <v>0</v>
      </c>
    </row>
    <row r="2600" spans="17:19" customFormat="1" x14ac:dyDescent="0.2">
      <c r="Q2600" s="140">
        <v>42471</v>
      </c>
      <c r="R2600">
        <v>15.1</v>
      </c>
      <c r="S2600">
        <v>0</v>
      </c>
    </row>
    <row r="2601" spans="17:19" customFormat="1" x14ac:dyDescent="0.2">
      <c r="Q2601" s="140">
        <v>42472</v>
      </c>
      <c r="R2601">
        <v>20</v>
      </c>
      <c r="S2601">
        <v>0</v>
      </c>
    </row>
    <row r="2602" spans="17:19" customFormat="1" x14ac:dyDescent="0.2">
      <c r="Q2602" s="140">
        <v>42473</v>
      </c>
      <c r="R2602">
        <v>14.8</v>
      </c>
      <c r="S2602">
        <v>0</v>
      </c>
    </row>
    <row r="2603" spans="17:19" customFormat="1" x14ac:dyDescent="0.2">
      <c r="Q2603" s="140">
        <v>42474</v>
      </c>
      <c r="R2603">
        <v>10.3</v>
      </c>
      <c r="S2603">
        <v>0.9</v>
      </c>
    </row>
    <row r="2604" spans="17:19" customFormat="1" x14ac:dyDescent="0.2">
      <c r="Q2604" s="140">
        <v>42475</v>
      </c>
      <c r="R2604">
        <v>5.8</v>
      </c>
      <c r="S2604">
        <v>3.9</v>
      </c>
    </row>
    <row r="2605" spans="17:19" customFormat="1" x14ac:dyDescent="0.2">
      <c r="Q2605" s="140">
        <v>42476</v>
      </c>
      <c r="R2605">
        <v>3.6</v>
      </c>
      <c r="S2605">
        <v>5.0999999999999996</v>
      </c>
    </row>
    <row r="2606" spans="17:19" customFormat="1" x14ac:dyDescent="0.2">
      <c r="Q2606" s="140">
        <v>42477</v>
      </c>
      <c r="R2606">
        <v>2.9</v>
      </c>
      <c r="S2606">
        <v>6.2</v>
      </c>
    </row>
    <row r="2607" spans="17:19" customFormat="1" x14ac:dyDescent="0.2">
      <c r="Q2607" s="140">
        <v>42478</v>
      </c>
      <c r="R2607">
        <v>2</v>
      </c>
      <c r="S2607">
        <v>6.7</v>
      </c>
    </row>
    <row r="2608" spans="17:19" customFormat="1" x14ac:dyDescent="0.2">
      <c r="Q2608" s="140">
        <v>42479</v>
      </c>
      <c r="R2608">
        <v>1.9</v>
      </c>
      <c r="S2608">
        <v>2.6</v>
      </c>
    </row>
    <row r="2609" spans="17:19" customFormat="1" x14ac:dyDescent="0.2">
      <c r="Q2609" s="140">
        <v>42480</v>
      </c>
      <c r="R2609">
        <v>3.1</v>
      </c>
      <c r="S2609">
        <v>0.6</v>
      </c>
    </row>
    <row r="2610" spans="17:19" customFormat="1" x14ac:dyDescent="0.2">
      <c r="Q2610" s="140">
        <v>42481</v>
      </c>
      <c r="R2610">
        <v>3.8</v>
      </c>
      <c r="S2610">
        <v>0.6</v>
      </c>
    </row>
    <row r="2611" spans="17:19" customFormat="1" x14ac:dyDescent="0.2">
      <c r="Q2611" s="140">
        <v>42482</v>
      </c>
      <c r="R2611">
        <v>5.8</v>
      </c>
      <c r="S2611">
        <v>0.9</v>
      </c>
    </row>
    <row r="2612" spans="17:19" customFormat="1" x14ac:dyDescent="0.2">
      <c r="Q2612" s="140">
        <v>42483</v>
      </c>
      <c r="R2612">
        <v>8.4</v>
      </c>
      <c r="S2612">
        <v>0.7</v>
      </c>
    </row>
    <row r="2613" spans="17:19" customFormat="1" x14ac:dyDescent="0.2">
      <c r="Q2613" s="140">
        <v>42484</v>
      </c>
      <c r="R2613">
        <v>3.6</v>
      </c>
      <c r="S2613">
        <v>6.1</v>
      </c>
    </row>
    <row r="2614" spans="17:19" customFormat="1" x14ac:dyDescent="0.2">
      <c r="Q2614" s="140">
        <v>42485</v>
      </c>
      <c r="R2614">
        <v>0.1</v>
      </c>
      <c r="S2614">
        <v>9.5</v>
      </c>
    </row>
    <row r="2615" spans="17:19" customFormat="1" x14ac:dyDescent="0.2">
      <c r="Q2615" s="140">
        <v>42486</v>
      </c>
      <c r="R2615">
        <v>2.2000000000000002</v>
      </c>
      <c r="S2615">
        <v>3.9</v>
      </c>
    </row>
    <row r="2616" spans="17:19" customFormat="1" x14ac:dyDescent="0.2">
      <c r="Q2616" s="140">
        <v>42487</v>
      </c>
      <c r="R2616">
        <v>7.1</v>
      </c>
      <c r="S2616">
        <v>0</v>
      </c>
    </row>
    <row r="2617" spans="17:19" customFormat="1" x14ac:dyDescent="0.2">
      <c r="Q2617" s="140">
        <v>42488</v>
      </c>
      <c r="R2617">
        <v>4.8</v>
      </c>
      <c r="S2617">
        <v>0.4</v>
      </c>
    </row>
    <row r="2618" spans="17:19" customFormat="1" x14ac:dyDescent="0.2">
      <c r="Q2618" s="140">
        <v>42489</v>
      </c>
      <c r="R2618">
        <v>10</v>
      </c>
      <c r="S2618">
        <v>0</v>
      </c>
    </row>
    <row r="2619" spans="17:19" customFormat="1" x14ac:dyDescent="0.2">
      <c r="Q2619" s="140">
        <v>42490</v>
      </c>
      <c r="R2619">
        <v>6.4</v>
      </c>
      <c r="S2619">
        <v>0.3</v>
      </c>
    </row>
    <row r="2620" spans="17:19" customFormat="1" x14ac:dyDescent="0.2">
      <c r="Q2620" s="140">
        <v>42491</v>
      </c>
      <c r="R2620">
        <v>8.1</v>
      </c>
      <c r="S2620">
        <v>0</v>
      </c>
    </row>
    <row r="2621" spans="17:19" customFormat="1" x14ac:dyDescent="0.2">
      <c r="Q2621" s="140">
        <v>42492</v>
      </c>
      <c r="R2621">
        <v>11.8</v>
      </c>
      <c r="S2621">
        <v>0</v>
      </c>
    </row>
    <row r="2622" spans="17:19" customFormat="1" x14ac:dyDescent="0.2">
      <c r="Q2622" s="140">
        <v>42493</v>
      </c>
      <c r="R2622">
        <v>7.2</v>
      </c>
      <c r="S2622">
        <v>0.1</v>
      </c>
    </row>
    <row r="2623" spans="17:19" customFormat="1" x14ac:dyDescent="0.2">
      <c r="Q2623" s="140">
        <v>42494</v>
      </c>
      <c r="R2623">
        <v>8.1999999999999993</v>
      </c>
      <c r="S2623">
        <v>0</v>
      </c>
    </row>
    <row r="2624" spans="17:19" customFormat="1" x14ac:dyDescent="0.2">
      <c r="Q2624" s="140">
        <v>42495</v>
      </c>
      <c r="R2624">
        <v>10.3</v>
      </c>
      <c r="S2624">
        <v>0.4</v>
      </c>
    </row>
    <row r="2625" spans="17:19" customFormat="1" x14ac:dyDescent="0.2">
      <c r="Q2625" s="140">
        <v>42496</v>
      </c>
      <c r="R2625">
        <v>6.4</v>
      </c>
      <c r="S2625">
        <v>6.6</v>
      </c>
    </row>
    <row r="2626" spans="17:19" customFormat="1" x14ac:dyDescent="0.2">
      <c r="Q2626" s="140">
        <v>42497</v>
      </c>
      <c r="R2626">
        <v>0.8</v>
      </c>
      <c r="S2626">
        <v>6.4</v>
      </c>
    </row>
    <row r="2627" spans="17:19" customFormat="1" x14ac:dyDescent="0.2">
      <c r="Q2627" s="140">
        <v>42498</v>
      </c>
      <c r="R2627">
        <v>5.4</v>
      </c>
      <c r="S2627">
        <v>0.2</v>
      </c>
    </row>
    <row r="2628" spans="17:19" customFormat="1" x14ac:dyDescent="0.2">
      <c r="Q2628" s="140">
        <v>42499</v>
      </c>
      <c r="R2628">
        <v>3</v>
      </c>
      <c r="S2628">
        <v>1.2</v>
      </c>
    </row>
    <row r="2629" spans="17:19" customFormat="1" x14ac:dyDescent="0.2">
      <c r="Q2629" s="140">
        <v>42500</v>
      </c>
      <c r="R2629">
        <v>0.9</v>
      </c>
      <c r="S2629">
        <v>2.4</v>
      </c>
    </row>
    <row r="2630" spans="17:19" customFormat="1" x14ac:dyDescent="0.2">
      <c r="Q2630" s="140">
        <v>42501</v>
      </c>
      <c r="R2630">
        <v>1.7</v>
      </c>
      <c r="S2630">
        <v>4.5999999999999996</v>
      </c>
    </row>
    <row r="2631" spans="17:19" customFormat="1" x14ac:dyDescent="0.2">
      <c r="Q2631" s="140">
        <v>42502</v>
      </c>
      <c r="R2631">
        <v>1.3</v>
      </c>
      <c r="S2631">
        <v>1.4</v>
      </c>
    </row>
    <row r="2632" spans="17:19" customFormat="1" x14ac:dyDescent="0.2">
      <c r="Q2632" s="140">
        <v>42503</v>
      </c>
      <c r="R2632">
        <v>6.6</v>
      </c>
      <c r="S2632">
        <v>2.2999999999999998</v>
      </c>
    </row>
    <row r="2633" spans="17:19" customFormat="1" x14ac:dyDescent="0.2">
      <c r="Q2633" s="140">
        <v>42504</v>
      </c>
      <c r="R2633">
        <v>16</v>
      </c>
      <c r="S2633">
        <v>0</v>
      </c>
    </row>
    <row r="2634" spans="17:19" customFormat="1" x14ac:dyDescent="0.2">
      <c r="Q2634" s="140">
        <v>42505</v>
      </c>
      <c r="R2634">
        <v>11.7</v>
      </c>
      <c r="S2634">
        <v>0</v>
      </c>
    </row>
    <row r="2635" spans="17:19" customFormat="1" x14ac:dyDescent="0.2">
      <c r="Q2635" s="140">
        <v>42506</v>
      </c>
      <c r="R2635">
        <v>10.1</v>
      </c>
      <c r="S2635">
        <v>0</v>
      </c>
    </row>
    <row r="2636" spans="17:19" customFormat="1" x14ac:dyDescent="0.2">
      <c r="Q2636" s="140">
        <v>42507</v>
      </c>
      <c r="R2636">
        <v>11.4</v>
      </c>
      <c r="S2636">
        <v>0</v>
      </c>
    </row>
    <row r="2637" spans="17:19" customFormat="1" x14ac:dyDescent="0.2">
      <c r="Q2637" s="140">
        <v>42508</v>
      </c>
      <c r="R2637">
        <v>8.6</v>
      </c>
      <c r="S2637">
        <v>0.9</v>
      </c>
    </row>
    <row r="2638" spans="17:19" customFormat="1" x14ac:dyDescent="0.2">
      <c r="Q2638" s="140">
        <v>42509</v>
      </c>
      <c r="R2638">
        <v>6.7</v>
      </c>
      <c r="S2638">
        <v>2.7</v>
      </c>
    </row>
    <row r="2639" spans="17:19" customFormat="1" x14ac:dyDescent="0.2">
      <c r="Q2639" s="140">
        <v>42510</v>
      </c>
      <c r="R2639">
        <v>4.3</v>
      </c>
      <c r="S2639">
        <v>1.6</v>
      </c>
    </row>
    <row r="2640" spans="17:19" customFormat="1" x14ac:dyDescent="0.2">
      <c r="Q2640" s="140">
        <v>42511</v>
      </c>
      <c r="R2640">
        <v>2.4</v>
      </c>
      <c r="S2640">
        <v>4.9000000000000004</v>
      </c>
    </row>
    <row r="2641" spans="17:19" customFormat="1" x14ac:dyDescent="0.2">
      <c r="Q2641" s="140">
        <v>42512</v>
      </c>
      <c r="R2641">
        <v>2.9</v>
      </c>
      <c r="S2641">
        <v>8.4</v>
      </c>
    </row>
    <row r="2642" spans="17:19" customFormat="1" x14ac:dyDescent="0.2">
      <c r="Q2642" s="140">
        <v>42513</v>
      </c>
      <c r="R2642">
        <v>1.8</v>
      </c>
      <c r="S2642">
        <v>9.5</v>
      </c>
    </row>
    <row r="2643" spans="17:19" customFormat="1" x14ac:dyDescent="0.2">
      <c r="Q2643" s="140">
        <v>42514</v>
      </c>
      <c r="R2643">
        <v>0.7</v>
      </c>
      <c r="S2643">
        <v>9.9</v>
      </c>
    </row>
    <row r="2644" spans="17:19" customFormat="1" x14ac:dyDescent="0.2">
      <c r="Q2644" s="140">
        <v>42515</v>
      </c>
      <c r="R2644">
        <v>0.1</v>
      </c>
      <c r="S2644">
        <v>9.4</v>
      </c>
    </row>
    <row r="2645" spans="17:19" customFormat="1" x14ac:dyDescent="0.2">
      <c r="Q2645" s="140">
        <v>42516</v>
      </c>
      <c r="R2645">
        <v>0</v>
      </c>
      <c r="S2645">
        <v>9.4</v>
      </c>
    </row>
    <row r="2646" spans="17:19" customFormat="1" x14ac:dyDescent="0.2">
      <c r="Q2646" s="140">
        <v>42517</v>
      </c>
      <c r="R2646">
        <v>0</v>
      </c>
      <c r="S2646">
        <v>7.8</v>
      </c>
    </row>
    <row r="2647" spans="17:19" customFormat="1" x14ac:dyDescent="0.2">
      <c r="Q2647" s="140">
        <v>42518</v>
      </c>
      <c r="R2647">
        <v>0</v>
      </c>
      <c r="S2647">
        <v>11.7</v>
      </c>
    </row>
    <row r="2648" spans="17:19" customFormat="1" x14ac:dyDescent="0.2">
      <c r="Q2648" s="140">
        <v>42519</v>
      </c>
      <c r="R2648">
        <v>0</v>
      </c>
      <c r="S2648">
        <v>11.3</v>
      </c>
    </row>
    <row r="2649" spans="17:19" customFormat="1" x14ac:dyDescent="0.2">
      <c r="Q2649" s="140">
        <v>42520</v>
      </c>
      <c r="R2649">
        <v>0.1</v>
      </c>
      <c r="S2649">
        <v>11.4</v>
      </c>
    </row>
    <row r="2650" spans="17:19" customFormat="1" x14ac:dyDescent="0.2">
      <c r="Q2650" s="140">
        <v>42521</v>
      </c>
      <c r="R2650">
        <v>0</v>
      </c>
      <c r="S2650">
        <v>7.3</v>
      </c>
    </row>
    <row r="2651" spans="17:19" customFormat="1" x14ac:dyDescent="0.2">
      <c r="Q2651" s="140">
        <v>42522</v>
      </c>
      <c r="R2651">
        <v>0</v>
      </c>
      <c r="S2651">
        <v>7.4</v>
      </c>
    </row>
    <row r="2652" spans="17:19" customFormat="1" x14ac:dyDescent="0.2">
      <c r="Q2652" s="140">
        <v>42523</v>
      </c>
      <c r="R2652">
        <v>0.5</v>
      </c>
      <c r="S2652">
        <v>7.9</v>
      </c>
    </row>
    <row r="2653" spans="17:19" customFormat="1" x14ac:dyDescent="0.2">
      <c r="Q2653" s="140">
        <v>42524</v>
      </c>
      <c r="R2653">
        <v>0.9</v>
      </c>
      <c r="S2653">
        <v>7.8</v>
      </c>
    </row>
    <row r="2654" spans="17:19" customFormat="1" x14ac:dyDescent="0.2">
      <c r="Q2654" s="140">
        <v>42525</v>
      </c>
      <c r="R2654">
        <v>0</v>
      </c>
      <c r="S2654">
        <v>7.7</v>
      </c>
    </row>
    <row r="2655" spans="17:19" customFormat="1" x14ac:dyDescent="0.2">
      <c r="Q2655" s="140">
        <v>42526</v>
      </c>
      <c r="R2655">
        <v>0.3</v>
      </c>
      <c r="S2655">
        <v>6.9</v>
      </c>
    </row>
    <row r="2656" spans="17:19" customFormat="1" x14ac:dyDescent="0.2">
      <c r="Q2656" s="140">
        <v>42527</v>
      </c>
      <c r="R2656">
        <v>0</v>
      </c>
      <c r="S2656">
        <v>11.8</v>
      </c>
    </row>
    <row r="2657" spans="17:19" customFormat="1" x14ac:dyDescent="0.2">
      <c r="Q2657" s="140">
        <v>42528</v>
      </c>
      <c r="R2657">
        <v>1.5</v>
      </c>
      <c r="S2657">
        <v>4.9000000000000004</v>
      </c>
    </row>
    <row r="2658" spans="17:19" customFormat="1" x14ac:dyDescent="0.2">
      <c r="Q2658" s="140">
        <v>42529</v>
      </c>
      <c r="R2658">
        <v>3.4</v>
      </c>
      <c r="S2658">
        <v>6.5</v>
      </c>
    </row>
    <row r="2659" spans="17:19" customFormat="1" x14ac:dyDescent="0.2">
      <c r="Q2659" s="140">
        <v>42530</v>
      </c>
      <c r="R2659">
        <v>0</v>
      </c>
      <c r="S2659">
        <v>13.2</v>
      </c>
    </row>
    <row r="2660" spans="17:19" customFormat="1" x14ac:dyDescent="0.2">
      <c r="Q2660" s="140">
        <v>42531</v>
      </c>
      <c r="R2660">
        <v>0</v>
      </c>
      <c r="S2660">
        <v>18.3</v>
      </c>
    </row>
    <row r="2661" spans="17:19" customFormat="1" x14ac:dyDescent="0.2">
      <c r="Q2661" s="140">
        <v>42532</v>
      </c>
      <c r="R2661">
        <v>0</v>
      </c>
      <c r="S2661">
        <v>18.8</v>
      </c>
    </row>
    <row r="2662" spans="17:19" customFormat="1" x14ac:dyDescent="0.2">
      <c r="Q2662" s="140">
        <v>42533</v>
      </c>
      <c r="R2662">
        <v>0</v>
      </c>
      <c r="S2662">
        <v>16.7</v>
      </c>
    </row>
    <row r="2663" spans="17:19" customFormat="1" x14ac:dyDescent="0.2">
      <c r="Q2663" s="140">
        <v>42534</v>
      </c>
      <c r="R2663">
        <v>0</v>
      </c>
      <c r="S2663">
        <v>14.9</v>
      </c>
    </row>
    <row r="2664" spans="17:19" customFormat="1" x14ac:dyDescent="0.2">
      <c r="Q2664" s="140">
        <v>42535</v>
      </c>
      <c r="R2664">
        <v>0</v>
      </c>
      <c r="S2664">
        <v>17</v>
      </c>
    </row>
    <row r="2665" spans="17:19" customFormat="1" x14ac:dyDescent="0.2">
      <c r="Q2665" s="140">
        <v>42536</v>
      </c>
      <c r="R2665">
        <v>0</v>
      </c>
      <c r="S2665">
        <v>19.8</v>
      </c>
    </row>
    <row r="2666" spans="17:19" customFormat="1" x14ac:dyDescent="0.2">
      <c r="Q2666" s="140">
        <v>42537</v>
      </c>
      <c r="R2666">
        <v>0</v>
      </c>
      <c r="S2666">
        <v>16</v>
      </c>
    </row>
    <row r="2667" spans="17:19" customFormat="1" x14ac:dyDescent="0.2">
      <c r="Q2667" s="140">
        <v>42538</v>
      </c>
      <c r="R2667">
        <v>0</v>
      </c>
      <c r="S2667">
        <v>11.4</v>
      </c>
    </row>
    <row r="2668" spans="17:19" customFormat="1" x14ac:dyDescent="0.2">
      <c r="Q2668" s="140">
        <v>42539</v>
      </c>
      <c r="R2668">
        <v>0.4</v>
      </c>
      <c r="S2668">
        <v>12.1</v>
      </c>
    </row>
    <row r="2669" spans="17:19" customFormat="1" x14ac:dyDescent="0.2">
      <c r="Q2669" s="140">
        <v>42540</v>
      </c>
      <c r="R2669">
        <v>0.3</v>
      </c>
      <c r="S2669">
        <v>15.1</v>
      </c>
    </row>
    <row r="2670" spans="17:19" customFormat="1" x14ac:dyDescent="0.2">
      <c r="Q2670" s="140">
        <v>42541</v>
      </c>
      <c r="R2670">
        <v>0</v>
      </c>
      <c r="S2670">
        <v>19</v>
      </c>
    </row>
    <row r="2671" spans="17:19" customFormat="1" x14ac:dyDescent="0.2">
      <c r="Q2671" s="140">
        <v>42542</v>
      </c>
      <c r="R2671">
        <v>0</v>
      </c>
      <c r="S2671">
        <v>14.1</v>
      </c>
    </row>
    <row r="2672" spans="17:19" customFormat="1" x14ac:dyDescent="0.2">
      <c r="Q2672" s="140">
        <v>42543</v>
      </c>
      <c r="R2672">
        <v>0</v>
      </c>
      <c r="S2672">
        <v>17.899999999999999</v>
      </c>
    </row>
    <row r="2673" spans="17:19" customFormat="1" x14ac:dyDescent="0.2">
      <c r="Q2673" s="140">
        <v>42544</v>
      </c>
      <c r="R2673">
        <v>0</v>
      </c>
      <c r="S2673">
        <v>19</v>
      </c>
    </row>
    <row r="2674" spans="17:19" customFormat="1" x14ac:dyDescent="0.2">
      <c r="Q2674" s="140">
        <v>42545</v>
      </c>
      <c r="R2674">
        <v>0.2</v>
      </c>
      <c r="S2674">
        <v>11.7</v>
      </c>
    </row>
    <row r="2675" spans="17:19" customFormat="1" x14ac:dyDescent="0.2">
      <c r="Q2675" s="140">
        <v>42546</v>
      </c>
      <c r="R2675">
        <v>0</v>
      </c>
      <c r="S2675">
        <v>18.3</v>
      </c>
    </row>
    <row r="2676" spans="17:19" customFormat="1" x14ac:dyDescent="0.2">
      <c r="Q2676" s="140">
        <v>42547</v>
      </c>
      <c r="R2676">
        <v>0</v>
      </c>
      <c r="S2676">
        <v>16</v>
      </c>
    </row>
    <row r="2677" spans="17:19" customFormat="1" x14ac:dyDescent="0.2">
      <c r="Q2677" s="140">
        <v>42548</v>
      </c>
      <c r="R2677">
        <v>0</v>
      </c>
      <c r="S2677">
        <v>15.8</v>
      </c>
    </row>
    <row r="2678" spans="17:19" customFormat="1" x14ac:dyDescent="0.2">
      <c r="Q2678" s="140">
        <v>42549</v>
      </c>
      <c r="R2678">
        <v>0</v>
      </c>
      <c r="S2678">
        <v>9.1</v>
      </c>
    </row>
    <row r="2679" spans="17:19" customFormat="1" x14ac:dyDescent="0.2">
      <c r="Q2679" s="140">
        <v>42550</v>
      </c>
      <c r="R2679">
        <v>2.1</v>
      </c>
      <c r="S2679">
        <v>5.4</v>
      </c>
    </row>
    <row r="2680" spans="17:19" customFormat="1" x14ac:dyDescent="0.2">
      <c r="Q2680" s="140">
        <v>42551</v>
      </c>
      <c r="R2680">
        <v>1.5</v>
      </c>
      <c r="S2680">
        <v>6.6</v>
      </c>
    </row>
    <row r="2681" spans="17:19" customFormat="1" x14ac:dyDescent="0.2">
      <c r="Q2681" s="140">
        <v>42552</v>
      </c>
      <c r="R2681">
        <v>0.1</v>
      </c>
      <c r="S2681">
        <v>7.9</v>
      </c>
    </row>
    <row r="2682" spans="17:19" customFormat="1" x14ac:dyDescent="0.2">
      <c r="Q2682" s="140">
        <v>42553</v>
      </c>
      <c r="R2682">
        <v>1.4</v>
      </c>
      <c r="S2682">
        <v>1.1000000000000001</v>
      </c>
    </row>
    <row r="2683" spans="17:19" customFormat="1" x14ac:dyDescent="0.2">
      <c r="Q2683" s="140">
        <v>42554</v>
      </c>
      <c r="R2683">
        <v>2.2999999999999998</v>
      </c>
      <c r="S2683">
        <v>0.9</v>
      </c>
    </row>
    <row r="2684" spans="17:19" customFormat="1" x14ac:dyDescent="0.2">
      <c r="Q2684" s="140">
        <v>42555</v>
      </c>
      <c r="R2684">
        <v>0</v>
      </c>
      <c r="S2684">
        <v>7</v>
      </c>
    </row>
    <row r="2685" spans="17:19" customFormat="1" x14ac:dyDescent="0.2">
      <c r="Q2685" s="140">
        <v>42556</v>
      </c>
      <c r="R2685">
        <v>0</v>
      </c>
      <c r="S2685">
        <v>12.8</v>
      </c>
    </row>
    <row r="2686" spans="17:19" customFormat="1" x14ac:dyDescent="0.2">
      <c r="Q2686" s="140">
        <v>42557</v>
      </c>
      <c r="R2686">
        <v>0</v>
      </c>
      <c r="S2686">
        <v>10.8</v>
      </c>
    </row>
    <row r="2687" spans="17:19" customFormat="1" x14ac:dyDescent="0.2">
      <c r="Q2687" s="140">
        <v>42558</v>
      </c>
      <c r="R2687">
        <v>0</v>
      </c>
      <c r="S2687">
        <v>10.199999999999999</v>
      </c>
    </row>
    <row r="2688" spans="17:19" customFormat="1" x14ac:dyDescent="0.2">
      <c r="Q2688" s="140">
        <v>42559</v>
      </c>
      <c r="R2688">
        <v>0</v>
      </c>
      <c r="S2688">
        <v>13.9</v>
      </c>
    </row>
    <row r="2689" spans="17:19" customFormat="1" x14ac:dyDescent="0.2">
      <c r="Q2689" s="140">
        <v>42560</v>
      </c>
      <c r="R2689">
        <v>0.1</v>
      </c>
      <c r="S2689">
        <v>9.6999999999999993</v>
      </c>
    </row>
    <row r="2690" spans="17:19" customFormat="1" x14ac:dyDescent="0.2">
      <c r="Q2690" s="140">
        <v>42561</v>
      </c>
      <c r="R2690">
        <v>0</v>
      </c>
      <c r="S2690">
        <v>12</v>
      </c>
    </row>
    <row r="2691" spans="17:19" customFormat="1" x14ac:dyDescent="0.2">
      <c r="Q2691" s="140">
        <v>42562</v>
      </c>
      <c r="R2691">
        <v>0</v>
      </c>
      <c r="S2691">
        <v>17.2</v>
      </c>
    </row>
    <row r="2692" spans="17:19" customFormat="1" x14ac:dyDescent="0.2">
      <c r="Q2692" s="140">
        <v>42563</v>
      </c>
      <c r="R2692">
        <v>0</v>
      </c>
      <c r="S2692">
        <v>15.6</v>
      </c>
    </row>
    <row r="2693" spans="17:19" customFormat="1" x14ac:dyDescent="0.2">
      <c r="Q2693" s="140">
        <v>42564</v>
      </c>
      <c r="R2693">
        <v>0</v>
      </c>
      <c r="S2693">
        <v>11.2</v>
      </c>
    </row>
    <row r="2694" spans="17:19" customFormat="1" x14ac:dyDescent="0.2">
      <c r="Q2694" s="140">
        <v>42565</v>
      </c>
      <c r="R2694">
        <v>0</v>
      </c>
      <c r="S2694">
        <v>13.1</v>
      </c>
    </row>
    <row r="2695" spans="17:19" customFormat="1" x14ac:dyDescent="0.2">
      <c r="Q2695" s="140">
        <v>42566</v>
      </c>
      <c r="R2695">
        <v>0</v>
      </c>
      <c r="S2695">
        <v>9.9</v>
      </c>
    </row>
    <row r="2696" spans="17:19" customFormat="1" x14ac:dyDescent="0.2">
      <c r="Q2696" s="140">
        <v>42567</v>
      </c>
      <c r="R2696">
        <v>0.1</v>
      </c>
      <c r="S2696">
        <v>8.9</v>
      </c>
    </row>
    <row r="2697" spans="17:19" customFormat="1" x14ac:dyDescent="0.2">
      <c r="Q2697" s="140">
        <v>42568</v>
      </c>
      <c r="R2697">
        <v>0</v>
      </c>
      <c r="S2697">
        <v>14.9</v>
      </c>
    </row>
    <row r="2698" spans="17:19" customFormat="1" x14ac:dyDescent="0.2">
      <c r="Q2698" s="140">
        <v>42569</v>
      </c>
      <c r="R2698">
        <v>0</v>
      </c>
      <c r="S2698">
        <v>17</v>
      </c>
    </row>
    <row r="2699" spans="17:19" customFormat="1" x14ac:dyDescent="0.2">
      <c r="Q2699" s="140">
        <v>42570</v>
      </c>
      <c r="R2699">
        <v>0</v>
      </c>
      <c r="S2699">
        <v>14.1</v>
      </c>
    </row>
    <row r="2700" spans="17:19" customFormat="1" x14ac:dyDescent="0.2">
      <c r="Q2700" s="140">
        <v>42571</v>
      </c>
      <c r="R2700">
        <v>0</v>
      </c>
      <c r="S2700">
        <v>12.5</v>
      </c>
    </row>
    <row r="2701" spans="17:19" customFormat="1" x14ac:dyDescent="0.2">
      <c r="Q2701" s="140">
        <v>42572</v>
      </c>
      <c r="R2701">
        <v>0</v>
      </c>
      <c r="S2701">
        <v>20.3</v>
      </c>
    </row>
    <row r="2702" spans="17:19" customFormat="1" x14ac:dyDescent="0.2">
      <c r="Q2702" s="140">
        <v>42573</v>
      </c>
      <c r="R2702">
        <v>0</v>
      </c>
      <c r="S2702">
        <v>14.9</v>
      </c>
    </row>
    <row r="2703" spans="17:19" customFormat="1" x14ac:dyDescent="0.2">
      <c r="Q2703" s="140">
        <v>42574</v>
      </c>
      <c r="R2703">
        <v>0</v>
      </c>
      <c r="S2703">
        <v>18.600000000000001</v>
      </c>
    </row>
    <row r="2704" spans="17:19" customFormat="1" x14ac:dyDescent="0.2">
      <c r="Q2704" s="140">
        <v>42575</v>
      </c>
      <c r="R2704">
        <v>0</v>
      </c>
      <c r="S2704">
        <v>20.6</v>
      </c>
    </row>
    <row r="2705" spans="17:19" customFormat="1" x14ac:dyDescent="0.2">
      <c r="Q2705" s="140">
        <v>42576</v>
      </c>
      <c r="R2705">
        <v>0</v>
      </c>
      <c r="S2705">
        <v>13.3</v>
      </c>
    </row>
    <row r="2706" spans="17:19" customFormat="1" x14ac:dyDescent="0.2">
      <c r="Q2706" s="140">
        <v>42577</v>
      </c>
      <c r="R2706">
        <v>0</v>
      </c>
      <c r="S2706">
        <v>14.4</v>
      </c>
    </row>
    <row r="2707" spans="17:19" customFormat="1" x14ac:dyDescent="0.2">
      <c r="Q2707" s="140">
        <v>42578</v>
      </c>
      <c r="R2707">
        <v>0</v>
      </c>
      <c r="S2707">
        <v>13.9</v>
      </c>
    </row>
    <row r="2708" spans="17:19" customFormat="1" x14ac:dyDescent="0.2">
      <c r="Q2708" s="140">
        <v>42579</v>
      </c>
      <c r="R2708">
        <v>0</v>
      </c>
      <c r="S2708">
        <v>14.6</v>
      </c>
    </row>
    <row r="2709" spans="17:19" customFormat="1" x14ac:dyDescent="0.2">
      <c r="Q2709" s="140">
        <v>42580</v>
      </c>
      <c r="R2709">
        <v>0</v>
      </c>
      <c r="S2709">
        <v>10</v>
      </c>
    </row>
    <row r="2710" spans="17:19" customFormat="1" x14ac:dyDescent="0.2">
      <c r="Q2710" s="140">
        <v>42581</v>
      </c>
      <c r="R2710">
        <v>0</v>
      </c>
      <c r="S2710">
        <v>8.1</v>
      </c>
    </row>
    <row r="2711" spans="17:19" customFormat="1" x14ac:dyDescent="0.2">
      <c r="Q2711" s="140">
        <v>42582</v>
      </c>
      <c r="R2711">
        <v>0</v>
      </c>
      <c r="S2711">
        <v>10.9</v>
      </c>
    </row>
    <row r="2712" spans="17:19" customFormat="1" x14ac:dyDescent="0.2">
      <c r="Q2712" s="140">
        <v>42583</v>
      </c>
      <c r="R2712">
        <v>0</v>
      </c>
      <c r="S2712">
        <v>13.4</v>
      </c>
    </row>
    <row r="2713" spans="17:19" customFormat="1" x14ac:dyDescent="0.2">
      <c r="Q2713" s="140">
        <v>42584</v>
      </c>
      <c r="R2713">
        <v>0</v>
      </c>
      <c r="S2713">
        <v>12.5</v>
      </c>
    </row>
    <row r="2714" spans="17:19" customFormat="1" x14ac:dyDescent="0.2">
      <c r="Q2714" s="140">
        <v>42585</v>
      </c>
      <c r="R2714">
        <v>0</v>
      </c>
      <c r="S2714">
        <v>13.9</v>
      </c>
    </row>
    <row r="2715" spans="17:19" customFormat="1" x14ac:dyDescent="0.2">
      <c r="Q2715" s="140">
        <v>42586</v>
      </c>
      <c r="R2715">
        <v>0</v>
      </c>
      <c r="S2715">
        <v>15.3</v>
      </c>
    </row>
    <row r="2716" spans="17:19" customFormat="1" x14ac:dyDescent="0.2">
      <c r="Q2716" s="140">
        <v>42587</v>
      </c>
      <c r="R2716">
        <v>0</v>
      </c>
      <c r="S2716">
        <v>12.4</v>
      </c>
    </row>
    <row r="2717" spans="17:19" customFormat="1" x14ac:dyDescent="0.2">
      <c r="Q2717" s="140">
        <v>42588</v>
      </c>
      <c r="R2717">
        <v>0</v>
      </c>
      <c r="S2717">
        <v>9.1</v>
      </c>
    </row>
    <row r="2718" spans="17:19" customFormat="1" x14ac:dyDescent="0.2">
      <c r="Q2718" s="140">
        <v>42589</v>
      </c>
      <c r="R2718">
        <v>0.3</v>
      </c>
      <c r="S2718">
        <v>8.6</v>
      </c>
    </row>
    <row r="2719" spans="17:19" customFormat="1" x14ac:dyDescent="0.2">
      <c r="Q2719" s="140">
        <v>42590</v>
      </c>
      <c r="R2719">
        <v>0</v>
      </c>
      <c r="S2719">
        <v>10.199999999999999</v>
      </c>
    </row>
    <row r="2720" spans="17:19" customFormat="1" x14ac:dyDescent="0.2">
      <c r="Q2720" s="140">
        <v>42591</v>
      </c>
      <c r="R2720">
        <v>0</v>
      </c>
      <c r="S2720">
        <v>14.8</v>
      </c>
    </row>
    <row r="2721" spans="17:19" customFormat="1" x14ac:dyDescent="0.2">
      <c r="Q2721" s="140">
        <v>42592</v>
      </c>
      <c r="R2721">
        <v>0</v>
      </c>
      <c r="S2721">
        <v>15</v>
      </c>
    </row>
    <row r="2722" spans="17:19" customFormat="1" x14ac:dyDescent="0.2">
      <c r="Q2722" s="140">
        <v>42593</v>
      </c>
      <c r="R2722">
        <v>0</v>
      </c>
      <c r="S2722">
        <v>18.600000000000001</v>
      </c>
    </row>
    <row r="2723" spans="17:19" customFormat="1" x14ac:dyDescent="0.2">
      <c r="Q2723" s="140">
        <v>42594</v>
      </c>
      <c r="R2723">
        <v>0</v>
      </c>
      <c r="S2723">
        <v>16.2</v>
      </c>
    </row>
    <row r="2724" spans="17:19" customFormat="1" x14ac:dyDescent="0.2">
      <c r="Q2724" s="140">
        <v>42595</v>
      </c>
      <c r="R2724">
        <v>0</v>
      </c>
      <c r="S2724">
        <v>11.5</v>
      </c>
    </row>
    <row r="2725" spans="17:19" customFormat="1" x14ac:dyDescent="0.2">
      <c r="Q2725" s="140">
        <v>42596</v>
      </c>
      <c r="R2725">
        <v>0</v>
      </c>
      <c r="S2725">
        <v>7</v>
      </c>
    </row>
    <row r="2726" spans="17:19" customFormat="1" x14ac:dyDescent="0.2">
      <c r="Q2726" s="140">
        <v>42597</v>
      </c>
      <c r="R2726">
        <v>0</v>
      </c>
      <c r="S2726">
        <v>8.4</v>
      </c>
    </row>
    <row r="2727" spans="17:19" customFormat="1" x14ac:dyDescent="0.2">
      <c r="Q2727" s="140">
        <v>42598</v>
      </c>
      <c r="R2727">
        <v>0</v>
      </c>
      <c r="S2727">
        <v>12.6</v>
      </c>
    </row>
    <row r="2728" spans="17:19" customFormat="1" x14ac:dyDescent="0.2">
      <c r="Q2728" s="140">
        <v>42599</v>
      </c>
      <c r="R2728">
        <v>0</v>
      </c>
      <c r="S2728">
        <v>13.4</v>
      </c>
    </row>
    <row r="2729" spans="17:19" customFormat="1" x14ac:dyDescent="0.2">
      <c r="Q2729" s="140">
        <v>42600</v>
      </c>
      <c r="R2729">
        <v>0</v>
      </c>
      <c r="S2729">
        <v>15.2</v>
      </c>
    </row>
    <row r="2730" spans="17:19" customFormat="1" x14ac:dyDescent="0.2">
      <c r="Q2730" s="140">
        <v>42601</v>
      </c>
      <c r="R2730">
        <v>0</v>
      </c>
      <c r="S2730">
        <v>13.2</v>
      </c>
    </row>
    <row r="2731" spans="17:19" customFormat="1" x14ac:dyDescent="0.2">
      <c r="Q2731" s="140">
        <v>42602</v>
      </c>
      <c r="R2731">
        <v>0</v>
      </c>
      <c r="S2731">
        <v>9.5</v>
      </c>
    </row>
    <row r="2732" spans="17:19" customFormat="1" x14ac:dyDescent="0.2">
      <c r="Q2732" s="140">
        <v>42603</v>
      </c>
      <c r="R2732">
        <v>1.4</v>
      </c>
      <c r="S2732">
        <v>4.8</v>
      </c>
    </row>
    <row r="2733" spans="17:19" customFormat="1" x14ac:dyDescent="0.2">
      <c r="Q2733" s="140">
        <v>42604</v>
      </c>
      <c r="R2733">
        <v>2.2999999999999998</v>
      </c>
      <c r="S2733">
        <v>6.2</v>
      </c>
    </row>
    <row r="2734" spans="17:19" customFormat="1" x14ac:dyDescent="0.2">
      <c r="Q2734" s="140">
        <v>42605</v>
      </c>
      <c r="R2734">
        <v>0.4</v>
      </c>
      <c r="S2734">
        <v>7.3</v>
      </c>
    </row>
    <row r="2735" spans="17:19" customFormat="1" x14ac:dyDescent="0.2">
      <c r="Q2735" s="140">
        <v>42606</v>
      </c>
      <c r="R2735">
        <v>0</v>
      </c>
      <c r="S2735">
        <v>15.2</v>
      </c>
    </row>
    <row r="2736" spans="17:19" customFormat="1" x14ac:dyDescent="0.2">
      <c r="Q2736" s="140">
        <v>42607</v>
      </c>
      <c r="R2736">
        <v>0</v>
      </c>
      <c r="S2736">
        <v>13</v>
      </c>
    </row>
    <row r="2737" spans="17:19" customFormat="1" x14ac:dyDescent="0.2">
      <c r="Q2737" s="140">
        <v>42608</v>
      </c>
      <c r="R2737">
        <v>0</v>
      </c>
      <c r="S2737">
        <v>11.2</v>
      </c>
    </row>
    <row r="2738" spans="17:19" customFormat="1" x14ac:dyDescent="0.2">
      <c r="Q2738" s="140">
        <v>42609</v>
      </c>
      <c r="R2738">
        <v>0</v>
      </c>
      <c r="S2738">
        <v>14.9</v>
      </c>
    </row>
    <row r="2739" spans="17:19" customFormat="1" x14ac:dyDescent="0.2">
      <c r="Q2739" s="140">
        <v>42610</v>
      </c>
      <c r="R2739">
        <v>0</v>
      </c>
      <c r="S2739">
        <v>14.4</v>
      </c>
    </row>
    <row r="2740" spans="17:19" customFormat="1" x14ac:dyDescent="0.2">
      <c r="Q2740" s="140">
        <v>42611</v>
      </c>
      <c r="R2740">
        <v>0</v>
      </c>
      <c r="S2740">
        <v>15.7</v>
      </c>
    </row>
    <row r="2741" spans="17:19" customFormat="1" x14ac:dyDescent="0.2">
      <c r="Q2741" s="140">
        <v>42612</v>
      </c>
      <c r="R2741">
        <v>0</v>
      </c>
      <c r="S2741">
        <v>9.6999999999999993</v>
      </c>
    </row>
    <row r="2742" spans="17:19" customFormat="1" x14ac:dyDescent="0.2">
      <c r="Q2742" s="140">
        <v>42613</v>
      </c>
      <c r="R2742">
        <v>0</v>
      </c>
      <c r="S2742">
        <v>10.4</v>
      </c>
    </row>
    <row r="2743" spans="17:19" customFormat="1" x14ac:dyDescent="0.2">
      <c r="Q2743" s="140">
        <v>42614</v>
      </c>
      <c r="R2743">
        <v>1.2</v>
      </c>
      <c r="S2743">
        <v>5.3</v>
      </c>
    </row>
    <row r="2744" spans="17:19" customFormat="1" x14ac:dyDescent="0.2">
      <c r="Q2744" s="140">
        <v>42615</v>
      </c>
      <c r="R2744">
        <v>2</v>
      </c>
      <c r="S2744">
        <v>4.4000000000000004</v>
      </c>
    </row>
    <row r="2745" spans="17:19" customFormat="1" x14ac:dyDescent="0.2">
      <c r="Q2745" s="140">
        <v>42616</v>
      </c>
      <c r="R2745">
        <v>2.1</v>
      </c>
      <c r="S2745">
        <v>5.3</v>
      </c>
    </row>
    <row r="2746" spans="17:19" customFormat="1" x14ac:dyDescent="0.2">
      <c r="Q2746" s="140">
        <v>42617</v>
      </c>
      <c r="R2746">
        <v>0.8</v>
      </c>
      <c r="S2746">
        <v>8.6</v>
      </c>
    </row>
    <row r="2747" spans="17:19" customFormat="1" x14ac:dyDescent="0.2">
      <c r="Q2747" s="140">
        <v>42618</v>
      </c>
      <c r="R2747">
        <v>0</v>
      </c>
      <c r="S2747">
        <v>15.6</v>
      </c>
    </row>
    <row r="2748" spans="17:19" customFormat="1" x14ac:dyDescent="0.2">
      <c r="Q2748" s="140">
        <v>42619</v>
      </c>
      <c r="R2748">
        <v>0</v>
      </c>
      <c r="S2748">
        <v>18.600000000000001</v>
      </c>
    </row>
    <row r="2749" spans="17:19" customFormat="1" x14ac:dyDescent="0.2">
      <c r="Q2749" s="140">
        <v>42620</v>
      </c>
      <c r="R2749">
        <v>0</v>
      </c>
      <c r="S2749">
        <v>17.8</v>
      </c>
    </row>
    <row r="2750" spans="17:19" customFormat="1" x14ac:dyDescent="0.2">
      <c r="Q2750" s="140">
        <v>42621</v>
      </c>
      <c r="R2750">
        <v>0</v>
      </c>
      <c r="S2750">
        <v>10.9</v>
      </c>
    </row>
    <row r="2751" spans="17:19" customFormat="1" x14ac:dyDescent="0.2">
      <c r="Q2751" s="140">
        <v>42622</v>
      </c>
      <c r="R2751">
        <v>0</v>
      </c>
      <c r="S2751">
        <v>7.5</v>
      </c>
    </row>
    <row r="2752" spans="17:19" customFormat="1" x14ac:dyDescent="0.2">
      <c r="Q2752" s="140">
        <v>42623</v>
      </c>
      <c r="R2752">
        <v>0.8</v>
      </c>
      <c r="S2752">
        <v>5.6</v>
      </c>
    </row>
    <row r="2753" spans="17:19" customFormat="1" x14ac:dyDescent="0.2">
      <c r="Q2753" s="140">
        <v>42624</v>
      </c>
      <c r="R2753">
        <v>3.9</v>
      </c>
      <c r="S2753">
        <v>4.5</v>
      </c>
    </row>
    <row r="2754" spans="17:19" customFormat="1" x14ac:dyDescent="0.2">
      <c r="Q2754" s="140">
        <v>42625</v>
      </c>
      <c r="R2754">
        <v>2.4</v>
      </c>
      <c r="S2754">
        <v>6.4</v>
      </c>
    </row>
    <row r="2755" spans="17:19" customFormat="1" x14ac:dyDescent="0.2">
      <c r="Q2755" s="140">
        <v>42626</v>
      </c>
      <c r="R2755">
        <v>0.2</v>
      </c>
      <c r="S2755">
        <v>10.1</v>
      </c>
    </row>
    <row r="2756" spans="17:19" customFormat="1" x14ac:dyDescent="0.2">
      <c r="Q2756" s="140">
        <v>42627</v>
      </c>
      <c r="R2756">
        <v>0</v>
      </c>
      <c r="S2756">
        <v>8.6</v>
      </c>
    </row>
    <row r="2757" spans="17:19" customFormat="1" x14ac:dyDescent="0.2">
      <c r="Q2757" s="140">
        <v>42628</v>
      </c>
      <c r="R2757">
        <v>0</v>
      </c>
      <c r="S2757">
        <v>9.8000000000000007</v>
      </c>
    </row>
    <row r="2758" spans="17:19" customFormat="1" x14ac:dyDescent="0.2">
      <c r="Q2758" s="140">
        <v>42629</v>
      </c>
      <c r="R2758">
        <v>0</v>
      </c>
      <c r="S2758">
        <v>8.1999999999999993</v>
      </c>
    </row>
    <row r="2759" spans="17:19" customFormat="1" x14ac:dyDescent="0.2">
      <c r="Q2759" s="140">
        <v>42630</v>
      </c>
      <c r="R2759">
        <v>0</v>
      </c>
      <c r="S2759">
        <v>7.4</v>
      </c>
    </row>
    <row r="2760" spans="17:19" customFormat="1" x14ac:dyDescent="0.2">
      <c r="Q2760" s="140">
        <v>42631</v>
      </c>
      <c r="R2760">
        <v>0.8</v>
      </c>
      <c r="S2760">
        <v>7.6</v>
      </c>
    </row>
    <row r="2761" spans="17:19" customFormat="1" x14ac:dyDescent="0.2">
      <c r="Q2761" s="140">
        <v>42632</v>
      </c>
      <c r="R2761">
        <v>1.9</v>
      </c>
      <c r="S2761">
        <v>9.8000000000000007</v>
      </c>
    </row>
    <row r="2762" spans="17:19" customFormat="1" x14ac:dyDescent="0.2">
      <c r="Q2762" s="140">
        <v>42633</v>
      </c>
      <c r="R2762">
        <v>0</v>
      </c>
      <c r="S2762">
        <v>14.8</v>
      </c>
    </row>
    <row r="2763" spans="17:19" customFormat="1" x14ac:dyDescent="0.2">
      <c r="Q2763" s="140">
        <v>42634</v>
      </c>
      <c r="R2763">
        <v>0</v>
      </c>
      <c r="S2763">
        <v>13.7</v>
      </c>
    </row>
    <row r="2764" spans="17:19" customFormat="1" x14ac:dyDescent="0.2">
      <c r="Q2764" s="140">
        <v>42635</v>
      </c>
      <c r="R2764">
        <v>0.2</v>
      </c>
      <c r="S2764">
        <v>11.6</v>
      </c>
    </row>
    <row r="2765" spans="17:19" customFormat="1" x14ac:dyDescent="0.2">
      <c r="Q2765" s="140">
        <v>42636</v>
      </c>
      <c r="R2765">
        <v>0</v>
      </c>
      <c r="S2765">
        <v>11.4</v>
      </c>
    </row>
    <row r="2766" spans="17:19" customFormat="1" x14ac:dyDescent="0.2">
      <c r="Q2766" s="140">
        <v>42637</v>
      </c>
      <c r="R2766">
        <v>0</v>
      </c>
      <c r="S2766">
        <v>12.1</v>
      </c>
    </row>
    <row r="2767" spans="17:19" customFormat="1" x14ac:dyDescent="0.2">
      <c r="Q2767" s="140">
        <v>42638</v>
      </c>
      <c r="R2767">
        <v>0</v>
      </c>
      <c r="S2767">
        <v>13.3</v>
      </c>
    </row>
    <row r="2768" spans="17:19" customFormat="1" x14ac:dyDescent="0.2">
      <c r="Q2768" s="140">
        <v>42639</v>
      </c>
      <c r="R2768">
        <v>3.5</v>
      </c>
      <c r="S2768">
        <v>3.1</v>
      </c>
    </row>
    <row r="2769" spans="17:19" customFormat="1" x14ac:dyDescent="0.2">
      <c r="Q2769" s="140">
        <v>42640</v>
      </c>
      <c r="R2769">
        <v>5.4</v>
      </c>
      <c r="S2769">
        <v>4.0999999999999996</v>
      </c>
    </row>
    <row r="2770" spans="17:19" customFormat="1" x14ac:dyDescent="0.2">
      <c r="Q2770" s="140">
        <v>42641</v>
      </c>
      <c r="R2770">
        <v>6</v>
      </c>
      <c r="S2770">
        <v>0</v>
      </c>
    </row>
    <row r="2771" spans="17:19" customFormat="1" x14ac:dyDescent="0.2">
      <c r="Q2771" s="140">
        <v>42642</v>
      </c>
      <c r="R2771">
        <v>5.3</v>
      </c>
      <c r="S2771">
        <v>0.1</v>
      </c>
    </row>
    <row r="2772" spans="17:19" customFormat="1" x14ac:dyDescent="0.2">
      <c r="Q2772" s="140">
        <v>42643</v>
      </c>
      <c r="R2772">
        <v>3</v>
      </c>
      <c r="S2772">
        <v>0.2</v>
      </c>
    </row>
    <row r="2773" spans="17:19" customFormat="1" x14ac:dyDescent="0.2">
      <c r="Q2773" s="140">
        <v>42644</v>
      </c>
      <c r="R2773">
        <v>2.1</v>
      </c>
      <c r="S2773">
        <v>0.7</v>
      </c>
    </row>
    <row r="2774" spans="17:19" customFormat="1" x14ac:dyDescent="0.2">
      <c r="Q2774" s="140">
        <v>42645</v>
      </c>
      <c r="R2774">
        <v>4.2</v>
      </c>
      <c r="S2774">
        <v>1.1000000000000001</v>
      </c>
    </row>
    <row r="2775" spans="17:19" customFormat="1" x14ac:dyDescent="0.2">
      <c r="Q2775" s="140">
        <v>42646</v>
      </c>
      <c r="R2775">
        <v>4.7</v>
      </c>
      <c r="S2775">
        <v>2.9</v>
      </c>
    </row>
    <row r="2776" spans="17:19" customFormat="1" x14ac:dyDescent="0.2">
      <c r="Q2776" s="140">
        <v>42647</v>
      </c>
      <c r="R2776">
        <v>2.2000000000000002</v>
      </c>
      <c r="S2776">
        <v>5.5</v>
      </c>
    </row>
    <row r="2777" spans="17:19" customFormat="1" x14ac:dyDescent="0.2">
      <c r="Q2777" s="140">
        <v>42648</v>
      </c>
      <c r="R2777">
        <v>0</v>
      </c>
      <c r="S2777">
        <v>7.8</v>
      </c>
    </row>
    <row r="2778" spans="17:19" customFormat="1" x14ac:dyDescent="0.2">
      <c r="Q2778" s="140">
        <v>42649</v>
      </c>
      <c r="R2778">
        <v>0</v>
      </c>
      <c r="S2778">
        <v>9</v>
      </c>
    </row>
    <row r="2779" spans="17:19" customFormat="1" x14ac:dyDescent="0.2">
      <c r="Q2779" s="140">
        <v>42650</v>
      </c>
      <c r="R2779">
        <v>4.9000000000000004</v>
      </c>
      <c r="S2779">
        <v>0.7</v>
      </c>
    </row>
    <row r="2780" spans="17:19" customFormat="1" x14ac:dyDescent="0.2">
      <c r="Q2780" s="140">
        <v>42651</v>
      </c>
      <c r="R2780">
        <v>11</v>
      </c>
      <c r="S2780">
        <v>0.8</v>
      </c>
    </row>
    <row r="2781" spans="17:19" customFormat="1" x14ac:dyDescent="0.2">
      <c r="Q2781" s="140">
        <v>42652</v>
      </c>
      <c r="R2781">
        <v>8.4</v>
      </c>
      <c r="S2781">
        <v>3</v>
      </c>
    </row>
    <row r="2782" spans="17:19" customFormat="1" x14ac:dyDescent="0.2">
      <c r="Q2782" s="140">
        <v>42653</v>
      </c>
      <c r="R2782">
        <v>6</v>
      </c>
      <c r="S2782">
        <v>3.5</v>
      </c>
    </row>
    <row r="2783" spans="17:19" customFormat="1" x14ac:dyDescent="0.2">
      <c r="Q2783" s="140">
        <v>42654</v>
      </c>
      <c r="R2783">
        <v>2.1</v>
      </c>
      <c r="S2783">
        <v>4.5999999999999996</v>
      </c>
    </row>
    <row r="2784" spans="17:19" customFormat="1" x14ac:dyDescent="0.2">
      <c r="Q2784" s="140">
        <v>42655</v>
      </c>
      <c r="R2784">
        <v>4.7</v>
      </c>
      <c r="S2784">
        <v>0.9</v>
      </c>
    </row>
    <row r="2785" spans="17:19" customFormat="1" x14ac:dyDescent="0.2">
      <c r="Q2785" s="140">
        <v>42656</v>
      </c>
      <c r="R2785">
        <v>14.1</v>
      </c>
      <c r="S2785">
        <v>0</v>
      </c>
    </row>
    <row r="2786" spans="17:19" customFormat="1" x14ac:dyDescent="0.2">
      <c r="Q2786" s="140">
        <v>42657</v>
      </c>
      <c r="R2786">
        <v>10.1</v>
      </c>
      <c r="S2786">
        <v>1</v>
      </c>
    </row>
    <row r="2787" spans="17:19" customFormat="1" x14ac:dyDescent="0.2">
      <c r="Q2787" s="140">
        <v>42658</v>
      </c>
      <c r="R2787">
        <v>1.7</v>
      </c>
      <c r="S2787">
        <v>4.7</v>
      </c>
    </row>
    <row r="2788" spans="17:19" customFormat="1" x14ac:dyDescent="0.2">
      <c r="Q2788" s="140">
        <v>42659</v>
      </c>
      <c r="R2788">
        <v>0</v>
      </c>
      <c r="S2788">
        <v>9.3000000000000007</v>
      </c>
    </row>
    <row r="2789" spans="17:19" customFormat="1" x14ac:dyDescent="0.2">
      <c r="Q2789" s="140">
        <v>42660</v>
      </c>
      <c r="R2789">
        <v>0</v>
      </c>
      <c r="S2789">
        <v>12.6</v>
      </c>
    </row>
    <row r="2790" spans="17:19" customFormat="1" x14ac:dyDescent="0.2">
      <c r="Q2790" s="140">
        <v>42661</v>
      </c>
      <c r="R2790">
        <v>0.4</v>
      </c>
      <c r="S2790">
        <v>9.4</v>
      </c>
    </row>
    <row r="2791" spans="17:19" customFormat="1" x14ac:dyDescent="0.2">
      <c r="Q2791" s="140">
        <v>42662</v>
      </c>
      <c r="R2791">
        <v>5.2</v>
      </c>
      <c r="S2791">
        <v>0.7</v>
      </c>
    </row>
    <row r="2792" spans="17:19" customFormat="1" x14ac:dyDescent="0.2">
      <c r="Q2792" s="140">
        <v>42663</v>
      </c>
      <c r="R2792">
        <v>8.8000000000000007</v>
      </c>
      <c r="S2792">
        <v>0</v>
      </c>
    </row>
    <row r="2793" spans="17:19" customFormat="1" x14ac:dyDescent="0.2">
      <c r="Q2793" s="140">
        <v>42664</v>
      </c>
      <c r="R2793">
        <v>17.600000000000001</v>
      </c>
      <c r="S2793">
        <v>0</v>
      </c>
    </row>
    <row r="2794" spans="17:19" customFormat="1" x14ac:dyDescent="0.2">
      <c r="Q2794" s="140">
        <v>42665</v>
      </c>
      <c r="R2794">
        <v>14.2</v>
      </c>
      <c r="S2794">
        <v>0</v>
      </c>
    </row>
    <row r="2795" spans="17:19" customFormat="1" x14ac:dyDescent="0.2">
      <c r="Q2795" s="140">
        <v>42666</v>
      </c>
      <c r="R2795">
        <v>5.9</v>
      </c>
      <c r="S2795">
        <v>3.4</v>
      </c>
    </row>
    <row r="2796" spans="17:19" customFormat="1" x14ac:dyDescent="0.2">
      <c r="Q2796" s="140">
        <v>42667</v>
      </c>
      <c r="R2796">
        <v>10.7</v>
      </c>
      <c r="S2796">
        <v>0</v>
      </c>
    </row>
    <row r="2797" spans="17:19" customFormat="1" x14ac:dyDescent="0.2">
      <c r="Q2797" s="140">
        <v>42668</v>
      </c>
      <c r="R2797">
        <v>11.3</v>
      </c>
      <c r="S2797">
        <v>0</v>
      </c>
    </row>
    <row r="2798" spans="17:19" customFormat="1" x14ac:dyDescent="0.2">
      <c r="Q2798" s="140">
        <v>42669</v>
      </c>
      <c r="R2798">
        <v>7.3</v>
      </c>
      <c r="S2798">
        <v>0</v>
      </c>
    </row>
    <row r="2799" spans="17:19" customFormat="1" x14ac:dyDescent="0.2">
      <c r="Q2799" s="140">
        <v>42670</v>
      </c>
      <c r="R2799">
        <v>13.9</v>
      </c>
      <c r="S2799">
        <v>0</v>
      </c>
    </row>
    <row r="2800" spans="17:19" customFormat="1" x14ac:dyDescent="0.2">
      <c r="Q2800" s="140">
        <v>42671</v>
      </c>
      <c r="R2800">
        <v>7.9</v>
      </c>
      <c r="S2800">
        <v>1.9</v>
      </c>
    </row>
    <row r="2801" spans="17:19" customFormat="1" x14ac:dyDescent="0.2">
      <c r="Q2801" s="140">
        <v>42672</v>
      </c>
      <c r="R2801">
        <v>0</v>
      </c>
      <c r="S2801">
        <v>6.7</v>
      </c>
    </row>
    <row r="2802" spans="17:19" customFormat="1" x14ac:dyDescent="0.2">
      <c r="Q2802" s="140">
        <v>42673</v>
      </c>
      <c r="R2802">
        <v>4.2</v>
      </c>
      <c r="S2802">
        <v>0.4</v>
      </c>
    </row>
    <row r="2803" spans="17:19" customFormat="1" x14ac:dyDescent="0.2">
      <c r="Q2803" s="140">
        <v>42674</v>
      </c>
      <c r="R2803">
        <v>8.1</v>
      </c>
      <c r="S2803">
        <v>0.9</v>
      </c>
    </row>
    <row r="2804" spans="17:19" customFormat="1" x14ac:dyDescent="0.2">
      <c r="Q2804" s="140">
        <v>42675</v>
      </c>
      <c r="R2804">
        <v>0</v>
      </c>
      <c r="S2804">
        <v>7.1</v>
      </c>
    </row>
    <row r="2805" spans="17:19" customFormat="1" x14ac:dyDescent="0.2">
      <c r="Q2805" s="140">
        <v>42676</v>
      </c>
      <c r="R2805">
        <v>0.6</v>
      </c>
      <c r="S2805">
        <v>4.0999999999999996</v>
      </c>
    </row>
    <row r="2806" spans="17:19" customFormat="1" x14ac:dyDescent="0.2">
      <c r="Q2806" s="140">
        <v>42677</v>
      </c>
      <c r="R2806">
        <v>3.4</v>
      </c>
      <c r="S2806">
        <v>0.5</v>
      </c>
    </row>
    <row r="2807" spans="17:19" customFormat="1" x14ac:dyDescent="0.2">
      <c r="Q2807" s="140">
        <v>42678</v>
      </c>
      <c r="R2807">
        <v>11.7</v>
      </c>
      <c r="S2807">
        <v>0.1</v>
      </c>
    </row>
    <row r="2808" spans="17:19" customFormat="1" x14ac:dyDescent="0.2">
      <c r="Q2808" s="140">
        <v>42679</v>
      </c>
      <c r="R2808">
        <v>12.3</v>
      </c>
      <c r="S2808">
        <v>0</v>
      </c>
    </row>
    <row r="2809" spans="17:19" customFormat="1" x14ac:dyDescent="0.2">
      <c r="Q2809" s="140">
        <v>42680</v>
      </c>
      <c r="R2809">
        <v>13.1</v>
      </c>
      <c r="S2809">
        <v>0.1</v>
      </c>
    </row>
    <row r="2810" spans="17:19" customFormat="1" x14ac:dyDescent="0.2">
      <c r="Q2810" s="140">
        <v>42681</v>
      </c>
      <c r="R2810">
        <v>9.9</v>
      </c>
      <c r="S2810">
        <v>0.3</v>
      </c>
    </row>
    <row r="2811" spans="17:19" customFormat="1" x14ac:dyDescent="0.2">
      <c r="Q2811" s="140">
        <v>42682</v>
      </c>
      <c r="R2811">
        <v>8.9</v>
      </c>
      <c r="S2811">
        <v>0</v>
      </c>
    </row>
    <row r="2812" spans="17:19" customFormat="1" x14ac:dyDescent="0.2">
      <c r="Q2812" s="140">
        <v>42683</v>
      </c>
      <c r="R2812">
        <v>18.399999999999999</v>
      </c>
      <c r="S2812">
        <v>0</v>
      </c>
    </row>
    <row r="2813" spans="17:19" customFormat="1" x14ac:dyDescent="0.2">
      <c r="Q2813" s="140">
        <v>42684</v>
      </c>
      <c r="R2813">
        <v>15.8</v>
      </c>
      <c r="S2813">
        <v>0</v>
      </c>
    </row>
    <row r="2814" spans="17:19" customFormat="1" x14ac:dyDescent="0.2">
      <c r="Q2814" s="140">
        <v>42685</v>
      </c>
      <c r="R2814">
        <v>15.3</v>
      </c>
      <c r="S2814">
        <v>0</v>
      </c>
    </row>
    <row r="2815" spans="17:19" customFormat="1" x14ac:dyDescent="0.2">
      <c r="Q2815" s="140">
        <v>42686</v>
      </c>
      <c r="R2815">
        <v>24.1</v>
      </c>
      <c r="S2815">
        <v>0</v>
      </c>
    </row>
    <row r="2816" spans="17:19" customFormat="1" x14ac:dyDescent="0.2">
      <c r="Q2816" s="140">
        <v>42687</v>
      </c>
      <c r="R2816">
        <v>19.3</v>
      </c>
      <c r="S2816">
        <v>0</v>
      </c>
    </row>
    <row r="2817" spans="17:19" customFormat="1" x14ac:dyDescent="0.2">
      <c r="Q2817" s="140">
        <v>42688</v>
      </c>
      <c r="R2817">
        <v>12.6</v>
      </c>
      <c r="S2817">
        <v>0.1</v>
      </c>
    </row>
    <row r="2818" spans="17:19" customFormat="1" x14ac:dyDescent="0.2">
      <c r="Q2818" s="140">
        <v>42689</v>
      </c>
      <c r="R2818">
        <v>16.8</v>
      </c>
      <c r="S2818">
        <v>0</v>
      </c>
    </row>
    <row r="2819" spans="17:19" customFormat="1" x14ac:dyDescent="0.2">
      <c r="Q2819" s="140">
        <v>42690</v>
      </c>
      <c r="R2819">
        <v>11.7</v>
      </c>
      <c r="S2819">
        <v>0.1</v>
      </c>
    </row>
    <row r="2820" spans="17:19" customFormat="1" x14ac:dyDescent="0.2">
      <c r="Q2820" s="140">
        <v>42691</v>
      </c>
      <c r="R2820">
        <v>3.5</v>
      </c>
      <c r="S2820">
        <v>3.8</v>
      </c>
    </row>
    <row r="2821" spans="17:19" customFormat="1" x14ac:dyDescent="0.2">
      <c r="Q2821" s="140">
        <v>42692</v>
      </c>
      <c r="R2821">
        <v>8.3000000000000007</v>
      </c>
      <c r="S2821">
        <v>0.1</v>
      </c>
    </row>
    <row r="2822" spans="17:19" customFormat="1" x14ac:dyDescent="0.2">
      <c r="Q2822" s="140">
        <v>42693</v>
      </c>
      <c r="R2822">
        <v>26.6</v>
      </c>
      <c r="S2822">
        <v>0</v>
      </c>
    </row>
    <row r="2823" spans="17:19" customFormat="1" x14ac:dyDescent="0.2">
      <c r="Q2823" s="140">
        <v>42694</v>
      </c>
      <c r="R2823">
        <v>33.4</v>
      </c>
      <c r="S2823">
        <v>0</v>
      </c>
    </row>
    <row r="2824" spans="17:19" customFormat="1" x14ac:dyDescent="0.2">
      <c r="Q2824" s="140">
        <v>42695</v>
      </c>
      <c r="R2824">
        <v>29.4</v>
      </c>
      <c r="S2824">
        <v>0</v>
      </c>
    </row>
    <row r="2825" spans="17:19" customFormat="1" x14ac:dyDescent="0.2">
      <c r="Q2825" s="140">
        <v>42696</v>
      </c>
      <c r="R2825">
        <v>22.7</v>
      </c>
      <c r="S2825">
        <v>0</v>
      </c>
    </row>
    <row r="2826" spans="17:19" customFormat="1" x14ac:dyDescent="0.2">
      <c r="Q2826" s="140">
        <v>42697</v>
      </c>
      <c r="R2826">
        <v>18.2</v>
      </c>
      <c r="S2826">
        <v>0</v>
      </c>
    </row>
    <row r="2827" spans="17:19" customFormat="1" x14ac:dyDescent="0.2">
      <c r="Q2827" s="140">
        <v>42698</v>
      </c>
      <c r="R2827">
        <v>23.4</v>
      </c>
      <c r="S2827">
        <v>0</v>
      </c>
    </row>
    <row r="2828" spans="17:19" customFormat="1" x14ac:dyDescent="0.2">
      <c r="Q2828" s="140">
        <v>42699</v>
      </c>
      <c r="R2828">
        <v>22.8</v>
      </c>
      <c r="S2828">
        <v>0</v>
      </c>
    </row>
    <row r="2829" spans="17:19" customFormat="1" x14ac:dyDescent="0.2">
      <c r="Q2829" s="140">
        <v>42700</v>
      </c>
      <c r="R2829">
        <v>24</v>
      </c>
      <c r="S2829">
        <v>0</v>
      </c>
    </row>
    <row r="2830" spans="17:19" customFormat="1" x14ac:dyDescent="0.2">
      <c r="Q2830" s="140">
        <v>42701</v>
      </c>
      <c r="R2830">
        <v>23.7</v>
      </c>
      <c r="S2830">
        <v>0</v>
      </c>
    </row>
    <row r="2831" spans="17:19" customFormat="1" x14ac:dyDescent="0.2">
      <c r="Q2831" s="140">
        <v>42702</v>
      </c>
      <c r="R2831">
        <v>15.1</v>
      </c>
      <c r="S2831">
        <v>0</v>
      </c>
    </row>
    <row r="2832" spans="17:19" customFormat="1" x14ac:dyDescent="0.2">
      <c r="Q2832" s="140">
        <v>42703</v>
      </c>
      <c r="R2832">
        <v>15</v>
      </c>
      <c r="S2832">
        <v>0</v>
      </c>
    </row>
    <row r="2833" spans="17:19" customFormat="1" x14ac:dyDescent="0.2">
      <c r="Q2833" s="140">
        <v>42704</v>
      </c>
      <c r="R2833">
        <v>27.3</v>
      </c>
      <c r="S2833">
        <v>0</v>
      </c>
    </row>
    <row r="2834" spans="17:19" customFormat="1" x14ac:dyDescent="0.2">
      <c r="Q2834" s="140">
        <v>42705</v>
      </c>
      <c r="R2834">
        <v>27.2</v>
      </c>
      <c r="S2834">
        <v>0</v>
      </c>
    </row>
    <row r="2835" spans="17:19" customFormat="1" x14ac:dyDescent="0.2">
      <c r="Q2835" s="140">
        <v>42706</v>
      </c>
      <c r="R2835">
        <v>25.5</v>
      </c>
      <c r="S2835">
        <v>0</v>
      </c>
    </row>
    <row r="2836" spans="17:19" customFormat="1" x14ac:dyDescent="0.2">
      <c r="Q2836" s="140">
        <v>42707</v>
      </c>
      <c r="R2836">
        <v>27.3</v>
      </c>
      <c r="S2836">
        <v>0</v>
      </c>
    </row>
    <row r="2837" spans="17:19" customFormat="1" x14ac:dyDescent="0.2">
      <c r="Q2837" s="140">
        <v>42708</v>
      </c>
      <c r="R2837">
        <v>30.2</v>
      </c>
      <c r="S2837">
        <v>0</v>
      </c>
    </row>
    <row r="2838" spans="17:19" customFormat="1" x14ac:dyDescent="0.2">
      <c r="Q2838" s="140">
        <v>42709</v>
      </c>
      <c r="R2838">
        <v>28.8</v>
      </c>
      <c r="S2838">
        <v>0</v>
      </c>
    </row>
    <row r="2839" spans="17:19" customFormat="1" x14ac:dyDescent="0.2">
      <c r="Q2839" s="140">
        <v>42710</v>
      </c>
      <c r="R2839">
        <v>29.1</v>
      </c>
      <c r="S2839">
        <v>0</v>
      </c>
    </row>
    <row r="2840" spans="17:19" customFormat="1" x14ac:dyDescent="0.2">
      <c r="Q2840" s="140">
        <v>42711</v>
      </c>
      <c r="R2840">
        <v>33.799999999999997</v>
      </c>
      <c r="S2840">
        <v>0</v>
      </c>
    </row>
    <row r="2841" spans="17:19" customFormat="1" x14ac:dyDescent="0.2">
      <c r="Q2841" s="140">
        <v>42712</v>
      </c>
      <c r="R2841">
        <v>42.7</v>
      </c>
      <c r="S2841">
        <v>0</v>
      </c>
    </row>
    <row r="2842" spans="17:19" customFormat="1" x14ac:dyDescent="0.2">
      <c r="Q2842" s="140">
        <v>42713</v>
      </c>
      <c r="R2842">
        <v>41.1</v>
      </c>
      <c r="S2842">
        <v>0</v>
      </c>
    </row>
    <row r="2843" spans="17:19" customFormat="1" x14ac:dyDescent="0.2">
      <c r="Q2843" s="140">
        <v>42714</v>
      </c>
      <c r="R2843">
        <v>37.200000000000003</v>
      </c>
      <c r="S2843">
        <v>0</v>
      </c>
    </row>
    <row r="2844" spans="17:19" customFormat="1" x14ac:dyDescent="0.2">
      <c r="Q2844" s="140">
        <v>42715</v>
      </c>
      <c r="R2844">
        <v>26.4</v>
      </c>
      <c r="S2844">
        <v>0</v>
      </c>
    </row>
    <row r="2845" spans="17:19" customFormat="1" x14ac:dyDescent="0.2">
      <c r="Q2845" s="140">
        <v>42716</v>
      </c>
      <c r="R2845">
        <v>35.799999999999997</v>
      </c>
      <c r="S2845">
        <v>0</v>
      </c>
    </row>
    <row r="2846" spans="17:19" customFormat="1" x14ac:dyDescent="0.2">
      <c r="Q2846" s="140">
        <v>42717</v>
      </c>
      <c r="R2846">
        <v>39.799999999999997</v>
      </c>
      <c r="S2846">
        <v>0</v>
      </c>
    </row>
    <row r="2847" spans="17:19" customFormat="1" x14ac:dyDescent="0.2">
      <c r="Q2847" s="140">
        <v>42718</v>
      </c>
      <c r="R2847">
        <v>46.8</v>
      </c>
      <c r="S2847">
        <v>0</v>
      </c>
    </row>
    <row r="2848" spans="17:19" customFormat="1" x14ac:dyDescent="0.2">
      <c r="Q2848" s="140">
        <v>42719</v>
      </c>
      <c r="R2848">
        <v>50.8</v>
      </c>
      <c r="S2848">
        <v>0</v>
      </c>
    </row>
    <row r="2849" spans="17:19" customFormat="1" x14ac:dyDescent="0.2">
      <c r="Q2849" s="140">
        <v>42720</v>
      </c>
      <c r="R2849">
        <v>41.5</v>
      </c>
      <c r="S2849">
        <v>0</v>
      </c>
    </row>
    <row r="2850" spans="17:19" customFormat="1" x14ac:dyDescent="0.2">
      <c r="Q2850" s="140">
        <v>42721</v>
      </c>
      <c r="R2850">
        <v>38.700000000000003</v>
      </c>
      <c r="S2850">
        <v>0</v>
      </c>
    </row>
    <row r="2851" spans="17:19" customFormat="1" x14ac:dyDescent="0.2">
      <c r="Q2851" s="140">
        <v>42722</v>
      </c>
      <c r="R2851">
        <v>60.5</v>
      </c>
      <c r="S2851">
        <v>0</v>
      </c>
    </row>
    <row r="2852" spans="17:19" customFormat="1" x14ac:dyDescent="0.2">
      <c r="Q2852" s="140">
        <v>42723</v>
      </c>
      <c r="R2852">
        <v>55.5</v>
      </c>
      <c r="S2852">
        <v>0</v>
      </c>
    </row>
    <row r="2853" spans="17:19" customFormat="1" x14ac:dyDescent="0.2">
      <c r="Q2853" s="140">
        <v>42724</v>
      </c>
      <c r="R2853">
        <v>39.6</v>
      </c>
      <c r="S2853">
        <v>0</v>
      </c>
    </row>
    <row r="2854" spans="17:19" customFormat="1" x14ac:dyDescent="0.2">
      <c r="Q2854" s="140">
        <v>42725</v>
      </c>
      <c r="R2854">
        <v>31.8</v>
      </c>
      <c r="S2854">
        <v>0</v>
      </c>
    </row>
    <row r="2855" spans="17:19" customFormat="1" x14ac:dyDescent="0.2">
      <c r="Q2855" s="140">
        <v>42726</v>
      </c>
      <c r="R2855">
        <v>28.2</v>
      </c>
      <c r="S2855">
        <v>0</v>
      </c>
    </row>
    <row r="2856" spans="17:19" customFormat="1" x14ac:dyDescent="0.2">
      <c r="Q2856" s="140">
        <v>42727</v>
      </c>
      <c r="R2856">
        <v>28.8</v>
      </c>
      <c r="S2856">
        <v>0</v>
      </c>
    </row>
    <row r="2857" spans="17:19" customFormat="1" x14ac:dyDescent="0.2">
      <c r="Q2857" s="140">
        <v>42728</v>
      </c>
      <c r="R2857">
        <v>24.4</v>
      </c>
      <c r="S2857">
        <v>0</v>
      </c>
    </row>
    <row r="2858" spans="17:19" customFormat="1" x14ac:dyDescent="0.2">
      <c r="Q2858" s="140">
        <v>42729</v>
      </c>
      <c r="R2858">
        <v>22.2</v>
      </c>
      <c r="S2858">
        <v>0</v>
      </c>
    </row>
    <row r="2859" spans="17:19" customFormat="1" x14ac:dyDescent="0.2">
      <c r="Q2859" s="140">
        <v>42730</v>
      </c>
      <c r="R2859">
        <v>15.6</v>
      </c>
      <c r="S2859">
        <v>0</v>
      </c>
    </row>
    <row r="2860" spans="17:19" customFormat="1" x14ac:dyDescent="0.2">
      <c r="Q2860" s="140">
        <v>42731</v>
      </c>
      <c r="R2860">
        <v>30.5</v>
      </c>
      <c r="S2860">
        <v>0</v>
      </c>
    </row>
    <row r="2861" spans="17:19" customFormat="1" x14ac:dyDescent="0.2">
      <c r="Q2861" s="140">
        <v>42732</v>
      </c>
      <c r="R2861">
        <v>27.1</v>
      </c>
      <c r="S2861">
        <v>0</v>
      </c>
    </row>
    <row r="2862" spans="17:19" customFormat="1" x14ac:dyDescent="0.2">
      <c r="Q2862" s="140">
        <v>42733</v>
      </c>
      <c r="R2862">
        <v>27.3</v>
      </c>
      <c r="S2862">
        <v>0</v>
      </c>
    </row>
    <row r="2863" spans="17:19" customFormat="1" x14ac:dyDescent="0.2">
      <c r="Q2863" s="140">
        <v>42734</v>
      </c>
      <c r="R2863">
        <v>29</v>
      </c>
      <c r="S2863">
        <v>0</v>
      </c>
    </row>
    <row r="2864" spans="17:19" customFormat="1" x14ac:dyDescent="0.2">
      <c r="Q2864" s="140">
        <v>42735</v>
      </c>
      <c r="R2864">
        <v>26.1</v>
      </c>
      <c r="S2864">
        <v>0</v>
      </c>
    </row>
    <row r="2865" spans="17:19" customFormat="1" x14ac:dyDescent="0.2">
      <c r="Q2865" s="140">
        <v>42736</v>
      </c>
      <c r="R2865">
        <v>33.4</v>
      </c>
      <c r="S2865">
        <v>0</v>
      </c>
    </row>
    <row r="2866" spans="17:19" customFormat="1" x14ac:dyDescent="0.2">
      <c r="Q2866" s="140">
        <v>42737</v>
      </c>
      <c r="R2866">
        <v>22.5</v>
      </c>
      <c r="S2866">
        <v>0</v>
      </c>
    </row>
    <row r="2867" spans="17:19" customFormat="1" x14ac:dyDescent="0.2">
      <c r="Q2867" s="140">
        <v>42738</v>
      </c>
      <c r="R2867">
        <v>28.6</v>
      </c>
      <c r="S2867">
        <v>0</v>
      </c>
    </row>
    <row r="2868" spans="17:19" customFormat="1" x14ac:dyDescent="0.2">
      <c r="Q2868" s="140">
        <v>42739</v>
      </c>
      <c r="R2868">
        <v>46</v>
      </c>
      <c r="S2868">
        <v>0</v>
      </c>
    </row>
    <row r="2869" spans="17:19" customFormat="1" x14ac:dyDescent="0.2">
      <c r="Q2869" s="140">
        <v>42740</v>
      </c>
      <c r="R2869">
        <v>51.3</v>
      </c>
      <c r="S2869">
        <v>0</v>
      </c>
    </row>
    <row r="2870" spans="17:19" customFormat="1" x14ac:dyDescent="0.2">
      <c r="Q2870" s="140">
        <v>42741</v>
      </c>
      <c r="R2870">
        <v>59.5</v>
      </c>
      <c r="S2870">
        <v>0</v>
      </c>
    </row>
    <row r="2871" spans="17:19" customFormat="1" x14ac:dyDescent="0.2">
      <c r="Q2871" s="140">
        <v>42742</v>
      </c>
      <c r="R2871">
        <v>53.8</v>
      </c>
      <c r="S2871">
        <v>0</v>
      </c>
    </row>
    <row r="2872" spans="17:19" customFormat="1" x14ac:dyDescent="0.2">
      <c r="Q2872" s="140">
        <v>42743</v>
      </c>
      <c r="R2872">
        <v>50.8</v>
      </c>
      <c r="S2872">
        <v>0</v>
      </c>
    </row>
    <row r="2873" spans="17:19" customFormat="1" x14ac:dyDescent="0.2">
      <c r="Q2873" s="140">
        <v>42744</v>
      </c>
      <c r="R2873">
        <v>34.5</v>
      </c>
      <c r="S2873">
        <v>0</v>
      </c>
    </row>
    <row r="2874" spans="17:19" customFormat="1" x14ac:dyDescent="0.2">
      <c r="Q2874" s="140">
        <v>42745</v>
      </c>
      <c r="R2874">
        <v>21.2</v>
      </c>
      <c r="S2874">
        <v>0</v>
      </c>
    </row>
    <row r="2875" spans="17:19" customFormat="1" x14ac:dyDescent="0.2">
      <c r="Q2875" s="140">
        <v>42746</v>
      </c>
      <c r="R2875">
        <v>21.8</v>
      </c>
      <c r="S2875">
        <v>0</v>
      </c>
    </row>
    <row r="2876" spans="17:19" customFormat="1" x14ac:dyDescent="0.2">
      <c r="Q2876" s="140">
        <v>42747</v>
      </c>
      <c r="R2876">
        <v>34.5</v>
      </c>
      <c r="S2876">
        <v>0</v>
      </c>
    </row>
    <row r="2877" spans="17:19" customFormat="1" x14ac:dyDescent="0.2">
      <c r="Q2877" s="140">
        <v>42748</v>
      </c>
      <c r="R2877">
        <v>37.9</v>
      </c>
      <c r="S2877">
        <v>0</v>
      </c>
    </row>
    <row r="2878" spans="17:19" customFormat="1" x14ac:dyDescent="0.2">
      <c r="Q2878" s="140">
        <v>42749</v>
      </c>
      <c r="R2878">
        <v>33.6</v>
      </c>
      <c r="S2878">
        <v>0</v>
      </c>
    </row>
    <row r="2879" spans="17:19" customFormat="1" x14ac:dyDescent="0.2">
      <c r="Q2879" s="140">
        <v>42750</v>
      </c>
      <c r="R2879">
        <v>32.299999999999997</v>
      </c>
      <c r="S2879">
        <v>0</v>
      </c>
    </row>
    <row r="2880" spans="17:19" customFormat="1" x14ac:dyDescent="0.2">
      <c r="Q2880" s="140">
        <v>42751</v>
      </c>
      <c r="R2880">
        <v>21.8</v>
      </c>
      <c r="S2880">
        <v>0</v>
      </c>
    </row>
    <row r="2881" spans="17:19" customFormat="1" x14ac:dyDescent="0.2">
      <c r="Q2881" s="140">
        <v>42752</v>
      </c>
      <c r="R2881">
        <v>22.3</v>
      </c>
      <c r="S2881">
        <v>0</v>
      </c>
    </row>
    <row r="2882" spans="17:19" customFormat="1" x14ac:dyDescent="0.2">
      <c r="Q2882" s="140">
        <v>42753</v>
      </c>
      <c r="R2882">
        <v>25.5</v>
      </c>
      <c r="S2882">
        <v>0</v>
      </c>
    </row>
    <row r="2883" spans="17:19" customFormat="1" x14ac:dyDescent="0.2">
      <c r="Q2883" s="140">
        <v>42754</v>
      </c>
      <c r="R2883">
        <v>22.2</v>
      </c>
      <c r="S2883">
        <v>0</v>
      </c>
    </row>
    <row r="2884" spans="17:19" customFormat="1" x14ac:dyDescent="0.2">
      <c r="Q2884" s="140">
        <v>42755</v>
      </c>
      <c r="R2884">
        <v>17.100000000000001</v>
      </c>
      <c r="S2884">
        <v>0</v>
      </c>
    </row>
    <row r="2885" spans="17:19" customFormat="1" x14ac:dyDescent="0.2">
      <c r="Q2885" s="140">
        <v>42756</v>
      </c>
      <c r="R2885">
        <v>10.199999999999999</v>
      </c>
      <c r="S2885">
        <v>0</v>
      </c>
    </row>
    <row r="2886" spans="17:19" customFormat="1" x14ac:dyDescent="0.2">
      <c r="Q2886" s="140">
        <v>42757</v>
      </c>
      <c r="R2886">
        <v>20.8</v>
      </c>
      <c r="S2886">
        <v>0</v>
      </c>
    </row>
    <row r="2887" spans="17:19" customFormat="1" x14ac:dyDescent="0.2">
      <c r="Q2887" s="140">
        <v>42758</v>
      </c>
      <c r="R2887">
        <v>24.2</v>
      </c>
      <c r="S2887">
        <v>0</v>
      </c>
    </row>
    <row r="2888" spans="17:19" customFormat="1" x14ac:dyDescent="0.2">
      <c r="Q2888" s="140">
        <v>42759</v>
      </c>
      <c r="R2888">
        <v>24.7</v>
      </c>
      <c r="S2888">
        <v>0</v>
      </c>
    </row>
    <row r="2889" spans="17:19" customFormat="1" x14ac:dyDescent="0.2">
      <c r="Q2889" s="140">
        <v>42760</v>
      </c>
      <c r="R2889">
        <v>23.2</v>
      </c>
      <c r="S2889">
        <v>0</v>
      </c>
    </row>
    <row r="2890" spans="17:19" customFormat="1" x14ac:dyDescent="0.2">
      <c r="Q2890" s="140">
        <v>42761</v>
      </c>
      <c r="R2890">
        <v>31.9</v>
      </c>
      <c r="S2890">
        <v>0</v>
      </c>
    </row>
    <row r="2891" spans="17:19" customFormat="1" x14ac:dyDescent="0.2">
      <c r="Q2891" s="140">
        <v>42762</v>
      </c>
      <c r="R2891">
        <v>35.799999999999997</v>
      </c>
      <c r="S2891">
        <v>0</v>
      </c>
    </row>
    <row r="2892" spans="17:19" customFormat="1" x14ac:dyDescent="0.2">
      <c r="Q2892" s="140">
        <v>42763</v>
      </c>
      <c r="R2892">
        <v>31.7</v>
      </c>
      <c r="S2892">
        <v>0</v>
      </c>
    </row>
    <row r="2893" spans="17:19" customFormat="1" x14ac:dyDescent="0.2">
      <c r="Q2893" s="140">
        <v>42764</v>
      </c>
      <c r="R2893">
        <v>33.700000000000003</v>
      </c>
      <c r="S2893">
        <v>0</v>
      </c>
    </row>
    <row r="2894" spans="17:19" customFormat="1" x14ac:dyDescent="0.2">
      <c r="Q2894" s="140">
        <v>42765</v>
      </c>
      <c r="R2894">
        <v>32</v>
      </c>
      <c r="S2894">
        <v>0</v>
      </c>
    </row>
    <row r="2895" spans="17:19" customFormat="1" x14ac:dyDescent="0.2">
      <c r="Q2895" s="140">
        <v>42766</v>
      </c>
      <c r="R2895">
        <v>22.4</v>
      </c>
      <c r="S2895">
        <v>0</v>
      </c>
    </row>
    <row r="2896" spans="17:19" customFormat="1" x14ac:dyDescent="0.2">
      <c r="Q2896" s="140">
        <v>42767</v>
      </c>
      <c r="R2896">
        <v>27</v>
      </c>
      <c r="S2896">
        <v>0</v>
      </c>
    </row>
    <row r="2897" spans="17:19" customFormat="1" x14ac:dyDescent="0.2">
      <c r="Q2897" s="140">
        <v>42768</v>
      </c>
      <c r="R2897">
        <v>39.299999999999997</v>
      </c>
      <c r="S2897">
        <v>0</v>
      </c>
    </row>
    <row r="2898" spans="17:19" customFormat="1" x14ac:dyDescent="0.2">
      <c r="Q2898" s="140">
        <v>42769</v>
      </c>
      <c r="R2898">
        <v>40.200000000000003</v>
      </c>
      <c r="S2898">
        <v>0</v>
      </c>
    </row>
    <row r="2899" spans="17:19" customFormat="1" x14ac:dyDescent="0.2">
      <c r="Q2899" s="140">
        <v>42770</v>
      </c>
      <c r="R2899">
        <v>35.799999999999997</v>
      </c>
      <c r="S2899">
        <v>0</v>
      </c>
    </row>
    <row r="2900" spans="17:19" customFormat="1" x14ac:dyDescent="0.2">
      <c r="Q2900" s="140">
        <v>42771</v>
      </c>
      <c r="R2900">
        <v>28</v>
      </c>
      <c r="S2900">
        <v>0</v>
      </c>
    </row>
    <row r="2901" spans="17:19" customFormat="1" x14ac:dyDescent="0.2">
      <c r="Q2901" s="140">
        <v>42772</v>
      </c>
      <c r="R2901">
        <v>20.3</v>
      </c>
      <c r="S2901">
        <v>0</v>
      </c>
    </row>
    <row r="2902" spans="17:19" customFormat="1" x14ac:dyDescent="0.2">
      <c r="Q2902" s="140">
        <v>42773</v>
      </c>
      <c r="R2902">
        <v>12.4</v>
      </c>
      <c r="S2902">
        <v>0</v>
      </c>
    </row>
    <row r="2903" spans="17:19" customFormat="1" x14ac:dyDescent="0.2">
      <c r="Q2903" s="140">
        <v>42774</v>
      </c>
      <c r="R2903">
        <v>37</v>
      </c>
      <c r="S2903">
        <v>0</v>
      </c>
    </row>
    <row r="2904" spans="17:19" customFormat="1" x14ac:dyDescent="0.2">
      <c r="Q2904" s="140">
        <v>42775</v>
      </c>
      <c r="R2904">
        <v>46.3</v>
      </c>
      <c r="S2904">
        <v>0</v>
      </c>
    </row>
    <row r="2905" spans="17:19" customFormat="1" x14ac:dyDescent="0.2">
      <c r="Q2905" s="140">
        <v>42776</v>
      </c>
      <c r="R2905">
        <v>25.1</v>
      </c>
      <c r="S2905">
        <v>0</v>
      </c>
    </row>
    <row r="2906" spans="17:19" customFormat="1" x14ac:dyDescent="0.2">
      <c r="Q2906" s="140">
        <v>42777</v>
      </c>
      <c r="R2906">
        <v>9.6</v>
      </c>
      <c r="S2906">
        <v>0.1</v>
      </c>
    </row>
    <row r="2907" spans="17:19" customFormat="1" x14ac:dyDescent="0.2">
      <c r="Q2907" s="140">
        <v>42778</v>
      </c>
      <c r="R2907">
        <v>20.2</v>
      </c>
      <c r="S2907">
        <v>0</v>
      </c>
    </row>
    <row r="2908" spans="17:19" customFormat="1" x14ac:dyDescent="0.2">
      <c r="Q2908" s="140">
        <v>42779</v>
      </c>
      <c r="R2908">
        <v>27.4</v>
      </c>
      <c r="S2908">
        <v>0</v>
      </c>
    </row>
    <row r="2909" spans="17:19" customFormat="1" x14ac:dyDescent="0.2">
      <c r="Q2909" s="140">
        <v>42780</v>
      </c>
      <c r="R2909">
        <v>21.1</v>
      </c>
      <c r="S2909">
        <v>0</v>
      </c>
    </row>
    <row r="2910" spans="17:19" customFormat="1" x14ac:dyDescent="0.2">
      <c r="Q2910" s="140">
        <v>42781</v>
      </c>
      <c r="R2910">
        <v>28.3</v>
      </c>
      <c r="S2910">
        <v>0</v>
      </c>
    </row>
    <row r="2911" spans="17:19" customFormat="1" x14ac:dyDescent="0.2">
      <c r="Q2911" s="140">
        <v>42782</v>
      </c>
      <c r="R2911">
        <v>20.7</v>
      </c>
      <c r="S2911">
        <v>0</v>
      </c>
    </row>
    <row r="2912" spans="17:19" customFormat="1" x14ac:dyDescent="0.2">
      <c r="Q2912" s="140">
        <v>42783</v>
      </c>
      <c r="R2912">
        <v>8.6999999999999993</v>
      </c>
      <c r="S2912">
        <v>1.4</v>
      </c>
    </row>
    <row r="2913" spans="17:19" customFormat="1" x14ac:dyDescent="0.2">
      <c r="Q2913" s="140">
        <v>42784</v>
      </c>
      <c r="R2913">
        <v>9.1999999999999993</v>
      </c>
      <c r="S2913">
        <v>0.3</v>
      </c>
    </row>
    <row r="2914" spans="17:19" customFormat="1" x14ac:dyDescent="0.2">
      <c r="Q2914" s="140">
        <v>42785</v>
      </c>
      <c r="R2914">
        <v>12</v>
      </c>
      <c r="S2914">
        <v>0.6</v>
      </c>
    </row>
    <row r="2915" spans="17:19" customFormat="1" x14ac:dyDescent="0.2">
      <c r="Q2915" s="140">
        <v>42786</v>
      </c>
      <c r="R2915">
        <v>5.0999999999999996</v>
      </c>
      <c r="S2915">
        <v>2.5</v>
      </c>
    </row>
    <row r="2916" spans="17:19" customFormat="1" x14ac:dyDescent="0.2">
      <c r="Q2916" s="140">
        <v>42787</v>
      </c>
      <c r="R2916">
        <v>5.3</v>
      </c>
      <c r="S2916">
        <v>0</v>
      </c>
    </row>
    <row r="2917" spans="17:19" customFormat="1" x14ac:dyDescent="0.2">
      <c r="Q2917" s="140">
        <v>42788</v>
      </c>
      <c r="R2917">
        <v>9.4</v>
      </c>
      <c r="S2917">
        <v>0</v>
      </c>
    </row>
    <row r="2918" spans="17:19" customFormat="1" x14ac:dyDescent="0.2">
      <c r="Q2918" s="140">
        <v>42789</v>
      </c>
      <c r="R2918">
        <v>10.8</v>
      </c>
      <c r="S2918">
        <v>0</v>
      </c>
    </row>
    <row r="2919" spans="17:19" customFormat="1" x14ac:dyDescent="0.2">
      <c r="Q2919" s="140">
        <v>42790</v>
      </c>
      <c r="R2919">
        <v>12.3</v>
      </c>
      <c r="S2919">
        <v>0</v>
      </c>
    </row>
    <row r="2920" spans="17:19" customFormat="1" x14ac:dyDescent="0.2">
      <c r="Q2920" s="140">
        <v>42791</v>
      </c>
      <c r="R2920">
        <v>35</v>
      </c>
      <c r="S2920">
        <v>0</v>
      </c>
    </row>
    <row r="2921" spans="17:19" customFormat="1" x14ac:dyDescent="0.2">
      <c r="Q2921" s="140">
        <v>42792</v>
      </c>
      <c r="R2921">
        <v>28.1</v>
      </c>
      <c r="S2921">
        <v>0</v>
      </c>
    </row>
    <row r="2922" spans="17:19" customFormat="1" x14ac:dyDescent="0.2">
      <c r="Q2922" s="140">
        <v>42793</v>
      </c>
      <c r="R2922">
        <v>15.6</v>
      </c>
      <c r="S2922">
        <v>0</v>
      </c>
    </row>
    <row r="2923" spans="17:19" customFormat="1" x14ac:dyDescent="0.2">
      <c r="Q2923" s="140">
        <v>42794</v>
      </c>
      <c r="R2923">
        <v>4.5</v>
      </c>
      <c r="S2923">
        <v>1.6</v>
      </c>
    </row>
    <row r="2924" spans="17:19" customFormat="1" x14ac:dyDescent="0.2">
      <c r="Q2924" s="140">
        <v>42795</v>
      </c>
      <c r="R2924">
        <v>19.2</v>
      </c>
      <c r="S2924">
        <v>0</v>
      </c>
    </row>
    <row r="2925" spans="17:19" customFormat="1" x14ac:dyDescent="0.2">
      <c r="Q2925" s="140">
        <v>42796</v>
      </c>
      <c r="R2925">
        <v>30.3</v>
      </c>
      <c r="S2925">
        <v>0</v>
      </c>
    </row>
    <row r="2926" spans="17:19" customFormat="1" x14ac:dyDescent="0.2">
      <c r="Q2926" s="140">
        <v>42797</v>
      </c>
      <c r="R2926">
        <v>32.299999999999997</v>
      </c>
      <c r="S2926">
        <v>0</v>
      </c>
    </row>
    <row r="2927" spans="17:19" customFormat="1" x14ac:dyDescent="0.2">
      <c r="Q2927" s="140">
        <v>42798</v>
      </c>
      <c r="R2927">
        <v>17.100000000000001</v>
      </c>
      <c r="S2927">
        <v>0</v>
      </c>
    </row>
    <row r="2928" spans="17:19" customFormat="1" x14ac:dyDescent="0.2">
      <c r="Q2928" s="140">
        <v>42799</v>
      </c>
      <c r="R2928">
        <v>11.4</v>
      </c>
      <c r="S2928">
        <v>0</v>
      </c>
    </row>
    <row r="2929" spans="17:19" customFormat="1" x14ac:dyDescent="0.2">
      <c r="Q2929" s="140">
        <v>42800</v>
      </c>
      <c r="R2929">
        <v>6.1</v>
      </c>
      <c r="S2929">
        <v>0.1</v>
      </c>
    </row>
    <row r="2930" spans="17:19" customFormat="1" x14ac:dyDescent="0.2">
      <c r="Q2930" s="140">
        <v>42801</v>
      </c>
      <c r="R2930">
        <v>14.5</v>
      </c>
      <c r="S2930">
        <v>0</v>
      </c>
    </row>
    <row r="2931" spans="17:19" customFormat="1" x14ac:dyDescent="0.2">
      <c r="Q2931" s="140">
        <v>42802</v>
      </c>
      <c r="R2931">
        <v>17</v>
      </c>
      <c r="S2931">
        <v>0</v>
      </c>
    </row>
    <row r="2932" spans="17:19" customFormat="1" x14ac:dyDescent="0.2">
      <c r="Q2932" s="140">
        <v>42803</v>
      </c>
      <c r="R2932">
        <v>18.899999999999999</v>
      </c>
      <c r="S2932">
        <v>0</v>
      </c>
    </row>
    <row r="2933" spans="17:19" customFormat="1" x14ac:dyDescent="0.2">
      <c r="Q2933" s="140">
        <v>42804</v>
      </c>
      <c r="R2933">
        <v>29.8</v>
      </c>
      <c r="S2933">
        <v>0</v>
      </c>
    </row>
    <row r="2934" spans="17:19" customFormat="1" x14ac:dyDescent="0.2">
      <c r="Q2934" s="140">
        <v>42805</v>
      </c>
      <c r="R2934">
        <v>33.299999999999997</v>
      </c>
      <c r="S2934">
        <v>0</v>
      </c>
    </row>
    <row r="2935" spans="17:19" customFormat="1" x14ac:dyDescent="0.2">
      <c r="Q2935" s="140">
        <v>42806</v>
      </c>
      <c r="R2935">
        <v>29.7</v>
      </c>
      <c r="S2935">
        <v>0</v>
      </c>
    </row>
    <row r="2936" spans="17:19" customFormat="1" x14ac:dyDescent="0.2">
      <c r="Q2936" s="140">
        <v>42807</v>
      </c>
      <c r="R2936">
        <v>33.5</v>
      </c>
      <c r="S2936">
        <v>0</v>
      </c>
    </row>
    <row r="2937" spans="17:19" customFormat="1" x14ac:dyDescent="0.2">
      <c r="Q2937" s="140">
        <v>42808</v>
      </c>
      <c r="R2937">
        <v>39.1</v>
      </c>
      <c r="S2937">
        <v>0</v>
      </c>
    </row>
    <row r="2938" spans="17:19" customFormat="1" x14ac:dyDescent="0.2">
      <c r="Q2938" s="140">
        <v>42809</v>
      </c>
      <c r="R2938">
        <v>40</v>
      </c>
      <c r="S2938">
        <v>0</v>
      </c>
    </row>
    <row r="2939" spans="17:19" customFormat="1" x14ac:dyDescent="0.2">
      <c r="Q2939" s="140">
        <v>42810</v>
      </c>
      <c r="R2939">
        <v>29.3</v>
      </c>
      <c r="S2939">
        <v>0</v>
      </c>
    </row>
    <row r="2940" spans="17:19" customFormat="1" x14ac:dyDescent="0.2">
      <c r="Q2940" s="140">
        <v>42811</v>
      </c>
      <c r="R2940">
        <v>14.4</v>
      </c>
      <c r="S2940">
        <v>0.1</v>
      </c>
    </row>
    <row r="2941" spans="17:19" customFormat="1" x14ac:dyDescent="0.2">
      <c r="Q2941" s="140">
        <v>42812</v>
      </c>
      <c r="R2941">
        <v>23.2</v>
      </c>
      <c r="S2941">
        <v>0</v>
      </c>
    </row>
    <row r="2942" spans="17:19" customFormat="1" x14ac:dyDescent="0.2">
      <c r="Q2942" s="140">
        <v>42813</v>
      </c>
      <c r="R2942">
        <v>20.100000000000001</v>
      </c>
      <c r="S2942">
        <v>0</v>
      </c>
    </row>
    <row r="2943" spans="17:19" customFormat="1" x14ac:dyDescent="0.2">
      <c r="Q2943" s="140">
        <v>42814</v>
      </c>
      <c r="R2943">
        <v>8.6999999999999993</v>
      </c>
      <c r="S2943">
        <v>1.9</v>
      </c>
    </row>
    <row r="2944" spans="17:19" customFormat="1" x14ac:dyDescent="0.2">
      <c r="Q2944" s="140">
        <v>42815</v>
      </c>
      <c r="R2944">
        <v>17</v>
      </c>
      <c r="S2944">
        <v>0</v>
      </c>
    </row>
    <row r="2945" spans="17:19" customFormat="1" x14ac:dyDescent="0.2">
      <c r="Q2945" s="140">
        <v>42816</v>
      </c>
      <c r="R2945">
        <v>25.6</v>
      </c>
      <c r="S2945">
        <v>0</v>
      </c>
    </row>
    <row r="2946" spans="17:19" customFormat="1" x14ac:dyDescent="0.2">
      <c r="Q2946" s="140">
        <v>42817</v>
      </c>
      <c r="R2946">
        <v>23.3</v>
      </c>
      <c r="S2946">
        <v>0</v>
      </c>
    </row>
    <row r="2947" spans="17:19" customFormat="1" x14ac:dyDescent="0.2">
      <c r="Q2947" s="140">
        <v>42818</v>
      </c>
      <c r="R2947">
        <v>5</v>
      </c>
      <c r="S2947">
        <v>4.7</v>
      </c>
    </row>
    <row r="2948" spans="17:19" customFormat="1" x14ac:dyDescent="0.2">
      <c r="Q2948" s="140">
        <v>42819</v>
      </c>
      <c r="R2948">
        <v>3.6</v>
      </c>
      <c r="S2948">
        <v>0</v>
      </c>
    </row>
    <row r="2949" spans="17:19" customFormat="1" x14ac:dyDescent="0.2">
      <c r="Q2949" s="140">
        <v>42820</v>
      </c>
      <c r="R2949">
        <v>10.7</v>
      </c>
      <c r="S2949">
        <v>0</v>
      </c>
    </row>
    <row r="2950" spans="17:19" customFormat="1" x14ac:dyDescent="0.2">
      <c r="Q2950" s="140">
        <v>42821</v>
      </c>
      <c r="R2950">
        <v>13.1</v>
      </c>
      <c r="S2950">
        <v>0</v>
      </c>
    </row>
    <row r="2951" spans="17:19" customFormat="1" x14ac:dyDescent="0.2">
      <c r="Q2951" s="140">
        <v>42822</v>
      </c>
      <c r="R2951">
        <v>12.6</v>
      </c>
      <c r="S2951">
        <v>0</v>
      </c>
    </row>
    <row r="2952" spans="17:19" customFormat="1" x14ac:dyDescent="0.2">
      <c r="Q2952" s="140">
        <v>42823</v>
      </c>
      <c r="R2952">
        <v>14.1</v>
      </c>
      <c r="S2952">
        <v>0</v>
      </c>
    </row>
    <row r="2953" spans="17:19" customFormat="1" x14ac:dyDescent="0.2">
      <c r="Q2953" s="140">
        <v>42824</v>
      </c>
      <c r="R2953">
        <v>9</v>
      </c>
      <c r="S2953">
        <v>0</v>
      </c>
    </row>
    <row r="2954" spans="17:19" customFormat="1" x14ac:dyDescent="0.2">
      <c r="Q2954" s="140">
        <v>42825</v>
      </c>
      <c r="R2954">
        <v>20.8</v>
      </c>
      <c r="S2954">
        <v>0</v>
      </c>
    </row>
    <row r="2955" spans="17:19" customFormat="1" x14ac:dyDescent="0.2">
      <c r="Q2955" s="140">
        <v>42826</v>
      </c>
      <c r="R2955">
        <v>17.600000000000001</v>
      </c>
      <c r="S2955">
        <v>0</v>
      </c>
    </row>
    <row r="2956" spans="17:19" customFormat="1" x14ac:dyDescent="0.2">
      <c r="Q2956" s="140">
        <v>42827</v>
      </c>
      <c r="R2956">
        <v>10.6</v>
      </c>
      <c r="S2956">
        <v>0</v>
      </c>
    </row>
    <row r="2957" spans="17:19" customFormat="1" x14ac:dyDescent="0.2">
      <c r="Q2957" s="140">
        <v>42828</v>
      </c>
      <c r="R2957">
        <v>6.9</v>
      </c>
      <c r="S2957">
        <v>0</v>
      </c>
    </row>
    <row r="2958" spans="17:19" customFormat="1" x14ac:dyDescent="0.2">
      <c r="Q2958" s="140">
        <v>42829</v>
      </c>
      <c r="R2958">
        <v>9.3000000000000007</v>
      </c>
      <c r="S2958">
        <v>0</v>
      </c>
    </row>
    <row r="2959" spans="17:19" customFormat="1" x14ac:dyDescent="0.2">
      <c r="Q2959" s="140">
        <v>42830</v>
      </c>
      <c r="R2959">
        <v>17</v>
      </c>
      <c r="S2959">
        <v>0</v>
      </c>
    </row>
    <row r="2960" spans="17:19" customFormat="1" x14ac:dyDescent="0.2">
      <c r="Q2960" s="140">
        <v>42831</v>
      </c>
      <c r="R2960">
        <v>16.8</v>
      </c>
      <c r="S2960">
        <v>0</v>
      </c>
    </row>
    <row r="2961" spans="17:19" customFormat="1" x14ac:dyDescent="0.2">
      <c r="Q2961" s="140">
        <v>42832</v>
      </c>
      <c r="R2961">
        <v>16.7</v>
      </c>
      <c r="S2961">
        <v>0</v>
      </c>
    </row>
    <row r="2962" spans="17:19" customFormat="1" x14ac:dyDescent="0.2">
      <c r="Q2962" s="140">
        <v>42833</v>
      </c>
      <c r="R2962">
        <v>8.6</v>
      </c>
      <c r="S2962">
        <v>1.6</v>
      </c>
    </row>
    <row r="2963" spans="17:19" customFormat="1" x14ac:dyDescent="0.2">
      <c r="Q2963" s="140">
        <v>42834</v>
      </c>
      <c r="R2963">
        <v>1.6</v>
      </c>
      <c r="S2963">
        <v>4.3</v>
      </c>
    </row>
    <row r="2964" spans="17:19" customFormat="1" x14ac:dyDescent="0.2">
      <c r="Q2964" s="140">
        <v>42835</v>
      </c>
      <c r="R2964">
        <v>1</v>
      </c>
      <c r="S2964">
        <v>3.1</v>
      </c>
    </row>
    <row r="2965" spans="17:19" customFormat="1" x14ac:dyDescent="0.2">
      <c r="Q2965" s="140">
        <v>42836</v>
      </c>
      <c r="R2965">
        <v>12.7</v>
      </c>
      <c r="S2965">
        <v>0</v>
      </c>
    </row>
    <row r="2966" spans="17:19" customFormat="1" x14ac:dyDescent="0.2">
      <c r="Q2966" s="140">
        <v>42837</v>
      </c>
      <c r="R2966">
        <v>9.5</v>
      </c>
      <c r="S2966">
        <v>0.9</v>
      </c>
    </row>
    <row r="2967" spans="17:19" customFormat="1" x14ac:dyDescent="0.2">
      <c r="Q2967" s="140">
        <v>42838</v>
      </c>
      <c r="R2967">
        <v>3.6</v>
      </c>
      <c r="S2967">
        <v>6.4</v>
      </c>
    </row>
    <row r="2968" spans="17:19" customFormat="1" x14ac:dyDescent="0.2">
      <c r="Q2968" s="140">
        <v>42839</v>
      </c>
      <c r="R2968">
        <v>1.9</v>
      </c>
      <c r="S2968">
        <v>6.1</v>
      </c>
    </row>
    <row r="2969" spans="17:19" customFormat="1" x14ac:dyDescent="0.2">
      <c r="Q2969" s="140">
        <v>42840</v>
      </c>
      <c r="R2969">
        <v>0</v>
      </c>
      <c r="S2969">
        <v>9.6</v>
      </c>
    </row>
    <row r="2970" spans="17:19" customFormat="1" x14ac:dyDescent="0.2">
      <c r="Q2970" s="140">
        <v>42841</v>
      </c>
      <c r="R2970">
        <v>2</v>
      </c>
      <c r="S2970">
        <v>1.8</v>
      </c>
    </row>
    <row r="2971" spans="17:19" customFormat="1" x14ac:dyDescent="0.2">
      <c r="Q2971" s="140">
        <v>42842</v>
      </c>
      <c r="R2971">
        <v>4</v>
      </c>
      <c r="S2971">
        <v>1.7</v>
      </c>
    </row>
    <row r="2972" spans="17:19" customFormat="1" x14ac:dyDescent="0.2">
      <c r="Q2972" s="140">
        <v>42843</v>
      </c>
      <c r="R2972">
        <v>4.7</v>
      </c>
      <c r="S2972">
        <v>4.7</v>
      </c>
    </row>
    <row r="2973" spans="17:19" customFormat="1" x14ac:dyDescent="0.2">
      <c r="Q2973" s="140">
        <v>42844</v>
      </c>
      <c r="R2973">
        <v>0.1</v>
      </c>
      <c r="S2973">
        <v>8.3000000000000007</v>
      </c>
    </row>
    <row r="2974" spans="17:19" customFormat="1" x14ac:dyDescent="0.2">
      <c r="Q2974" s="140">
        <v>42845</v>
      </c>
      <c r="R2974">
        <v>1.4</v>
      </c>
      <c r="S2974">
        <v>5.9</v>
      </c>
    </row>
    <row r="2975" spans="17:19" customFormat="1" x14ac:dyDescent="0.2">
      <c r="Q2975" s="140">
        <v>42846</v>
      </c>
      <c r="R2975">
        <v>12.1</v>
      </c>
      <c r="S2975">
        <v>0</v>
      </c>
    </row>
    <row r="2976" spans="17:19" customFormat="1" x14ac:dyDescent="0.2">
      <c r="Q2976" s="140">
        <v>42847</v>
      </c>
      <c r="R2976">
        <v>11.2</v>
      </c>
      <c r="S2976">
        <v>0</v>
      </c>
    </row>
    <row r="2977" spans="17:19" customFormat="1" x14ac:dyDescent="0.2">
      <c r="Q2977" s="140">
        <v>42848</v>
      </c>
      <c r="R2977">
        <v>10.6</v>
      </c>
      <c r="S2977">
        <v>2</v>
      </c>
    </row>
    <row r="2978" spans="17:19" customFormat="1" x14ac:dyDescent="0.2">
      <c r="Q2978" s="140">
        <v>42849</v>
      </c>
      <c r="R2978">
        <v>6.4</v>
      </c>
      <c r="S2978">
        <v>4</v>
      </c>
    </row>
    <row r="2979" spans="17:19" customFormat="1" x14ac:dyDescent="0.2">
      <c r="Q2979" s="140">
        <v>42850</v>
      </c>
      <c r="R2979">
        <v>2.9</v>
      </c>
      <c r="S2979">
        <v>7</v>
      </c>
    </row>
    <row r="2980" spans="17:19" customFormat="1" x14ac:dyDescent="0.2">
      <c r="Q2980" s="140">
        <v>42851</v>
      </c>
      <c r="R2980">
        <v>1</v>
      </c>
      <c r="S2980">
        <v>1.8</v>
      </c>
    </row>
    <row r="2981" spans="17:19" customFormat="1" x14ac:dyDescent="0.2">
      <c r="Q2981" s="140">
        <v>42852</v>
      </c>
      <c r="R2981">
        <v>14.5</v>
      </c>
      <c r="S2981">
        <v>0</v>
      </c>
    </row>
    <row r="2982" spans="17:19" customFormat="1" x14ac:dyDescent="0.2">
      <c r="Q2982" s="140">
        <v>42853</v>
      </c>
      <c r="R2982">
        <v>9.8000000000000007</v>
      </c>
      <c r="S2982">
        <v>0</v>
      </c>
    </row>
    <row r="2983" spans="17:19" customFormat="1" x14ac:dyDescent="0.2">
      <c r="Q2983" s="140">
        <v>42854</v>
      </c>
      <c r="R2983">
        <v>13.6</v>
      </c>
      <c r="S2983">
        <v>0</v>
      </c>
    </row>
    <row r="2984" spans="17:19" customFormat="1" x14ac:dyDescent="0.2">
      <c r="Q2984" s="140">
        <v>42855</v>
      </c>
      <c r="R2984">
        <v>6.8</v>
      </c>
      <c r="S2984">
        <v>1.1000000000000001</v>
      </c>
    </row>
    <row r="2985" spans="17:19" customFormat="1" x14ac:dyDescent="0.2">
      <c r="Q2985" s="140">
        <v>42856</v>
      </c>
      <c r="R2985">
        <v>13.3</v>
      </c>
      <c r="S2985">
        <v>0</v>
      </c>
    </row>
    <row r="2986" spans="17:19" customFormat="1" x14ac:dyDescent="0.2">
      <c r="Q2986" s="140">
        <v>42857</v>
      </c>
      <c r="R2986">
        <v>11.6</v>
      </c>
      <c r="S2986">
        <v>0</v>
      </c>
    </row>
    <row r="2987" spans="17:19" customFormat="1" x14ac:dyDescent="0.2">
      <c r="Q2987" s="140">
        <v>42858</v>
      </c>
      <c r="R2987">
        <v>17.399999999999999</v>
      </c>
      <c r="S2987">
        <v>0</v>
      </c>
    </row>
    <row r="2988" spans="17:19" customFormat="1" x14ac:dyDescent="0.2">
      <c r="Q2988" s="140">
        <v>42859</v>
      </c>
      <c r="R2988">
        <v>15.3</v>
      </c>
      <c r="S2988">
        <v>0</v>
      </c>
    </row>
    <row r="2989" spans="17:19" customFormat="1" x14ac:dyDescent="0.2">
      <c r="Q2989" s="140">
        <v>42860</v>
      </c>
      <c r="R2989">
        <v>10.5</v>
      </c>
      <c r="S2989">
        <v>0.2</v>
      </c>
    </row>
    <row r="2990" spans="17:19" customFormat="1" x14ac:dyDescent="0.2">
      <c r="Q2990" s="140">
        <v>42861</v>
      </c>
      <c r="R2990">
        <v>8.1999999999999993</v>
      </c>
      <c r="S2990">
        <v>0.1</v>
      </c>
    </row>
    <row r="2991" spans="17:19" customFormat="1" x14ac:dyDescent="0.2">
      <c r="Q2991" s="140">
        <v>42862</v>
      </c>
      <c r="R2991">
        <v>8.4</v>
      </c>
      <c r="S2991">
        <v>1.3</v>
      </c>
    </row>
    <row r="2992" spans="17:19" customFormat="1" x14ac:dyDescent="0.2">
      <c r="Q2992" s="140">
        <v>42863</v>
      </c>
      <c r="R2992">
        <v>5.5</v>
      </c>
      <c r="S2992">
        <v>2.2000000000000002</v>
      </c>
    </row>
    <row r="2993" spans="17:19" customFormat="1" x14ac:dyDescent="0.2">
      <c r="Q2993" s="140">
        <v>42864</v>
      </c>
      <c r="R2993">
        <v>0.4</v>
      </c>
      <c r="S2993">
        <v>10.199999999999999</v>
      </c>
    </row>
    <row r="2994" spans="17:19" customFormat="1" x14ac:dyDescent="0.2">
      <c r="Q2994" s="140">
        <v>42865</v>
      </c>
      <c r="R2994">
        <v>1.6</v>
      </c>
      <c r="S2994">
        <v>6.5</v>
      </c>
    </row>
    <row r="2995" spans="17:19" customFormat="1" x14ac:dyDescent="0.2">
      <c r="Q2995" s="140">
        <v>42866</v>
      </c>
      <c r="R2995">
        <v>2.6</v>
      </c>
      <c r="S2995">
        <v>0.1</v>
      </c>
    </row>
    <row r="2996" spans="17:19" customFormat="1" x14ac:dyDescent="0.2">
      <c r="Q2996" s="140">
        <v>42867</v>
      </c>
      <c r="R2996">
        <v>4.7</v>
      </c>
      <c r="S2996">
        <v>2.5</v>
      </c>
    </row>
    <row r="2997" spans="17:19" customFormat="1" x14ac:dyDescent="0.2">
      <c r="Q2997" s="140">
        <v>42868</v>
      </c>
      <c r="R2997">
        <v>3.7</v>
      </c>
      <c r="S2997">
        <v>6.6</v>
      </c>
    </row>
    <row r="2998" spans="17:19" customFormat="1" x14ac:dyDescent="0.2">
      <c r="Q2998" s="140">
        <v>42869</v>
      </c>
      <c r="R2998">
        <v>1.2</v>
      </c>
      <c r="S2998">
        <v>8.1</v>
      </c>
    </row>
    <row r="2999" spans="17:19" customFormat="1" x14ac:dyDescent="0.2">
      <c r="Q2999" s="140">
        <v>42870</v>
      </c>
      <c r="R2999">
        <v>0.6</v>
      </c>
      <c r="S2999">
        <v>10.9</v>
      </c>
    </row>
    <row r="3000" spans="17:19" customFormat="1" x14ac:dyDescent="0.2">
      <c r="Q3000" s="140">
        <v>42871</v>
      </c>
      <c r="R3000">
        <v>0</v>
      </c>
      <c r="S3000">
        <v>12.2</v>
      </c>
    </row>
    <row r="3001" spans="17:19" customFormat="1" x14ac:dyDescent="0.2">
      <c r="Q3001" s="140">
        <v>42872</v>
      </c>
      <c r="R3001">
        <v>0</v>
      </c>
      <c r="S3001">
        <v>12.4</v>
      </c>
    </row>
    <row r="3002" spans="17:19" customFormat="1" x14ac:dyDescent="0.2">
      <c r="Q3002" s="140">
        <v>42873</v>
      </c>
      <c r="R3002">
        <v>0</v>
      </c>
      <c r="S3002">
        <v>14.3</v>
      </c>
    </row>
    <row r="3003" spans="17:19" customFormat="1" x14ac:dyDescent="0.2">
      <c r="Q3003" s="140">
        <v>42874</v>
      </c>
      <c r="R3003">
        <v>9</v>
      </c>
      <c r="S3003">
        <v>0.3</v>
      </c>
    </row>
    <row r="3004" spans="17:19" customFormat="1" x14ac:dyDescent="0.2">
      <c r="Q3004" s="140">
        <v>42875</v>
      </c>
      <c r="R3004">
        <v>3.6</v>
      </c>
      <c r="S3004">
        <v>3.8</v>
      </c>
    </row>
    <row r="3005" spans="17:19" customFormat="1" x14ac:dyDescent="0.2">
      <c r="Q3005" s="140">
        <v>42876</v>
      </c>
      <c r="R3005">
        <v>5.0999999999999996</v>
      </c>
      <c r="S3005">
        <v>0.2</v>
      </c>
    </row>
    <row r="3006" spans="17:19" customFormat="1" x14ac:dyDescent="0.2">
      <c r="Q3006" s="140">
        <v>42877</v>
      </c>
      <c r="R3006">
        <v>5.7</v>
      </c>
      <c r="S3006">
        <v>2.2999999999999998</v>
      </c>
    </row>
    <row r="3007" spans="17:19" customFormat="1" x14ac:dyDescent="0.2">
      <c r="Q3007" s="140">
        <v>42878</v>
      </c>
      <c r="R3007">
        <v>5</v>
      </c>
      <c r="S3007">
        <v>0</v>
      </c>
    </row>
    <row r="3008" spans="17:19" customFormat="1" x14ac:dyDescent="0.2">
      <c r="Q3008" s="140">
        <v>42879</v>
      </c>
      <c r="R3008">
        <v>5.8</v>
      </c>
      <c r="S3008">
        <v>0.2</v>
      </c>
    </row>
    <row r="3009" spans="17:19" customFormat="1" x14ac:dyDescent="0.2">
      <c r="Q3009" s="140">
        <v>42880</v>
      </c>
      <c r="R3009">
        <v>3.7</v>
      </c>
      <c r="S3009">
        <v>2.4</v>
      </c>
    </row>
    <row r="3010" spans="17:19" customFormat="1" x14ac:dyDescent="0.2">
      <c r="Q3010" s="140">
        <v>42881</v>
      </c>
      <c r="R3010">
        <v>2</v>
      </c>
      <c r="S3010">
        <v>7.3</v>
      </c>
    </row>
    <row r="3011" spans="17:19" customFormat="1" x14ac:dyDescent="0.2">
      <c r="Q3011" s="140">
        <v>42882</v>
      </c>
      <c r="R3011">
        <v>0.6</v>
      </c>
      <c r="S3011">
        <v>6.6</v>
      </c>
    </row>
    <row r="3012" spans="17:19" customFormat="1" x14ac:dyDescent="0.2">
      <c r="Q3012" s="140">
        <v>42883</v>
      </c>
      <c r="R3012">
        <v>0.7</v>
      </c>
      <c r="S3012">
        <v>6</v>
      </c>
    </row>
    <row r="3013" spans="17:19" customFormat="1" x14ac:dyDescent="0.2">
      <c r="Q3013" s="140">
        <v>42884</v>
      </c>
      <c r="R3013">
        <v>0.6</v>
      </c>
      <c r="S3013">
        <v>7.9</v>
      </c>
    </row>
    <row r="3014" spans="17:19" customFormat="1" x14ac:dyDescent="0.2">
      <c r="Q3014" s="140">
        <v>42885</v>
      </c>
      <c r="R3014">
        <v>1.9</v>
      </c>
      <c r="S3014">
        <v>6.2</v>
      </c>
    </row>
    <row r="3015" spans="17:19" customFormat="1" x14ac:dyDescent="0.2">
      <c r="Q3015" s="140">
        <v>42886</v>
      </c>
      <c r="R3015">
        <v>2.5</v>
      </c>
      <c r="S3015">
        <v>5.7</v>
      </c>
    </row>
    <row r="3016" spans="17:19" customFormat="1" x14ac:dyDescent="0.2">
      <c r="Q3016" s="140">
        <v>42887</v>
      </c>
      <c r="R3016">
        <v>3.1</v>
      </c>
      <c r="S3016">
        <v>7.7</v>
      </c>
    </row>
    <row r="3017" spans="17:19" customFormat="1" x14ac:dyDescent="0.2">
      <c r="Q3017" s="140">
        <v>42888</v>
      </c>
      <c r="R3017">
        <v>1.4</v>
      </c>
      <c r="S3017">
        <v>10.9</v>
      </c>
    </row>
    <row r="3018" spans="17:19" customFormat="1" x14ac:dyDescent="0.2">
      <c r="Q3018" s="140">
        <v>42889</v>
      </c>
      <c r="R3018">
        <v>0.3</v>
      </c>
      <c r="S3018">
        <v>14.7</v>
      </c>
    </row>
    <row r="3019" spans="17:19" customFormat="1" x14ac:dyDescent="0.2">
      <c r="Q3019" s="140">
        <v>42890</v>
      </c>
      <c r="R3019">
        <v>0</v>
      </c>
      <c r="S3019">
        <v>14.8</v>
      </c>
    </row>
    <row r="3020" spans="17:19" customFormat="1" x14ac:dyDescent="0.2">
      <c r="Q3020" s="140">
        <v>42891</v>
      </c>
      <c r="R3020">
        <v>0</v>
      </c>
      <c r="S3020">
        <v>14.6</v>
      </c>
    </row>
    <row r="3021" spans="17:19" customFormat="1" x14ac:dyDescent="0.2">
      <c r="Q3021" s="140">
        <v>42892</v>
      </c>
      <c r="R3021">
        <v>1.6</v>
      </c>
      <c r="S3021">
        <v>6.5</v>
      </c>
    </row>
    <row r="3022" spans="17:19" customFormat="1" x14ac:dyDescent="0.2">
      <c r="Q3022" s="140">
        <v>42893</v>
      </c>
      <c r="R3022">
        <v>2.2000000000000002</v>
      </c>
      <c r="S3022">
        <v>6.4</v>
      </c>
    </row>
    <row r="3023" spans="17:19" customFormat="1" x14ac:dyDescent="0.2">
      <c r="Q3023" s="140">
        <v>42894</v>
      </c>
      <c r="R3023">
        <v>2.6</v>
      </c>
      <c r="S3023">
        <v>7.7</v>
      </c>
    </row>
    <row r="3024" spans="17:19" customFormat="1" x14ac:dyDescent="0.2">
      <c r="Q3024" s="140">
        <v>42895</v>
      </c>
      <c r="R3024">
        <v>0</v>
      </c>
      <c r="S3024">
        <v>11.5</v>
      </c>
    </row>
    <row r="3025" spans="17:19" customFormat="1" x14ac:dyDescent="0.2">
      <c r="Q3025" s="140">
        <v>42896</v>
      </c>
      <c r="R3025">
        <v>0</v>
      </c>
      <c r="S3025">
        <v>13.1</v>
      </c>
    </row>
    <row r="3026" spans="17:19" customFormat="1" x14ac:dyDescent="0.2">
      <c r="Q3026" s="140">
        <v>42897</v>
      </c>
      <c r="R3026">
        <v>0</v>
      </c>
      <c r="S3026">
        <v>16.8</v>
      </c>
    </row>
    <row r="3027" spans="17:19" customFormat="1" x14ac:dyDescent="0.2">
      <c r="Q3027" s="140">
        <v>42898</v>
      </c>
      <c r="R3027">
        <v>0</v>
      </c>
      <c r="S3027">
        <v>18.8</v>
      </c>
    </row>
    <row r="3028" spans="17:19" customFormat="1" x14ac:dyDescent="0.2">
      <c r="Q3028" s="140">
        <v>42899</v>
      </c>
      <c r="R3028">
        <v>0</v>
      </c>
      <c r="S3028">
        <v>20.7</v>
      </c>
    </row>
    <row r="3029" spans="17:19" customFormat="1" x14ac:dyDescent="0.2">
      <c r="Q3029" s="140">
        <v>42900</v>
      </c>
      <c r="R3029">
        <v>0</v>
      </c>
      <c r="S3029">
        <v>14.8</v>
      </c>
    </row>
    <row r="3030" spans="17:19" customFormat="1" x14ac:dyDescent="0.2">
      <c r="Q3030" s="140">
        <v>42901</v>
      </c>
      <c r="R3030">
        <v>0</v>
      </c>
      <c r="S3030">
        <v>12.7</v>
      </c>
    </row>
    <row r="3031" spans="17:19" customFormat="1" x14ac:dyDescent="0.2">
      <c r="Q3031" s="140">
        <v>42902</v>
      </c>
      <c r="R3031">
        <v>0</v>
      </c>
      <c r="S3031">
        <v>14.2</v>
      </c>
    </row>
    <row r="3032" spans="17:19" customFormat="1" x14ac:dyDescent="0.2">
      <c r="Q3032" s="140">
        <v>42903</v>
      </c>
      <c r="R3032">
        <v>0</v>
      </c>
      <c r="S3032">
        <v>14.9</v>
      </c>
    </row>
    <row r="3033" spans="17:19" customFormat="1" x14ac:dyDescent="0.2">
      <c r="Q3033" s="140">
        <v>42904</v>
      </c>
      <c r="R3033">
        <v>0</v>
      </c>
      <c r="S3033">
        <v>9.6</v>
      </c>
    </row>
    <row r="3034" spans="17:19" customFormat="1" x14ac:dyDescent="0.2">
      <c r="Q3034" s="140">
        <v>42905</v>
      </c>
      <c r="R3034">
        <v>0.1</v>
      </c>
      <c r="S3034">
        <v>8.1</v>
      </c>
    </row>
    <row r="3035" spans="17:19" customFormat="1" x14ac:dyDescent="0.2">
      <c r="Q3035" s="140">
        <v>42906</v>
      </c>
      <c r="R3035">
        <v>0.5</v>
      </c>
      <c r="S3035">
        <v>10.3</v>
      </c>
    </row>
    <row r="3036" spans="17:19" customFormat="1" x14ac:dyDescent="0.2">
      <c r="Q3036" s="140">
        <v>42907</v>
      </c>
      <c r="R3036">
        <v>0</v>
      </c>
      <c r="S3036">
        <v>14</v>
      </c>
    </row>
    <row r="3037" spans="17:19" customFormat="1" x14ac:dyDescent="0.2">
      <c r="Q3037" s="140">
        <v>42908</v>
      </c>
      <c r="R3037">
        <v>0</v>
      </c>
      <c r="S3037">
        <v>14.5</v>
      </c>
    </row>
    <row r="3038" spans="17:19" customFormat="1" x14ac:dyDescent="0.2">
      <c r="Q3038" s="140">
        <v>42909</v>
      </c>
      <c r="R3038">
        <v>0</v>
      </c>
      <c r="S3038">
        <v>13.6</v>
      </c>
    </row>
    <row r="3039" spans="17:19" customFormat="1" x14ac:dyDescent="0.2">
      <c r="Q3039" s="140">
        <v>42910</v>
      </c>
      <c r="R3039">
        <v>1.4</v>
      </c>
      <c r="S3039">
        <v>5.0999999999999996</v>
      </c>
    </row>
    <row r="3040" spans="17:19" customFormat="1" x14ac:dyDescent="0.2">
      <c r="Q3040" s="140">
        <v>42911</v>
      </c>
      <c r="R3040">
        <v>2.2000000000000002</v>
      </c>
      <c r="S3040">
        <v>4.8</v>
      </c>
    </row>
    <row r="3041" spans="17:19" customFormat="1" x14ac:dyDescent="0.2">
      <c r="Q3041" s="140">
        <v>42912</v>
      </c>
      <c r="R3041">
        <v>4.5</v>
      </c>
      <c r="S3041">
        <v>2.2000000000000002</v>
      </c>
    </row>
    <row r="3042" spans="17:19" customFormat="1" x14ac:dyDescent="0.2">
      <c r="Q3042" s="140">
        <v>42913</v>
      </c>
      <c r="R3042">
        <v>3.5</v>
      </c>
      <c r="S3042">
        <v>5.4</v>
      </c>
    </row>
    <row r="3043" spans="17:19" customFormat="1" x14ac:dyDescent="0.2">
      <c r="Q3043" s="140">
        <v>42914</v>
      </c>
      <c r="R3043">
        <v>0</v>
      </c>
      <c r="S3043">
        <v>10.8</v>
      </c>
    </row>
    <row r="3044" spans="17:19" customFormat="1" x14ac:dyDescent="0.2">
      <c r="Q3044" s="140">
        <v>42915</v>
      </c>
      <c r="R3044">
        <v>0</v>
      </c>
      <c r="S3044">
        <v>14.7</v>
      </c>
    </row>
    <row r="3045" spans="17:19" customFormat="1" x14ac:dyDescent="0.2">
      <c r="Q3045" s="140">
        <v>42916</v>
      </c>
      <c r="R3045">
        <v>0</v>
      </c>
      <c r="S3045">
        <v>11.9</v>
      </c>
    </row>
    <row r="3046" spans="17:19" customFormat="1" x14ac:dyDescent="0.2">
      <c r="Q3046" s="140">
        <v>42917</v>
      </c>
      <c r="R3046">
        <v>0</v>
      </c>
      <c r="S3046">
        <v>10.3</v>
      </c>
    </row>
    <row r="3047" spans="17:19" customFormat="1" x14ac:dyDescent="0.2">
      <c r="Q3047" s="140">
        <v>42918</v>
      </c>
      <c r="R3047">
        <v>0.1</v>
      </c>
      <c r="S3047">
        <v>12.6</v>
      </c>
    </row>
    <row r="3048" spans="17:19" customFormat="1" x14ac:dyDescent="0.2">
      <c r="Q3048" s="140">
        <v>42919</v>
      </c>
      <c r="R3048">
        <v>0</v>
      </c>
      <c r="S3048">
        <v>16.5</v>
      </c>
    </row>
    <row r="3049" spans="17:19" customFormat="1" x14ac:dyDescent="0.2">
      <c r="Q3049" s="140">
        <v>42920</v>
      </c>
      <c r="R3049">
        <v>0</v>
      </c>
      <c r="S3049">
        <v>14.7</v>
      </c>
    </row>
    <row r="3050" spans="17:19" customFormat="1" x14ac:dyDescent="0.2">
      <c r="Q3050" s="140">
        <v>42921</v>
      </c>
      <c r="R3050">
        <v>0</v>
      </c>
      <c r="S3050">
        <v>11.9</v>
      </c>
    </row>
    <row r="3051" spans="17:19" customFormat="1" x14ac:dyDescent="0.2">
      <c r="Q3051" s="140">
        <v>42922</v>
      </c>
      <c r="R3051">
        <v>0</v>
      </c>
      <c r="S3051">
        <v>15.1</v>
      </c>
    </row>
    <row r="3052" spans="17:19" customFormat="1" x14ac:dyDescent="0.2">
      <c r="Q3052" s="140">
        <v>42923</v>
      </c>
      <c r="R3052">
        <v>0</v>
      </c>
      <c r="S3052">
        <v>16.2</v>
      </c>
    </row>
    <row r="3053" spans="17:19" customFormat="1" x14ac:dyDescent="0.2">
      <c r="Q3053" s="140">
        <v>42924</v>
      </c>
      <c r="R3053">
        <v>0.1</v>
      </c>
      <c r="S3053">
        <v>11.1</v>
      </c>
    </row>
    <row r="3054" spans="17:19" customFormat="1" x14ac:dyDescent="0.2">
      <c r="Q3054" s="140">
        <v>42925</v>
      </c>
      <c r="R3054">
        <v>0</v>
      </c>
      <c r="S3054">
        <v>14.4</v>
      </c>
    </row>
    <row r="3055" spans="17:19" customFormat="1" x14ac:dyDescent="0.2">
      <c r="Q3055" s="140">
        <v>42926</v>
      </c>
      <c r="R3055">
        <v>0</v>
      </c>
      <c r="S3055">
        <v>16.5</v>
      </c>
    </row>
    <row r="3056" spans="17:19" customFormat="1" x14ac:dyDescent="0.2">
      <c r="Q3056" s="140">
        <v>42927</v>
      </c>
      <c r="R3056">
        <v>0</v>
      </c>
      <c r="S3056">
        <v>16.399999999999999</v>
      </c>
    </row>
    <row r="3057" spans="17:19" customFormat="1" x14ac:dyDescent="0.2">
      <c r="Q3057" s="140">
        <v>42928</v>
      </c>
      <c r="R3057">
        <v>0</v>
      </c>
      <c r="S3057">
        <v>20.2</v>
      </c>
    </row>
    <row r="3058" spans="17:19" customFormat="1" x14ac:dyDescent="0.2">
      <c r="Q3058" s="140">
        <v>42929</v>
      </c>
      <c r="R3058">
        <v>0</v>
      </c>
      <c r="S3058">
        <v>16.399999999999999</v>
      </c>
    </row>
    <row r="3059" spans="17:19" customFormat="1" x14ac:dyDescent="0.2">
      <c r="Q3059" s="140">
        <v>42930</v>
      </c>
      <c r="R3059">
        <v>0</v>
      </c>
      <c r="S3059">
        <v>11.3</v>
      </c>
    </row>
    <row r="3060" spans="17:19" customFormat="1" x14ac:dyDescent="0.2">
      <c r="Q3060" s="140">
        <v>42931</v>
      </c>
      <c r="R3060">
        <v>0.5</v>
      </c>
      <c r="S3060">
        <v>8.1999999999999993</v>
      </c>
    </row>
    <row r="3061" spans="17:19" customFormat="1" x14ac:dyDescent="0.2">
      <c r="Q3061" s="140">
        <v>42932</v>
      </c>
      <c r="R3061">
        <v>0.1</v>
      </c>
      <c r="S3061">
        <v>10.7</v>
      </c>
    </row>
    <row r="3062" spans="17:19" customFormat="1" x14ac:dyDescent="0.2">
      <c r="Q3062" s="140">
        <v>42933</v>
      </c>
      <c r="R3062">
        <v>0</v>
      </c>
      <c r="S3062">
        <v>10.199999999999999</v>
      </c>
    </row>
    <row r="3063" spans="17:19" customFormat="1" x14ac:dyDescent="0.2">
      <c r="Q3063" s="140">
        <v>42934</v>
      </c>
      <c r="R3063">
        <v>0.4</v>
      </c>
      <c r="S3063">
        <v>13.3</v>
      </c>
    </row>
    <row r="3064" spans="17:19" customFormat="1" x14ac:dyDescent="0.2">
      <c r="Q3064" s="140">
        <v>42935</v>
      </c>
      <c r="R3064">
        <v>0</v>
      </c>
      <c r="S3064">
        <v>18.8</v>
      </c>
    </row>
    <row r="3065" spans="17:19" customFormat="1" x14ac:dyDescent="0.2">
      <c r="Q3065" s="140">
        <v>42936</v>
      </c>
      <c r="R3065">
        <v>0</v>
      </c>
      <c r="S3065">
        <v>20.6</v>
      </c>
    </row>
    <row r="3066" spans="17:19" customFormat="1" x14ac:dyDescent="0.2">
      <c r="Q3066" s="140">
        <v>42937</v>
      </c>
      <c r="R3066">
        <v>0</v>
      </c>
      <c r="S3066">
        <v>21.8</v>
      </c>
    </row>
    <row r="3067" spans="17:19" customFormat="1" x14ac:dyDescent="0.2">
      <c r="Q3067" s="140">
        <v>42938</v>
      </c>
      <c r="R3067">
        <v>0</v>
      </c>
      <c r="S3067">
        <v>18.8</v>
      </c>
    </row>
    <row r="3068" spans="17:19" customFormat="1" x14ac:dyDescent="0.2">
      <c r="Q3068" s="140">
        <v>42939</v>
      </c>
      <c r="R3068">
        <v>0</v>
      </c>
      <c r="S3068">
        <v>16.899999999999999</v>
      </c>
    </row>
    <row r="3069" spans="17:19" customFormat="1" x14ac:dyDescent="0.2">
      <c r="Q3069" s="140">
        <v>42940</v>
      </c>
      <c r="R3069">
        <v>0</v>
      </c>
      <c r="S3069">
        <v>10.9</v>
      </c>
    </row>
    <row r="3070" spans="17:19" customFormat="1" x14ac:dyDescent="0.2">
      <c r="Q3070" s="140">
        <v>42941</v>
      </c>
      <c r="R3070">
        <v>0.1</v>
      </c>
      <c r="S3070">
        <v>11</v>
      </c>
    </row>
    <row r="3071" spans="17:19" customFormat="1" x14ac:dyDescent="0.2">
      <c r="Q3071" s="140">
        <v>42942</v>
      </c>
      <c r="R3071">
        <v>0</v>
      </c>
      <c r="S3071">
        <v>15.5</v>
      </c>
    </row>
    <row r="3072" spans="17:19" customFormat="1" x14ac:dyDescent="0.2">
      <c r="Q3072" s="140">
        <v>42943</v>
      </c>
      <c r="R3072">
        <v>0</v>
      </c>
      <c r="S3072">
        <v>13.2</v>
      </c>
    </row>
    <row r="3073" spans="17:19" customFormat="1" x14ac:dyDescent="0.2">
      <c r="Q3073" s="140">
        <v>42944</v>
      </c>
      <c r="R3073">
        <v>0</v>
      </c>
      <c r="S3073">
        <v>10</v>
      </c>
    </row>
    <row r="3074" spans="17:19" customFormat="1" x14ac:dyDescent="0.2">
      <c r="Q3074" s="140">
        <v>42945</v>
      </c>
      <c r="R3074">
        <v>0.7</v>
      </c>
      <c r="S3074">
        <v>6.1</v>
      </c>
    </row>
    <row r="3075" spans="17:19" customFormat="1" x14ac:dyDescent="0.2">
      <c r="Q3075" s="140">
        <v>42946</v>
      </c>
      <c r="R3075">
        <v>1.4</v>
      </c>
      <c r="S3075">
        <v>8</v>
      </c>
    </row>
    <row r="3076" spans="17:19" customFormat="1" x14ac:dyDescent="0.2">
      <c r="Q3076" s="140">
        <v>42947</v>
      </c>
      <c r="R3076">
        <v>0.5</v>
      </c>
      <c r="S3076">
        <v>9.3000000000000007</v>
      </c>
    </row>
    <row r="3077" spans="17:19" customFormat="1" x14ac:dyDescent="0.2">
      <c r="Q3077" s="140">
        <v>42948</v>
      </c>
      <c r="R3077">
        <v>0</v>
      </c>
      <c r="S3077">
        <v>9.6999999999999993</v>
      </c>
    </row>
    <row r="3078" spans="17:19" customFormat="1" x14ac:dyDescent="0.2">
      <c r="Q3078" s="140">
        <v>42949</v>
      </c>
      <c r="R3078">
        <v>0.1</v>
      </c>
      <c r="S3078">
        <v>11.2</v>
      </c>
    </row>
    <row r="3079" spans="17:19" customFormat="1" x14ac:dyDescent="0.2">
      <c r="Q3079" s="140">
        <v>42950</v>
      </c>
      <c r="R3079">
        <v>0</v>
      </c>
      <c r="S3079">
        <v>12</v>
      </c>
    </row>
    <row r="3080" spans="17:19" customFormat="1" x14ac:dyDescent="0.2">
      <c r="Q3080" s="140">
        <v>42951</v>
      </c>
      <c r="R3080">
        <v>2.8</v>
      </c>
      <c r="S3080">
        <v>2.9</v>
      </c>
    </row>
    <row r="3081" spans="17:19" customFormat="1" x14ac:dyDescent="0.2">
      <c r="Q3081" s="140">
        <v>42952</v>
      </c>
      <c r="R3081">
        <v>2.8</v>
      </c>
      <c r="S3081">
        <v>6.2</v>
      </c>
    </row>
    <row r="3082" spans="17:19" customFormat="1" x14ac:dyDescent="0.2">
      <c r="Q3082" s="140">
        <v>42953</v>
      </c>
      <c r="R3082">
        <v>0</v>
      </c>
      <c r="S3082">
        <v>6.3</v>
      </c>
    </row>
    <row r="3083" spans="17:19" customFormat="1" x14ac:dyDescent="0.2">
      <c r="Q3083" s="140">
        <v>42954</v>
      </c>
      <c r="R3083">
        <v>0.2</v>
      </c>
      <c r="S3083">
        <v>5.9</v>
      </c>
    </row>
    <row r="3084" spans="17:19" customFormat="1" x14ac:dyDescent="0.2">
      <c r="Q3084" s="140">
        <v>42955</v>
      </c>
      <c r="R3084">
        <v>2.2999999999999998</v>
      </c>
      <c r="S3084">
        <v>6.5</v>
      </c>
    </row>
    <row r="3085" spans="17:19" customFormat="1" x14ac:dyDescent="0.2">
      <c r="Q3085" s="140">
        <v>42956</v>
      </c>
      <c r="R3085">
        <v>2.2999999999999998</v>
      </c>
      <c r="S3085">
        <v>7.5</v>
      </c>
    </row>
    <row r="3086" spans="17:19" customFormat="1" x14ac:dyDescent="0.2">
      <c r="Q3086" s="140">
        <v>42957</v>
      </c>
      <c r="R3086">
        <v>0.4</v>
      </c>
      <c r="S3086">
        <v>10.3</v>
      </c>
    </row>
    <row r="3087" spans="17:19" customFormat="1" x14ac:dyDescent="0.2">
      <c r="Q3087" s="140">
        <v>42958</v>
      </c>
      <c r="R3087">
        <v>0.1</v>
      </c>
      <c r="S3087">
        <v>7.4</v>
      </c>
    </row>
    <row r="3088" spans="17:19" customFormat="1" x14ac:dyDescent="0.2">
      <c r="Q3088" s="140">
        <v>42959</v>
      </c>
      <c r="R3088">
        <v>2.1</v>
      </c>
      <c r="S3088">
        <v>5.5</v>
      </c>
    </row>
    <row r="3089" spans="17:19" customFormat="1" x14ac:dyDescent="0.2">
      <c r="Q3089" s="140">
        <v>42960</v>
      </c>
      <c r="R3089">
        <v>2.6</v>
      </c>
      <c r="S3089">
        <v>5.5</v>
      </c>
    </row>
    <row r="3090" spans="17:19" customFormat="1" x14ac:dyDescent="0.2">
      <c r="Q3090" s="140">
        <v>42961</v>
      </c>
      <c r="R3090">
        <v>0.1</v>
      </c>
      <c r="S3090">
        <v>9.6999999999999993</v>
      </c>
    </row>
    <row r="3091" spans="17:19" customFormat="1" x14ac:dyDescent="0.2">
      <c r="Q3091" s="140">
        <v>42962</v>
      </c>
      <c r="R3091">
        <v>0</v>
      </c>
      <c r="S3091">
        <v>13</v>
      </c>
    </row>
    <row r="3092" spans="17:19" customFormat="1" x14ac:dyDescent="0.2">
      <c r="Q3092" s="140">
        <v>42963</v>
      </c>
      <c r="R3092">
        <v>0</v>
      </c>
      <c r="S3092">
        <v>11.9</v>
      </c>
    </row>
    <row r="3093" spans="17:19" customFormat="1" x14ac:dyDescent="0.2">
      <c r="Q3093" s="140">
        <v>42964</v>
      </c>
      <c r="R3093">
        <v>0</v>
      </c>
      <c r="S3093">
        <v>11</v>
      </c>
    </row>
    <row r="3094" spans="17:19" customFormat="1" x14ac:dyDescent="0.2">
      <c r="Q3094" s="140">
        <v>42965</v>
      </c>
      <c r="R3094">
        <v>0.3</v>
      </c>
      <c r="S3094">
        <v>9.9</v>
      </c>
    </row>
    <row r="3095" spans="17:19" customFormat="1" x14ac:dyDescent="0.2">
      <c r="Q3095" s="140">
        <v>42966</v>
      </c>
      <c r="R3095">
        <v>0</v>
      </c>
      <c r="S3095">
        <v>11.9</v>
      </c>
    </row>
    <row r="3096" spans="17:19" customFormat="1" x14ac:dyDescent="0.2">
      <c r="Q3096" s="140">
        <v>42967</v>
      </c>
      <c r="R3096">
        <v>0</v>
      </c>
      <c r="S3096">
        <v>13.8</v>
      </c>
    </row>
    <row r="3097" spans="17:19" customFormat="1" x14ac:dyDescent="0.2">
      <c r="Q3097" s="140">
        <v>42968</v>
      </c>
      <c r="R3097">
        <v>0</v>
      </c>
      <c r="S3097">
        <v>13</v>
      </c>
    </row>
    <row r="3098" spans="17:19" customFormat="1" x14ac:dyDescent="0.2">
      <c r="Q3098" s="140">
        <v>42969</v>
      </c>
      <c r="R3098">
        <v>0.1</v>
      </c>
      <c r="S3098">
        <v>8.4</v>
      </c>
    </row>
    <row r="3099" spans="17:19" customFormat="1" x14ac:dyDescent="0.2">
      <c r="Q3099" s="140">
        <v>42970</v>
      </c>
      <c r="R3099">
        <v>3</v>
      </c>
      <c r="S3099">
        <v>4.5999999999999996</v>
      </c>
    </row>
    <row r="3100" spans="17:19" customFormat="1" x14ac:dyDescent="0.2">
      <c r="Q3100" s="140">
        <v>42971</v>
      </c>
      <c r="R3100">
        <v>3.5</v>
      </c>
      <c r="S3100">
        <v>5</v>
      </c>
    </row>
    <row r="3101" spans="17:19" customFormat="1" x14ac:dyDescent="0.2">
      <c r="Q3101" s="140">
        <v>42972</v>
      </c>
      <c r="R3101">
        <v>2</v>
      </c>
      <c r="S3101">
        <v>4.3</v>
      </c>
    </row>
    <row r="3102" spans="17:19" customFormat="1" x14ac:dyDescent="0.2">
      <c r="Q3102" s="140">
        <v>42973</v>
      </c>
      <c r="R3102">
        <v>2</v>
      </c>
      <c r="S3102">
        <v>6.8</v>
      </c>
    </row>
    <row r="3103" spans="17:19" customFormat="1" x14ac:dyDescent="0.2">
      <c r="Q3103" s="140">
        <v>42974</v>
      </c>
      <c r="R3103">
        <v>0.6</v>
      </c>
      <c r="S3103">
        <v>7.5</v>
      </c>
    </row>
    <row r="3104" spans="17:19" customFormat="1" x14ac:dyDescent="0.2">
      <c r="Q3104" s="140">
        <v>42975</v>
      </c>
      <c r="R3104">
        <v>0.7</v>
      </c>
      <c r="S3104">
        <v>5.3</v>
      </c>
    </row>
    <row r="3105" spans="17:19" customFormat="1" x14ac:dyDescent="0.2">
      <c r="Q3105" s="140">
        <v>42976</v>
      </c>
      <c r="R3105">
        <v>1.9</v>
      </c>
      <c r="S3105">
        <v>5.0999999999999996</v>
      </c>
    </row>
    <row r="3106" spans="17:19" customFormat="1" x14ac:dyDescent="0.2">
      <c r="Q3106" s="140">
        <v>42977</v>
      </c>
      <c r="R3106">
        <v>1.5</v>
      </c>
      <c r="S3106">
        <v>6.7</v>
      </c>
    </row>
    <row r="3107" spans="17:19" customFormat="1" x14ac:dyDescent="0.2">
      <c r="Q3107" s="140">
        <v>42978</v>
      </c>
      <c r="R3107">
        <v>1.9</v>
      </c>
      <c r="S3107">
        <v>4.7</v>
      </c>
    </row>
    <row r="3108" spans="17:19" customFormat="1" x14ac:dyDescent="0.2">
      <c r="Q3108" s="140">
        <v>42979</v>
      </c>
      <c r="R3108">
        <v>3.4</v>
      </c>
      <c r="S3108">
        <v>2.1</v>
      </c>
    </row>
    <row r="3109" spans="17:19" customFormat="1" x14ac:dyDescent="0.2">
      <c r="Q3109" s="140">
        <v>42980</v>
      </c>
      <c r="R3109">
        <v>6.5</v>
      </c>
      <c r="S3109">
        <v>3.5</v>
      </c>
    </row>
    <row r="3110" spans="17:19" customFormat="1" x14ac:dyDescent="0.2">
      <c r="Q3110" s="140">
        <v>42981</v>
      </c>
      <c r="R3110">
        <v>1.1000000000000001</v>
      </c>
      <c r="S3110">
        <v>7.7</v>
      </c>
    </row>
    <row r="3111" spans="17:19" customFormat="1" x14ac:dyDescent="0.2">
      <c r="Q3111" s="140">
        <v>42982</v>
      </c>
      <c r="R3111">
        <v>0.9</v>
      </c>
      <c r="S3111">
        <v>9.9</v>
      </c>
    </row>
    <row r="3112" spans="17:19" customFormat="1" x14ac:dyDescent="0.2">
      <c r="Q3112" s="140">
        <v>42983</v>
      </c>
      <c r="R3112">
        <v>3</v>
      </c>
      <c r="S3112">
        <v>1.8</v>
      </c>
    </row>
    <row r="3113" spans="17:19" customFormat="1" x14ac:dyDescent="0.2">
      <c r="Q3113" s="140">
        <v>42984</v>
      </c>
      <c r="R3113">
        <v>9.6999999999999993</v>
      </c>
      <c r="S3113">
        <v>0</v>
      </c>
    </row>
    <row r="3114" spans="17:19" customFormat="1" x14ac:dyDescent="0.2">
      <c r="Q3114" s="140">
        <v>42985</v>
      </c>
      <c r="R3114">
        <v>8.3000000000000007</v>
      </c>
      <c r="S3114">
        <v>2.2000000000000002</v>
      </c>
    </row>
    <row r="3115" spans="17:19" customFormat="1" x14ac:dyDescent="0.2">
      <c r="Q3115" s="140">
        <v>42986</v>
      </c>
      <c r="R3115">
        <v>6.1</v>
      </c>
      <c r="S3115">
        <v>5.9</v>
      </c>
    </row>
    <row r="3116" spans="17:19" customFormat="1" x14ac:dyDescent="0.2">
      <c r="Q3116" s="140">
        <v>42987</v>
      </c>
      <c r="R3116">
        <v>3.5</v>
      </c>
      <c r="S3116">
        <v>6.1</v>
      </c>
    </row>
    <row r="3117" spans="17:19" customFormat="1" x14ac:dyDescent="0.2">
      <c r="Q3117" s="140">
        <v>42988</v>
      </c>
      <c r="R3117">
        <v>4.7</v>
      </c>
      <c r="S3117">
        <v>3.8</v>
      </c>
    </row>
    <row r="3118" spans="17:19" customFormat="1" x14ac:dyDescent="0.2">
      <c r="Q3118" s="140">
        <v>42989</v>
      </c>
      <c r="R3118">
        <v>5.6</v>
      </c>
      <c r="S3118">
        <v>3.8</v>
      </c>
    </row>
    <row r="3119" spans="17:19" customFormat="1" x14ac:dyDescent="0.2">
      <c r="Q3119" s="140">
        <v>42990</v>
      </c>
      <c r="R3119">
        <v>2.9</v>
      </c>
      <c r="S3119">
        <v>4.7</v>
      </c>
    </row>
    <row r="3120" spans="17:19" customFormat="1" x14ac:dyDescent="0.2">
      <c r="Q3120" s="140">
        <v>42991</v>
      </c>
      <c r="R3120">
        <v>2.5</v>
      </c>
      <c r="S3120">
        <v>2.4</v>
      </c>
    </row>
    <row r="3121" spans="17:19" customFormat="1" x14ac:dyDescent="0.2">
      <c r="Q3121" s="140">
        <v>42992</v>
      </c>
      <c r="R3121">
        <v>2.8</v>
      </c>
      <c r="S3121">
        <v>7.5</v>
      </c>
    </row>
    <row r="3122" spans="17:19" customFormat="1" x14ac:dyDescent="0.2">
      <c r="Q3122" s="140">
        <v>42993</v>
      </c>
      <c r="R3122">
        <v>0.4</v>
      </c>
      <c r="S3122">
        <v>11.5</v>
      </c>
    </row>
    <row r="3123" spans="17:19" customFormat="1" x14ac:dyDescent="0.2">
      <c r="Q3123" s="140">
        <v>42994</v>
      </c>
      <c r="R3123">
        <v>0</v>
      </c>
      <c r="S3123">
        <v>13.7</v>
      </c>
    </row>
    <row r="3124" spans="17:19" customFormat="1" x14ac:dyDescent="0.2">
      <c r="Q3124" s="140">
        <v>42995</v>
      </c>
      <c r="R3124">
        <v>0</v>
      </c>
      <c r="S3124">
        <v>10.7</v>
      </c>
    </row>
    <row r="3125" spans="17:19" customFormat="1" x14ac:dyDescent="0.2">
      <c r="Q3125" s="140">
        <v>42996</v>
      </c>
      <c r="R3125">
        <v>0.2</v>
      </c>
      <c r="S3125">
        <v>9.3000000000000007</v>
      </c>
    </row>
    <row r="3126" spans="17:19" customFormat="1" x14ac:dyDescent="0.2">
      <c r="Q3126" s="140">
        <v>42997</v>
      </c>
      <c r="R3126">
        <v>0</v>
      </c>
      <c r="S3126">
        <v>9.1999999999999993</v>
      </c>
    </row>
    <row r="3127" spans="17:19" customFormat="1" x14ac:dyDescent="0.2">
      <c r="Q3127" s="140">
        <v>42998</v>
      </c>
      <c r="R3127">
        <v>0</v>
      </c>
      <c r="S3127">
        <v>17.899999999999999</v>
      </c>
    </row>
    <row r="3128" spans="17:19" customFormat="1" x14ac:dyDescent="0.2">
      <c r="Q3128" s="140">
        <v>42999</v>
      </c>
      <c r="R3128">
        <v>0</v>
      </c>
      <c r="S3128">
        <v>16.8</v>
      </c>
    </row>
    <row r="3129" spans="17:19" customFormat="1" x14ac:dyDescent="0.2">
      <c r="Q3129" s="140">
        <v>43000</v>
      </c>
      <c r="R3129">
        <v>0</v>
      </c>
      <c r="S3129">
        <v>17.2</v>
      </c>
    </row>
    <row r="3130" spans="17:19" customFormat="1" x14ac:dyDescent="0.2">
      <c r="Q3130" s="140">
        <v>43001</v>
      </c>
      <c r="R3130">
        <v>0</v>
      </c>
      <c r="S3130">
        <v>15.5</v>
      </c>
    </row>
    <row r="3131" spans="17:19" customFormat="1" x14ac:dyDescent="0.2">
      <c r="Q3131" s="140">
        <v>43002</v>
      </c>
      <c r="R3131">
        <v>0</v>
      </c>
      <c r="S3131">
        <v>13.3</v>
      </c>
    </row>
    <row r="3132" spans="17:19" customFormat="1" x14ac:dyDescent="0.2">
      <c r="Q3132" s="140">
        <v>43003</v>
      </c>
      <c r="R3132">
        <v>0</v>
      </c>
      <c r="S3132">
        <v>14.4</v>
      </c>
    </row>
    <row r="3133" spans="17:19" customFormat="1" x14ac:dyDescent="0.2">
      <c r="Q3133" s="140">
        <v>43004</v>
      </c>
      <c r="R3133">
        <v>0</v>
      </c>
      <c r="S3133">
        <v>15.7</v>
      </c>
    </row>
    <row r="3134" spans="17:19" customFormat="1" x14ac:dyDescent="0.2">
      <c r="Q3134" s="140">
        <v>43005</v>
      </c>
      <c r="R3134">
        <v>0.6</v>
      </c>
      <c r="S3134">
        <v>2.9</v>
      </c>
    </row>
    <row r="3135" spans="17:19" customFormat="1" x14ac:dyDescent="0.2">
      <c r="Q3135" s="140">
        <v>43006</v>
      </c>
      <c r="R3135">
        <v>6.8</v>
      </c>
      <c r="S3135">
        <v>2.4</v>
      </c>
    </row>
    <row r="3136" spans="17:19" customFormat="1" x14ac:dyDescent="0.2">
      <c r="Q3136" s="140">
        <v>43007</v>
      </c>
      <c r="R3136">
        <v>7</v>
      </c>
      <c r="S3136">
        <v>5.0999999999999996</v>
      </c>
    </row>
    <row r="3137" spans="17:19" customFormat="1" x14ac:dyDescent="0.2">
      <c r="Q3137" s="140">
        <v>43008</v>
      </c>
      <c r="R3137">
        <v>7.6</v>
      </c>
      <c r="S3137">
        <v>2.2000000000000002</v>
      </c>
    </row>
    <row r="3138" spans="17:19" customFormat="1" x14ac:dyDescent="0.2">
      <c r="Q3138" s="140">
        <v>43009</v>
      </c>
      <c r="R3138">
        <v>5</v>
      </c>
      <c r="S3138">
        <v>4.0999999999999996</v>
      </c>
    </row>
    <row r="3139" spans="17:19" customFormat="1" x14ac:dyDescent="0.2">
      <c r="Q3139" s="140">
        <v>43010</v>
      </c>
      <c r="R3139">
        <v>0</v>
      </c>
      <c r="S3139">
        <v>10.6</v>
      </c>
    </row>
    <row r="3140" spans="17:19" customFormat="1" x14ac:dyDescent="0.2">
      <c r="Q3140" s="140">
        <v>43011</v>
      </c>
      <c r="R3140">
        <v>0</v>
      </c>
      <c r="S3140">
        <v>8.6999999999999993</v>
      </c>
    </row>
    <row r="3141" spans="17:19" customFormat="1" x14ac:dyDescent="0.2">
      <c r="Q3141" s="140">
        <v>43012</v>
      </c>
      <c r="R3141">
        <v>0</v>
      </c>
      <c r="S3141">
        <v>5.2</v>
      </c>
    </row>
    <row r="3142" spans="17:19" customFormat="1" x14ac:dyDescent="0.2">
      <c r="Q3142" s="140">
        <v>43013</v>
      </c>
      <c r="R3142">
        <v>0.5</v>
      </c>
      <c r="S3142">
        <v>4.3</v>
      </c>
    </row>
    <row r="3143" spans="17:19" customFormat="1" x14ac:dyDescent="0.2">
      <c r="Q3143" s="140">
        <v>43014</v>
      </c>
      <c r="R3143">
        <v>0</v>
      </c>
      <c r="S3143">
        <v>6</v>
      </c>
    </row>
    <row r="3144" spans="17:19" customFormat="1" x14ac:dyDescent="0.2">
      <c r="Q3144" s="140">
        <v>43015</v>
      </c>
      <c r="R3144">
        <v>0.4</v>
      </c>
      <c r="S3144">
        <v>5.3</v>
      </c>
    </row>
    <row r="3145" spans="17:19" customFormat="1" x14ac:dyDescent="0.2">
      <c r="Q3145" s="140">
        <v>43016</v>
      </c>
      <c r="R3145">
        <v>3.7</v>
      </c>
      <c r="S3145">
        <v>5.4</v>
      </c>
    </row>
    <row r="3146" spans="17:19" customFormat="1" x14ac:dyDescent="0.2">
      <c r="Q3146" s="140">
        <v>43017</v>
      </c>
      <c r="R3146">
        <v>1.6</v>
      </c>
      <c r="S3146">
        <v>5.8</v>
      </c>
    </row>
    <row r="3147" spans="17:19" customFormat="1" x14ac:dyDescent="0.2">
      <c r="Q3147" s="140">
        <v>43018</v>
      </c>
      <c r="R3147">
        <v>1.1000000000000001</v>
      </c>
      <c r="S3147">
        <v>4.5999999999999996</v>
      </c>
    </row>
    <row r="3148" spans="17:19" customFormat="1" x14ac:dyDescent="0.2">
      <c r="Q3148" s="140">
        <v>43019</v>
      </c>
      <c r="R3148">
        <v>9.4</v>
      </c>
      <c r="S3148">
        <v>0</v>
      </c>
    </row>
    <row r="3149" spans="17:19" customFormat="1" x14ac:dyDescent="0.2">
      <c r="Q3149" s="140">
        <v>43020</v>
      </c>
      <c r="R3149">
        <v>5.8</v>
      </c>
      <c r="S3149">
        <v>0</v>
      </c>
    </row>
    <row r="3150" spans="17:19" customFormat="1" x14ac:dyDescent="0.2">
      <c r="Q3150" s="140">
        <v>43021</v>
      </c>
      <c r="R3150">
        <v>3.4</v>
      </c>
      <c r="S3150">
        <v>4.4000000000000004</v>
      </c>
    </row>
    <row r="3151" spans="17:19" customFormat="1" x14ac:dyDescent="0.2">
      <c r="Q3151" s="140">
        <v>43022</v>
      </c>
      <c r="R3151">
        <v>0</v>
      </c>
      <c r="S3151">
        <v>11.7</v>
      </c>
    </row>
    <row r="3152" spans="17:19" customFormat="1" x14ac:dyDescent="0.2">
      <c r="Q3152" s="140">
        <v>43023</v>
      </c>
      <c r="R3152">
        <v>8.1999999999999993</v>
      </c>
      <c r="S3152">
        <v>0.9</v>
      </c>
    </row>
    <row r="3153" spans="17:19" customFormat="1" x14ac:dyDescent="0.2">
      <c r="Q3153" s="140">
        <v>43024</v>
      </c>
      <c r="R3153">
        <v>13.9</v>
      </c>
      <c r="S3153">
        <v>0.3</v>
      </c>
    </row>
    <row r="3154" spans="17:19" customFormat="1" x14ac:dyDescent="0.2">
      <c r="Q3154" s="140">
        <v>43025</v>
      </c>
      <c r="R3154">
        <v>8.5</v>
      </c>
      <c r="S3154">
        <v>1</v>
      </c>
    </row>
    <row r="3155" spans="17:19" customFormat="1" x14ac:dyDescent="0.2">
      <c r="Q3155" s="140">
        <v>43026</v>
      </c>
      <c r="R3155">
        <v>6.2</v>
      </c>
      <c r="S3155">
        <v>1.8</v>
      </c>
    </row>
    <row r="3156" spans="17:19" customFormat="1" x14ac:dyDescent="0.2">
      <c r="Q3156" s="140">
        <v>43027</v>
      </c>
      <c r="R3156">
        <v>4.5999999999999996</v>
      </c>
      <c r="S3156">
        <v>3.6</v>
      </c>
    </row>
    <row r="3157" spans="17:19" customFormat="1" x14ac:dyDescent="0.2">
      <c r="Q3157" s="140">
        <v>43028</v>
      </c>
      <c r="R3157">
        <v>2.2999999999999998</v>
      </c>
      <c r="S3157">
        <v>4.2</v>
      </c>
    </row>
    <row r="3158" spans="17:19" customFormat="1" x14ac:dyDescent="0.2">
      <c r="Q3158" s="140">
        <v>43029</v>
      </c>
      <c r="R3158">
        <v>0.7</v>
      </c>
      <c r="S3158">
        <v>5.0999999999999996</v>
      </c>
    </row>
    <row r="3159" spans="17:19" customFormat="1" x14ac:dyDescent="0.2">
      <c r="Q3159" s="140">
        <v>43030</v>
      </c>
      <c r="R3159">
        <v>5.3</v>
      </c>
      <c r="S3159">
        <v>2.4</v>
      </c>
    </row>
    <row r="3160" spans="17:19" customFormat="1" x14ac:dyDescent="0.2">
      <c r="Q3160" s="140">
        <v>43031</v>
      </c>
      <c r="R3160">
        <v>10.1</v>
      </c>
      <c r="S3160">
        <v>0.1</v>
      </c>
    </row>
    <row r="3161" spans="17:19" customFormat="1" x14ac:dyDescent="0.2">
      <c r="Q3161" s="140">
        <v>43032</v>
      </c>
      <c r="R3161">
        <v>18.2</v>
      </c>
      <c r="S3161">
        <v>0</v>
      </c>
    </row>
    <row r="3162" spans="17:19" customFormat="1" x14ac:dyDescent="0.2">
      <c r="Q3162" s="140">
        <v>43033</v>
      </c>
      <c r="R3162">
        <v>19</v>
      </c>
      <c r="S3162">
        <v>0</v>
      </c>
    </row>
    <row r="3163" spans="17:19" customFormat="1" x14ac:dyDescent="0.2">
      <c r="Q3163" s="140">
        <v>43034</v>
      </c>
      <c r="R3163">
        <v>10.9</v>
      </c>
      <c r="S3163">
        <v>1.4</v>
      </c>
    </row>
    <row r="3164" spans="17:19" customFormat="1" x14ac:dyDescent="0.2">
      <c r="Q3164" s="140">
        <v>43035</v>
      </c>
      <c r="R3164">
        <v>22.1</v>
      </c>
      <c r="S3164">
        <v>0</v>
      </c>
    </row>
    <row r="3165" spans="17:19" customFormat="1" x14ac:dyDescent="0.2">
      <c r="Q3165" s="140">
        <v>43036</v>
      </c>
      <c r="R3165">
        <v>27.3</v>
      </c>
      <c r="S3165">
        <v>0</v>
      </c>
    </row>
    <row r="3166" spans="17:19" customFormat="1" x14ac:dyDescent="0.2">
      <c r="Q3166" s="140">
        <v>43037</v>
      </c>
      <c r="R3166">
        <v>24.5</v>
      </c>
      <c r="S3166">
        <v>0</v>
      </c>
    </row>
    <row r="3167" spans="17:19" customFormat="1" x14ac:dyDescent="0.2">
      <c r="Q3167" s="140">
        <v>43038</v>
      </c>
      <c r="R3167">
        <v>18.8</v>
      </c>
      <c r="S3167">
        <v>0</v>
      </c>
    </row>
    <row r="3168" spans="17:19" customFormat="1" x14ac:dyDescent="0.2">
      <c r="Q3168" s="140">
        <v>43039</v>
      </c>
      <c r="R3168">
        <v>26.6</v>
      </c>
      <c r="S3168">
        <v>0</v>
      </c>
    </row>
    <row r="3169" spans="17:19" customFormat="1" x14ac:dyDescent="0.2">
      <c r="Q3169" s="140">
        <v>43040</v>
      </c>
      <c r="R3169">
        <v>21.5</v>
      </c>
      <c r="S3169">
        <v>0</v>
      </c>
    </row>
    <row r="3170" spans="17:19" customFormat="1" x14ac:dyDescent="0.2">
      <c r="Q3170" s="140">
        <v>43041</v>
      </c>
      <c r="R3170">
        <v>6.5</v>
      </c>
      <c r="S3170">
        <v>0.7</v>
      </c>
    </row>
    <row r="3171" spans="17:19" customFormat="1" x14ac:dyDescent="0.2">
      <c r="Q3171" s="140">
        <v>43042</v>
      </c>
      <c r="R3171">
        <v>16.5</v>
      </c>
      <c r="S3171">
        <v>0</v>
      </c>
    </row>
    <row r="3172" spans="17:19" customFormat="1" x14ac:dyDescent="0.2">
      <c r="Q3172" s="140">
        <v>43043</v>
      </c>
      <c r="R3172">
        <v>7.7</v>
      </c>
      <c r="S3172">
        <v>0.3</v>
      </c>
    </row>
    <row r="3173" spans="17:19" customFormat="1" x14ac:dyDescent="0.2">
      <c r="Q3173" s="140">
        <v>43044</v>
      </c>
      <c r="R3173">
        <v>7.9</v>
      </c>
      <c r="S3173">
        <v>0.4</v>
      </c>
    </row>
    <row r="3174" spans="17:19" customFormat="1" x14ac:dyDescent="0.2">
      <c r="Q3174" s="140">
        <v>43045</v>
      </c>
      <c r="R3174">
        <v>22.2</v>
      </c>
      <c r="S3174">
        <v>0</v>
      </c>
    </row>
    <row r="3175" spans="17:19" customFormat="1" x14ac:dyDescent="0.2">
      <c r="Q3175" s="140">
        <v>43046</v>
      </c>
      <c r="R3175">
        <v>21</v>
      </c>
      <c r="S3175">
        <v>0</v>
      </c>
    </row>
    <row r="3176" spans="17:19" customFormat="1" x14ac:dyDescent="0.2">
      <c r="Q3176" s="140">
        <v>43047</v>
      </c>
      <c r="R3176">
        <v>26.2</v>
      </c>
      <c r="S3176">
        <v>0</v>
      </c>
    </row>
    <row r="3177" spans="17:19" customFormat="1" x14ac:dyDescent="0.2">
      <c r="Q3177" s="140">
        <v>43048</v>
      </c>
      <c r="R3177">
        <v>27</v>
      </c>
      <c r="S3177">
        <v>0</v>
      </c>
    </row>
    <row r="3178" spans="17:19" customFormat="1" x14ac:dyDescent="0.2">
      <c r="Q3178" s="140">
        <v>43049</v>
      </c>
      <c r="R3178">
        <v>35.4</v>
      </c>
      <c r="S3178">
        <v>0</v>
      </c>
    </row>
    <row r="3179" spans="17:19" customFormat="1" x14ac:dyDescent="0.2">
      <c r="Q3179" s="140">
        <v>43050</v>
      </c>
      <c r="R3179">
        <v>26.1</v>
      </c>
      <c r="S3179">
        <v>0</v>
      </c>
    </row>
    <row r="3180" spans="17:19" customFormat="1" x14ac:dyDescent="0.2">
      <c r="Q3180" s="140">
        <v>43051</v>
      </c>
      <c r="R3180">
        <v>23.8</v>
      </c>
      <c r="S3180">
        <v>0</v>
      </c>
    </row>
    <row r="3181" spans="17:19" customFormat="1" x14ac:dyDescent="0.2">
      <c r="Q3181" s="140">
        <v>43052</v>
      </c>
      <c r="R3181">
        <v>23.2</v>
      </c>
      <c r="S3181">
        <v>0</v>
      </c>
    </row>
    <row r="3182" spans="17:19" customFormat="1" x14ac:dyDescent="0.2">
      <c r="Q3182" s="140">
        <v>43053</v>
      </c>
      <c r="R3182">
        <v>18.7</v>
      </c>
      <c r="S3182">
        <v>0</v>
      </c>
    </row>
    <row r="3183" spans="17:19" customFormat="1" x14ac:dyDescent="0.2">
      <c r="Q3183" s="140">
        <v>43054</v>
      </c>
      <c r="R3183">
        <v>15.8</v>
      </c>
      <c r="S3183">
        <v>0</v>
      </c>
    </row>
    <row r="3184" spans="17:19" customFormat="1" x14ac:dyDescent="0.2">
      <c r="Q3184" s="140">
        <v>43055</v>
      </c>
      <c r="R3184">
        <v>30.6</v>
      </c>
      <c r="S3184">
        <v>0</v>
      </c>
    </row>
    <row r="3185" spans="17:19" customFormat="1" x14ac:dyDescent="0.2">
      <c r="Q3185" s="140">
        <v>43056</v>
      </c>
      <c r="R3185">
        <v>22.5</v>
      </c>
      <c r="S3185">
        <v>0</v>
      </c>
    </row>
    <row r="3186" spans="17:19" customFormat="1" x14ac:dyDescent="0.2">
      <c r="Q3186" s="140">
        <v>43057</v>
      </c>
      <c r="R3186">
        <v>17.399999999999999</v>
      </c>
      <c r="S3186">
        <v>0</v>
      </c>
    </row>
    <row r="3187" spans="17:19" customFormat="1" x14ac:dyDescent="0.2">
      <c r="Q3187" s="140">
        <v>43058</v>
      </c>
      <c r="R3187">
        <v>32.5</v>
      </c>
      <c r="S3187">
        <v>0</v>
      </c>
    </row>
    <row r="3188" spans="17:19" customFormat="1" x14ac:dyDescent="0.2">
      <c r="Q3188" s="140">
        <v>43059</v>
      </c>
      <c r="R3188">
        <v>20.3</v>
      </c>
      <c r="S3188">
        <v>0</v>
      </c>
    </row>
    <row r="3189" spans="17:19" customFormat="1" x14ac:dyDescent="0.2">
      <c r="Q3189" s="140">
        <v>43060</v>
      </c>
      <c r="R3189">
        <v>24.7</v>
      </c>
      <c r="S3189">
        <v>0</v>
      </c>
    </row>
    <row r="3190" spans="17:19" customFormat="1" x14ac:dyDescent="0.2">
      <c r="Q3190" s="140">
        <v>43061</v>
      </c>
      <c r="R3190">
        <v>34.9</v>
      </c>
      <c r="S3190">
        <v>0</v>
      </c>
    </row>
    <row r="3191" spans="17:19" customFormat="1" x14ac:dyDescent="0.2">
      <c r="Q3191" s="140">
        <v>43062</v>
      </c>
      <c r="R3191">
        <v>26</v>
      </c>
      <c r="S3191">
        <v>0</v>
      </c>
    </row>
    <row r="3192" spans="17:19" customFormat="1" x14ac:dyDescent="0.2">
      <c r="Q3192" s="140">
        <v>43063</v>
      </c>
      <c r="R3192">
        <v>14.1</v>
      </c>
      <c r="S3192">
        <v>0.2</v>
      </c>
    </row>
    <row r="3193" spans="17:19" customFormat="1" x14ac:dyDescent="0.2">
      <c r="Q3193" s="140">
        <v>43064</v>
      </c>
      <c r="R3193">
        <v>15.6</v>
      </c>
      <c r="S3193">
        <v>0</v>
      </c>
    </row>
    <row r="3194" spans="17:19" customFormat="1" x14ac:dyDescent="0.2">
      <c r="Q3194" s="140">
        <v>43065</v>
      </c>
      <c r="R3194">
        <v>22.1</v>
      </c>
      <c r="S3194">
        <v>0</v>
      </c>
    </row>
    <row r="3195" spans="17:19" customFormat="1" x14ac:dyDescent="0.2">
      <c r="Q3195" s="140">
        <v>43066</v>
      </c>
      <c r="R3195">
        <v>10.9</v>
      </c>
      <c r="S3195">
        <v>0.2</v>
      </c>
    </row>
    <row r="3196" spans="17:19" customFormat="1" x14ac:dyDescent="0.2">
      <c r="Q3196" s="140">
        <v>43067</v>
      </c>
      <c r="R3196">
        <v>7.3</v>
      </c>
      <c r="S3196">
        <v>0.7</v>
      </c>
    </row>
    <row r="3197" spans="17:19" customFormat="1" x14ac:dyDescent="0.2">
      <c r="Q3197" s="140">
        <v>43068</v>
      </c>
      <c r="R3197">
        <v>20.399999999999999</v>
      </c>
      <c r="S3197">
        <v>0</v>
      </c>
    </row>
    <row r="3198" spans="17:19" customFormat="1" x14ac:dyDescent="0.2">
      <c r="Q3198" s="140">
        <v>43069</v>
      </c>
      <c r="R3198">
        <v>20.8</v>
      </c>
      <c r="S3198">
        <v>0</v>
      </c>
    </row>
    <row r="3199" spans="17:19" customFormat="1" x14ac:dyDescent="0.2">
      <c r="Q3199" s="140">
        <v>43070</v>
      </c>
      <c r="R3199">
        <v>25.4</v>
      </c>
      <c r="S3199">
        <v>0</v>
      </c>
    </row>
    <row r="3200" spans="17:19" customFormat="1" x14ac:dyDescent="0.2">
      <c r="Q3200" s="140">
        <v>43071</v>
      </c>
      <c r="R3200">
        <v>18.7</v>
      </c>
      <c r="S3200">
        <v>0</v>
      </c>
    </row>
    <row r="3201" spans="17:19" customFormat="1" x14ac:dyDescent="0.2">
      <c r="Q3201" s="140">
        <v>43072</v>
      </c>
      <c r="R3201">
        <v>16.8</v>
      </c>
      <c r="S3201">
        <v>0</v>
      </c>
    </row>
    <row r="3202" spans="17:19" customFormat="1" x14ac:dyDescent="0.2">
      <c r="Q3202" s="140">
        <v>43073</v>
      </c>
      <c r="R3202">
        <v>4.7</v>
      </c>
      <c r="S3202">
        <v>0.2</v>
      </c>
    </row>
    <row r="3203" spans="17:19" customFormat="1" x14ac:dyDescent="0.2">
      <c r="Q3203" s="140">
        <v>43074</v>
      </c>
      <c r="R3203">
        <v>28.9</v>
      </c>
      <c r="S3203">
        <v>0</v>
      </c>
    </row>
    <row r="3204" spans="17:19" customFormat="1" x14ac:dyDescent="0.2">
      <c r="Q3204" s="140">
        <v>43075</v>
      </c>
      <c r="R3204">
        <v>28.9</v>
      </c>
      <c r="S3204">
        <v>0</v>
      </c>
    </row>
    <row r="3205" spans="17:19" customFormat="1" x14ac:dyDescent="0.2">
      <c r="Q3205" s="140">
        <v>43076</v>
      </c>
      <c r="R3205">
        <v>39.5</v>
      </c>
      <c r="S3205">
        <v>0</v>
      </c>
    </row>
    <row r="3206" spans="17:19" customFormat="1" x14ac:dyDescent="0.2">
      <c r="Q3206" s="140">
        <v>43077</v>
      </c>
      <c r="R3206">
        <v>38.6</v>
      </c>
      <c r="S3206">
        <v>0</v>
      </c>
    </row>
    <row r="3207" spans="17:19" customFormat="1" x14ac:dyDescent="0.2">
      <c r="Q3207" s="140">
        <v>43078</v>
      </c>
      <c r="R3207">
        <v>35.299999999999997</v>
      </c>
      <c r="S3207">
        <v>0</v>
      </c>
    </row>
    <row r="3208" spans="17:19" customFormat="1" x14ac:dyDescent="0.2">
      <c r="Q3208" s="140">
        <v>43079</v>
      </c>
      <c r="R3208">
        <v>33.1</v>
      </c>
      <c r="S3208">
        <v>0</v>
      </c>
    </row>
    <row r="3209" spans="17:19" customFormat="1" x14ac:dyDescent="0.2">
      <c r="Q3209" s="140">
        <v>43080</v>
      </c>
      <c r="R3209">
        <v>25.2</v>
      </c>
      <c r="S3209">
        <v>0</v>
      </c>
    </row>
    <row r="3210" spans="17:19" customFormat="1" x14ac:dyDescent="0.2">
      <c r="Q3210" s="140">
        <v>43081</v>
      </c>
      <c r="R3210">
        <v>36.700000000000003</v>
      </c>
      <c r="S3210">
        <v>0</v>
      </c>
    </row>
    <row r="3211" spans="17:19" customFormat="1" x14ac:dyDescent="0.2">
      <c r="Q3211" s="140">
        <v>43082</v>
      </c>
      <c r="R3211">
        <v>28.2</v>
      </c>
      <c r="S3211">
        <v>0</v>
      </c>
    </row>
    <row r="3212" spans="17:19" customFormat="1" x14ac:dyDescent="0.2">
      <c r="Q3212" s="140">
        <v>43083</v>
      </c>
      <c r="R3212">
        <v>36.6</v>
      </c>
      <c r="S3212">
        <v>0</v>
      </c>
    </row>
    <row r="3213" spans="17:19" customFormat="1" x14ac:dyDescent="0.2">
      <c r="Q3213" s="140">
        <v>43084</v>
      </c>
      <c r="R3213">
        <v>31.6</v>
      </c>
      <c r="S3213">
        <v>0</v>
      </c>
    </row>
    <row r="3214" spans="17:19" customFormat="1" x14ac:dyDescent="0.2">
      <c r="Q3214" s="140">
        <v>43085</v>
      </c>
      <c r="R3214">
        <v>21</v>
      </c>
      <c r="S3214">
        <v>0</v>
      </c>
    </row>
    <row r="3215" spans="17:19" customFormat="1" x14ac:dyDescent="0.2">
      <c r="Q3215" s="140">
        <v>43086</v>
      </c>
      <c r="R3215">
        <v>19.100000000000001</v>
      </c>
      <c r="S3215">
        <v>0</v>
      </c>
    </row>
    <row r="3216" spans="17:19" customFormat="1" x14ac:dyDescent="0.2">
      <c r="Q3216" s="140">
        <v>43087</v>
      </c>
      <c r="R3216">
        <v>18.3</v>
      </c>
      <c r="S3216">
        <v>0</v>
      </c>
    </row>
    <row r="3217" spans="17:19" customFormat="1" x14ac:dyDescent="0.2">
      <c r="Q3217" s="140">
        <v>43088</v>
      </c>
      <c r="R3217">
        <v>21.4</v>
      </c>
      <c r="S3217">
        <v>0</v>
      </c>
    </row>
    <row r="3218" spans="17:19" customFormat="1" x14ac:dyDescent="0.2">
      <c r="Q3218" s="140">
        <v>43089</v>
      </c>
      <c r="R3218">
        <v>27.6</v>
      </c>
      <c r="S3218">
        <v>0</v>
      </c>
    </row>
    <row r="3219" spans="17:19" customFormat="1" x14ac:dyDescent="0.2">
      <c r="Q3219" s="140">
        <v>43090</v>
      </c>
      <c r="R3219">
        <v>22.7</v>
      </c>
      <c r="S3219">
        <v>0</v>
      </c>
    </row>
    <row r="3220" spans="17:19" customFormat="1" x14ac:dyDescent="0.2">
      <c r="Q3220" s="140">
        <v>43091</v>
      </c>
      <c r="R3220">
        <v>23.4</v>
      </c>
      <c r="S3220">
        <v>0</v>
      </c>
    </row>
    <row r="3221" spans="17:19" customFormat="1" x14ac:dyDescent="0.2">
      <c r="Q3221" s="140">
        <v>43092</v>
      </c>
      <c r="R3221">
        <v>32.9</v>
      </c>
      <c r="S3221">
        <v>0</v>
      </c>
    </row>
    <row r="3222" spans="17:19" customFormat="1" x14ac:dyDescent="0.2">
      <c r="Q3222" s="140">
        <v>43093</v>
      </c>
      <c r="R3222">
        <v>42.2</v>
      </c>
      <c r="S3222">
        <v>0</v>
      </c>
    </row>
    <row r="3223" spans="17:19" customFormat="1" x14ac:dyDescent="0.2">
      <c r="Q3223" s="140">
        <v>43094</v>
      </c>
      <c r="R3223">
        <v>49.1</v>
      </c>
      <c r="S3223">
        <v>0</v>
      </c>
    </row>
    <row r="3224" spans="17:19" customFormat="1" x14ac:dyDescent="0.2">
      <c r="Q3224" s="140">
        <v>43095</v>
      </c>
      <c r="R3224">
        <v>58.3</v>
      </c>
      <c r="S3224">
        <v>0</v>
      </c>
    </row>
    <row r="3225" spans="17:19" customFormat="1" x14ac:dyDescent="0.2">
      <c r="Q3225" s="140">
        <v>43096</v>
      </c>
      <c r="R3225">
        <v>62.8</v>
      </c>
      <c r="S3225">
        <v>0</v>
      </c>
    </row>
    <row r="3226" spans="17:19" customFormat="1" x14ac:dyDescent="0.2">
      <c r="Q3226" s="140">
        <v>43097</v>
      </c>
      <c r="R3226">
        <v>52.1</v>
      </c>
      <c r="S3226">
        <v>0</v>
      </c>
    </row>
    <row r="3227" spans="17:19" customFormat="1" x14ac:dyDescent="0.2">
      <c r="Q3227" s="140">
        <v>43098</v>
      </c>
      <c r="R3227">
        <v>47.5</v>
      </c>
      <c r="S3227">
        <v>0</v>
      </c>
    </row>
    <row r="3228" spans="17:19" customFormat="1" x14ac:dyDescent="0.2">
      <c r="Q3228" s="140">
        <v>43099</v>
      </c>
      <c r="R3228">
        <v>54.3</v>
      </c>
      <c r="S3228">
        <v>0</v>
      </c>
    </row>
    <row r="3229" spans="17:19" customFormat="1" x14ac:dyDescent="0.2">
      <c r="Q3229" s="140">
        <v>43100</v>
      </c>
      <c r="R3229">
        <v>62.7</v>
      </c>
      <c r="S3229">
        <v>0</v>
      </c>
    </row>
    <row r="3230" spans="17:19" customFormat="1" x14ac:dyDescent="0.2">
      <c r="Q3230" s="140">
        <v>43101</v>
      </c>
      <c r="R3230">
        <v>69.8</v>
      </c>
      <c r="S3230">
        <v>0</v>
      </c>
    </row>
    <row r="3231" spans="17:19" customFormat="1" x14ac:dyDescent="0.2">
      <c r="Q3231" s="140">
        <v>43102</v>
      </c>
      <c r="R3231">
        <v>62.5</v>
      </c>
      <c r="S3231">
        <v>0</v>
      </c>
    </row>
    <row r="3232" spans="17:19" customFormat="1" x14ac:dyDescent="0.2">
      <c r="Q3232" s="140">
        <v>43103</v>
      </c>
      <c r="R3232">
        <v>50.1</v>
      </c>
      <c r="S3232">
        <v>0</v>
      </c>
    </row>
    <row r="3233" spans="17:19" customFormat="1" x14ac:dyDescent="0.2">
      <c r="Q3233" s="140">
        <v>43104</v>
      </c>
      <c r="R3233">
        <v>59.4</v>
      </c>
      <c r="S3233">
        <v>0</v>
      </c>
    </row>
    <row r="3234" spans="17:19" customFormat="1" x14ac:dyDescent="0.2">
      <c r="Q3234" s="140">
        <v>43105</v>
      </c>
      <c r="R3234">
        <v>56</v>
      </c>
      <c r="S3234">
        <v>0</v>
      </c>
    </row>
    <row r="3235" spans="17:19" customFormat="1" x14ac:dyDescent="0.2">
      <c r="Q3235" s="140">
        <v>43106</v>
      </c>
      <c r="R3235">
        <v>59.9</v>
      </c>
      <c r="S3235">
        <v>0</v>
      </c>
    </row>
    <row r="3236" spans="17:19" customFormat="1" x14ac:dyDescent="0.2">
      <c r="Q3236" s="140">
        <v>43107</v>
      </c>
      <c r="R3236">
        <v>35.700000000000003</v>
      </c>
      <c r="S3236">
        <v>0</v>
      </c>
    </row>
    <row r="3237" spans="17:19" customFormat="1" x14ac:dyDescent="0.2">
      <c r="Q3237" s="140">
        <v>43108</v>
      </c>
      <c r="R3237">
        <v>31.4</v>
      </c>
      <c r="S3237">
        <v>0</v>
      </c>
    </row>
    <row r="3238" spans="17:19" customFormat="1" x14ac:dyDescent="0.2">
      <c r="Q3238" s="140">
        <v>43109</v>
      </c>
      <c r="R3238">
        <v>32</v>
      </c>
      <c r="S3238">
        <v>0</v>
      </c>
    </row>
    <row r="3239" spans="17:19" customFormat="1" x14ac:dyDescent="0.2">
      <c r="Q3239" s="140">
        <v>43110</v>
      </c>
      <c r="R3239">
        <v>15.8</v>
      </c>
      <c r="S3239">
        <v>0</v>
      </c>
    </row>
    <row r="3240" spans="17:19" customFormat="1" x14ac:dyDescent="0.2">
      <c r="Q3240" s="140">
        <v>43111</v>
      </c>
      <c r="R3240">
        <v>19.399999999999999</v>
      </c>
      <c r="S3240">
        <v>0</v>
      </c>
    </row>
    <row r="3241" spans="17:19" customFormat="1" x14ac:dyDescent="0.2">
      <c r="Q3241" s="140">
        <v>43112</v>
      </c>
      <c r="R3241">
        <v>47.4</v>
      </c>
      <c r="S3241">
        <v>0</v>
      </c>
    </row>
    <row r="3242" spans="17:19" customFormat="1" x14ac:dyDescent="0.2">
      <c r="Q3242" s="140">
        <v>43113</v>
      </c>
      <c r="R3242">
        <v>50.6</v>
      </c>
      <c r="S3242">
        <v>0</v>
      </c>
    </row>
    <row r="3243" spans="17:19" customFormat="1" x14ac:dyDescent="0.2">
      <c r="Q3243" s="140">
        <v>43114</v>
      </c>
      <c r="R3243">
        <v>47.5</v>
      </c>
      <c r="S3243">
        <v>0</v>
      </c>
    </row>
    <row r="3244" spans="17:19" customFormat="1" x14ac:dyDescent="0.2">
      <c r="Q3244" s="140">
        <v>43115</v>
      </c>
      <c r="R3244">
        <v>50</v>
      </c>
      <c r="S3244">
        <v>0</v>
      </c>
    </row>
    <row r="3245" spans="17:19" customFormat="1" x14ac:dyDescent="0.2">
      <c r="Q3245" s="140">
        <v>43116</v>
      </c>
      <c r="R3245">
        <v>61.1</v>
      </c>
      <c r="S3245">
        <v>0</v>
      </c>
    </row>
    <row r="3246" spans="17:19" customFormat="1" x14ac:dyDescent="0.2">
      <c r="Q3246" s="140">
        <v>43117</v>
      </c>
      <c r="R3246">
        <v>54</v>
      </c>
      <c r="S3246">
        <v>0</v>
      </c>
    </row>
    <row r="3247" spans="17:19" customFormat="1" x14ac:dyDescent="0.2">
      <c r="Q3247" s="140">
        <v>43118</v>
      </c>
      <c r="R3247">
        <v>37</v>
      </c>
      <c r="S3247">
        <v>0</v>
      </c>
    </row>
    <row r="3248" spans="17:19" customFormat="1" x14ac:dyDescent="0.2">
      <c r="Q3248" s="140">
        <v>43119</v>
      </c>
      <c r="R3248">
        <v>26.8</v>
      </c>
      <c r="S3248">
        <v>0</v>
      </c>
    </row>
    <row r="3249" spans="17:19" customFormat="1" x14ac:dyDescent="0.2">
      <c r="Q3249" s="140">
        <v>43120</v>
      </c>
      <c r="R3249">
        <v>24</v>
      </c>
      <c r="S3249">
        <v>0</v>
      </c>
    </row>
    <row r="3250" spans="17:19" customFormat="1" x14ac:dyDescent="0.2">
      <c r="Q3250" s="140">
        <v>43121</v>
      </c>
      <c r="R3250">
        <v>13</v>
      </c>
      <c r="S3250">
        <v>0</v>
      </c>
    </row>
    <row r="3251" spans="17:19" customFormat="1" x14ac:dyDescent="0.2">
      <c r="Q3251" s="140">
        <v>43122</v>
      </c>
      <c r="R3251">
        <v>14.2</v>
      </c>
      <c r="S3251">
        <v>0</v>
      </c>
    </row>
    <row r="3252" spans="17:19" customFormat="1" x14ac:dyDescent="0.2">
      <c r="Q3252" s="140">
        <v>43123</v>
      </c>
      <c r="R3252">
        <v>31.3</v>
      </c>
      <c r="S3252">
        <v>0</v>
      </c>
    </row>
    <row r="3253" spans="17:19" customFormat="1" x14ac:dyDescent="0.2">
      <c r="Q3253" s="140">
        <v>43124</v>
      </c>
      <c r="R3253">
        <v>34.5</v>
      </c>
      <c r="S3253">
        <v>0</v>
      </c>
    </row>
    <row r="3254" spans="17:19" customFormat="1" x14ac:dyDescent="0.2">
      <c r="Q3254" s="140">
        <v>43125</v>
      </c>
      <c r="R3254">
        <v>22.5</v>
      </c>
      <c r="S3254">
        <v>0</v>
      </c>
    </row>
    <row r="3255" spans="17:19" customFormat="1" x14ac:dyDescent="0.2">
      <c r="Q3255" s="140">
        <v>43126</v>
      </c>
      <c r="R3255">
        <v>16.899999999999999</v>
      </c>
      <c r="S3255">
        <v>0</v>
      </c>
    </row>
    <row r="3256" spans="17:19" customFormat="1" x14ac:dyDescent="0.2">
      <c r="Q3256" s="140">
        <v>43127</v>
      </c>
      <c r="R3256">
        <v>18.7</v>
      </c>
      <c r="S3256">
        <v>0</v>
      </c>
    </row>
    <row r="3257" spans="17:19" customFormat="1" x14ac:dyDescent="0.2">
      <c r="Q3257" s="140">
        <v>43128</v>
      </c>
      <c r="R3257">
        <v>26.8</v>
      </c>
      <c r="S3257">
        <v>0</v>
      </c>
    </row>
    <row r="3258" spans="17:19" customFormat="1" x14ac:dyDescent="0.2">
      <c r="Q3258" s="140">
        <v>43129</v>
      </c>
      <c r="R3258">
        <v>37.299999999999997</v>
      </c>
      <c r="S3258">
        <v>0</v>
      </c>
    </row>
    <row r="3259" spans="17:19" customFormat="1" x14ac:dyDescent="0.2">
      <c r="Q3259" s="140">
        <v>43130</v>
      </c>
      <c r="R3259">
        <v>38.9</v>
      </c>
      <c r="S3259">
        <v>0</v>
      </c>
    </row>
    <row r="3260" spans="17:19" customFormat="1" x14ac:dyDescent="0.2">
      <c r="Q3260" s="140">
        <v>43131</v>
      </c>
      <c r="R3260">
        <v>23.4</v>
      </c>
      <c r="S3260">
        <v>0</v>
      </c>
    </row>
    <row r="3261" spans="17:19" customFormat="1" x14ac:dyDescent="0.2">
      <c r="Q3261" s="140">
        <v>43132</v>
      </c>
      <c r="R3261">
        <v>39.1</v>
      </c>
      <c r="S3261">
        <v>0</v>
      </c>
    </row>
    <row r="3262" spans="17:19" customFormat="1" x14ac:dyDescent="0.2">
      <c r="Q3262" s="140">
        <v>43133</v>
      </c>
      <c r="R3262">
        <v>47.5</v>
      </c>
      <c r="S3262">
        <v>0</v>
      </c>
    </row>
    <row r="3263" spans="17:19" customFormat="1" x14ac:dyDescent="0.2">
      <c r="Q3263" s="140">
        <v>43134</v>
      </c>
      <c r="R3263">
        <v>29.7</v>
      </c>
      <c r="S3263">
        <v>0</v>
      </c>
    </row>
    <row r="3264" spans="17:19" customFormat="1" x14ac:dyDescent="0.2">
      <c r="Q3264" s="140">
        <v>43135</v>
      </c>
      <c r="R3264">
        <v>39.5</v>
      </c>
      <c r="S3264">
        <v>0</v>
      </c>
    </row>
    <row r="3265" spans="17:19" customFormat="1" x14ac:dyDescent="0.2">
      <c r="Q3265" s="140">
        <v>43136</v>
      </c>
      <c r="R3265">
        <v>51.6</v>
      </c>
      <c r="S3265">
        <v>0</v>
      </c>
    </row>
    <row r="3266" spans="17:19" customFormat="1" x14ac:dyDescent="0.2">
      <c r="Q3266" s="140">
        <v>43137</v>
      </c>
      <c r="R3266">
        <v>49.4</v>
      </c>
      <c r="S3266">
        <v>0</v>
      </c>
    </row>
    <row r="3267" spans="17:19" customFormat="1" x14ac:dyDescent="0.2">
      <c r="Q3267" s="140">
        <v>43138</v>
      </c>
      <c r="R3267">
        <v>46.1</v>
      </c>
      <c r="S3267">
        <v>0</v>
      </c>
    </row>
    <row r="3268" spans="17:19" customFormat="1" x14ac:dyDescent="0.2">
      <c r="Q3268" s="140">
        <v>43139</v>
      </c>
      <c r="R3268">
        <v>35.9</v>
      </c>
      <c r="S3268">
        <v>0</v>
      </c>
    </row>
    <row r="3269" spans="17:19" customFormat="1" x14ac:dyDescent="0.2">
      <c r="Q3269" s="140">
        <v>43140</v>
      </c>
      <c r="R3269">
        <v>30.4</v>
      </c>
      <c r="S3269">
        <v>0</v>
      </c>
    </row>
    <row r="3270" spans="17:19" customFormat="1" x14ac:dyDescent="0.2">
      <c r="Q3270" s="140">
        <v>43141</v>
      </c>
      <c r="R3270">
        <v>42.7</v>
      </c>
      <c r="S3270">
        <v>0</v>
      </c>
    </row>
    <row r="3271" spans="17:19" customFormat="1" x14ac:dyDescent="0.2">
      <c r="Q3271" s="140">
        <v>43142</v>
      </c>
      <c r="R3271">
        <v>44.6</v>
      </c>
      <c r="S3271">
        <v>0</v>
      </c>
    </row>
    <row r="3272" spans="17:19" customFormat="1" x14ac:dyDescent="0.2">
      <c r="Q3272" s="140">
        <v>43143</v>
      </c>
      <c r="R3272">
        <v>45.8</v>
      </c>
      <c r="S3272">
        <v>0</v>
      </c>
    </row>
    <row r="3273" spans="17:19" customFormat="1" x14ac:dyDescent="0.2">
      <c r="Q3273" s="140">
        <v>43144</v>
      </c>
      <c r="R3273">
        <v>34.299999999999997</v>
      </c>
      <c r="S3273">
        <v>0</v>
      </c>
    </row>
    <row r="3274" spans="17:19" customFormat="1" x14ac:dyDescent="0.2">
      <c r="Q3274" s="140">
        <v>43145</v>
      </c>
      <c r="R3274">
        <v>19.5</v>
      </c>
      <c r="S3274">
        <v>0</v>
      </c>
    </row>
    <row r="3275" spans="17:19" customFormat="1" x14ac:dyDescent="0.2">
      <c r="Q3275" s="140">
        <v>43146</v>
      </c>
      <c r="R3275">
        <v>11.6</v>
      </c>
      <c r="S3275">
        <v>0.2</v>
      </c>
    </row>
    <row r="3276" spans="17:19" customFormat="1" x14ac:dyDescent="0.2">
      <c r="Q3276" s="140">
        <v>43147</v>
      </c>
      <c r="R3276">
        <v>31.4</v>
      </c>
      <c r="S3276">
        <v>0</v>
      </c>
    </row>
    <row r="3277" spans="17:19" customFormat="1" x14ac:dyDescent="0.2">
      <c r="Q3277" s="140">
        <v>43148</v>
      </c>
      <c r="R3277">
        <v>33.799999999999997</v>
      </c>
      <c r="S3277">
        <v>0</v>
      </c>
    </row>
    <row r="3278" spans="17:19" customFormat="1" x14ac:dyDescent="0.2">
      <c r="Q3278" s="140">
        <v>43149</v>
      </c>
      <c r="R3278">
        <v>26.5</v>
      </c>
      <c r="S3278">
        <v>0</v>
      </c>
    </row>
    <row r="3279" spans="17:19" customFormat="1" x14ac:dyDescent="0.2">
      <c r="Q3279" s="140">
        <v>43150</v>
      </c>
      <c r="R3279">
        <v>6.6</v>
      </c>
      <c r="S3279">
        <v>0</v>
      </c>
    </row>
    <row r="3280" spans="17:19" customFormat="1" x14ac:dyDescent="0.2">
      <c r="Q3280" s="140">
        <v>43151</v>
      </c>
      <c r="R3280">
        <v>11.6</v>
      </c>
      <c r="S3280">
        <v>0.3</v>
      </c>
    </row>
    <row r="3281" spans="17:19" customFormat="1" x14ac:dyDescent="0.2">
      <c r="Q3281" s="140">
        <v>43152</v>
      </c>
      <c r="R3281">
        <v>34.799999999999997</v>
      </c>
      <c r="S3281">
        <v>0</v>
      </c>
    </row>
    <row r="3282" spans="17:19" customFormat="1" x14ac:dyDescent="0.2">
      <c r="Q3282" s="140">
        <v>43153</v>
      </c>
      <c r="R3282">
        <v>25.3</v>
      </c>
      <c r="S3282">
        <v>0</v>
      </c>
    </row>
    <row r="3283" spans="17:19" customFormat="1" x14ac:dyDescent="0.2">
      <c r="Q3283" s="140">
        <v>43154</v>
      </c>
      <c r="R3283">
        <v>22.7</v>
      </c>
      <c r="S3283">
        <v>0</v>
      </c>
    </row>
    <row r="3284" spans="17:19" customFormat="1" x14ac:dyDescent="0.2">
      <c r="Q3284" s="140">
        <v>43155</v>
      </c>
      <c r="R3284">
        <v>21.3</v>
      </c>
      <c r="S3284">
        <v>0</v>
      </c>
    </row>
    <row r="3285" spans="17:19" customFormat="1" x14ac:dyDescent="0.2">
      <c r="Q3285" s="140">
        <v>43156</v>
      </c>
      <c r="R3285">
        <v>25.6</v>
      </c>
      <c r="S3285">
        <v>0</v>
      </c>
    </row>
    <row r="3286" spans="17:19" customFormat="1" x14ac:dyDescent="0.2">
      <c r="Q3286" s="140">
        <v>43157</v>
      </c>
      <c r="R3286">
        <v>20.3</v>
      </c>
      <c r="S3286">
        <v>0</v>
      </c>
    </row>
    <row r="3287" spans="17:19" customFormat="1" x14ac:dyDescent="0.2">
      <c r="Q3287" s="140">
        <v>43158</v>
      </c>
      <c r="R3287">
        <v>11.3</v>
      </c>
      <c r="S3287">
        <v>0.1</v>
      </c>
    </row>
    <row r="3288" spans="17:19" customFormat="1" x14ac:dyDescent="0.2">
      <c r="Q3288" s="140">
        <v>43159</v>
      </c>
      <c r="R3288">
        <v>11.5</v>
      </c>
      <c r="S3288">
        <v>0</v>
      </c>
    </row>
    <row r="3289" spans="17:19" customFormat="1" x14ac:dyDescent="0.2">
      <c r="Q3289" s="140">
        <v>43160</v>
      </c>
      <c r="R3289">
        <v>18.600000000000001</v>
      </c>
      <c r="S3289">
        <v>0</v>
      </c>
    </row>
    <row r="3290" spans="17:19" customFormat="1" x14ac:dyDescent="0.2">
      <c r="Q3290" s="140">
        <v>43161</v>
      </c>
      <c r="R3290">
        <v>25.5</v>
      </c>
      <c r="S3290">
        <v>0</v>
      </c>
    </row>
    <row r="3291" spans="17:19" customFormat="1" x14ac:dyDescent="0.2">
      <c r="Q3291" s="140">
        <v>43162</v>
      </c>
      <c r="R3291">
        <v>23</v>
      </c>
      <c r="S3291">
        <v>0</v>
      </c>
    </row>
    <row r="3292" spans="17:19" customFormat="1" x14ac:dyDescent="0.2">
      <c r="Q3292" s="140">
        <v>43163</v>
      </c>
      <c r="R3292">
        <v>19.8</v>
      </c>
      <c r="S3292">
        <v>0</v>
      </c>
    </row>
    <row r="3293" spans="17:19" customFormat="1" x14ac:dyDescent="0.2">
      <c r="Q3293" s="140">
        <v>43164</v>
      </c>
      <c r="R3293">
        <v>25.3</v>
      </c>
      <c r="S3293">
        <v>0</v>
      </c>
    </row>
    <row r="3294" spans="17:19" customFormat="1" x14ac:dyDescent="0.2">
      <c r="Q3294" s="140">
        <v>43165</v>
      </c>
      <c r="R3294">
        <v>29.5</v>
      </c>
      <c r="S3294">
        <v>0</v>
      </c>
    </row>
    <row r="3295" spans="17:19" customFormat="1" x14ac:dyDescent="0.2">
      <c r="Q3295" s="140">
        <v>43166</v>
      </c>
      <c r="R3295">
        <v>31.2</v>
      </c>
      <c r="S3295">
        <v>0</v>
      </c>
    </row>
    <row r="3296" spans="17:19" customFormat="1" x14ac:dyDescent="0.2">
      <c r="Q3296" s="140">
        <v>43167</v>
      </c>
      <c r="R3296">
        <v>35.6</v>
      </c>
      <c r="S3296">
        <v>0</v>
      </c>
    </row>
    <row r="3297" spans="17:19" customFormat="1" x14ac:dyDescent="0.2">
      <c r="Q3297" s="140">
        <v>43168</v>
      </c>
      <c r="R3297">
        <v>30.2</v>
      </c>
      <c r="S3297">
        <v>0</v>
      </c>
    </row>
    <row r="3298" spans="17:19" customFormat="1" x14ac:dyDescent="0.2">
      <c r="Q3298" s="140">
        <v>43169</v>
      </c>
      <c r="R3298">
        <v>25</v>
      </c>
      <c r="S3298">
        <v>0</v>
      </c>
    </row>
    <row r="3299" spans="17:19" customFormat="1" x14ac:dyDescent="0.2">
      <c r="Q3299" s="140">
        <v>43170</v>
      </c>
      <c r="R3299">
        <v>25.2</v>
      </c>
      <c r="S3299">
        <v>0</v>
      </c>
    </row>
    <row r="3300" spans="17:19" customFormat="1" x14ac:dyDescent="0.2">
      <c r="Q3300" s="140">
        <v>43171</v>
      </c>
      <c r="R3300">
        <v>26.2</v>
      </c>
      <c r="S3300">
        <v>0</v>
      </c>
    </row>
    <row r="3301" spans="17:19" customFormat="1" x14ac:dyDescent="0.2">
      <c r="Q3301" s="140">
        <v>43172</v>
      </c>
      <c r="R3301">
        <v>29.7</v>
      </c>
      <c r="S3301">
        <v>0</v>
      </c>
    </row>
    <row r="3302" spans="17:19" customFormat="1" x14ac:dyDescent="0.2">
      <c r="Q3302" s="140">
        <v>43173</v>
      </c>
      <c r="R3302">
        <v>27.5</v>
      </c>
      <c r="S3302">
        <v>0</v>
      </c>
    </row>
    <row r="3303" spans="17:19" customFormat="1" x14ac:dyDescent="0.2">
      <c r="Q3303" s="140">
        <v>43174</v>
      </c>
      <c r="R3303">
        <v>17.100000000000001</v>
      </c>
      <c r="S3303">
        <v>0</v>
      </c>
    </row>
    <row r="3304" spans="17:19" customFormat="1" x14ac:dyDescent="0.2">
      <c r="Q3304" s="140">
        <v>43175</v>
      </c>
      <c r="R3304">
        <v>26.8</v>
      </c>
      <c r="S3304">
        <v>0</v>
      </c>
    </row>
    <row r="3305" spans="17:19" customFormat="1" x14ac:dyDescent="0.2">
      <c r="Q3305" s="140">
        <v>43176</v>
      </c>
      <c r="R3305">
        <v>27.2</v>
      </c>
      <c r="S3305">
        <v>0</v>
      </c>
    </row>
    <row r="3306" spans="17:19" customFormat="1" x14ac:dyDescent="0.2">
      <c r="Q3306" s="140">
        <v>43177</v>
      </c>
      <c r="R3306">
        <v>24.4</v>
      </c>
      <c r="S3306">
        <v>0</v>
      </c>
    </row>
    <row r="3307" spans="17:19" customFormat="1" x14ac:dyDescent="0.2">
      <c r="Q3307" s="140">
        <v>43178</v>
      </c>
      <c r="R3307">
        <v>20.100000000000001</v>
      </c>
      <c r="S3307">
        <v>0</v>
      </c>
    </row>
    <row r="3308" spans="17:19" customFormat="1" x14ac:dyDescent="0.2">
      <c r="Q3308" s="140">
        <v>43179</v>
      </c>
      <c r="R3308">
        <v>27.9</v>
      </c>
      <c r="S3308">
        <v>0</v>
      </c>
    </row>
    <row r="3309" spans="17:19" customFormat="1" x14ac:dyDescent="0.2">
      <c r="Q3309" s="140">
        <v>43180</v>
      </c>
      <c r="R3309">
        <v>27.1</v>
      </c>
      <c r="S3309">
        <v>0</v>
      </c>
    </row>
    <row r="3310" spans="17:19" customFormat="1" x14ac:dyDescent="0.2">
      <c r="Q3310" s="140">
        <v>43181</v>
      </c>
      <c r="R3310">
        <v>24.5</v>
      </c>
      <c r="S3310">
        <v>0</v>
      </c>
    </row>
    <row r="3311" spans="17:19" customFormat="1" x14ac:dyDescent="0.2">
      <c r="Q3311" s="140">
        <v>43182</v>
      </c>
      <c r="R3311">
        <v>19.5</v>
      </c>
      <c r="S3311">
        <v>0</v>
      </c>
    </row>
    <row r="3312" spans="17:19" customFormat="1" x14ac:dyDescent="0.2">
      <c r="Q3312" s="140">
        <v>43183</v>
      </c>
      <c r="R3312">
        <v>28.9</v>
      </c>
      <c r="S3312">
        <v>0</v>
      </c>
    </row>
    <row r="3313" spans="17:19" customFormat="1" x14ac:dyDescent="0.2">
      <c r="Q3313" s="140">
        <v>43184</v>
      </c>
      <c r="R3313">
        <v>26.6</v>
      </c>
      <c r="S3313">
        <v>0</v>
      </c>
    </row>
    <row r="3314" spans="17:19" customFormat="1" x14ac:dyDescent="0.2">
      <c r="Q3314" s="140">
        <v>43185</v>
      </c>
      <c r="R3314">
        <v>21.2</v>
      </c>
      <c r="S3314">
        <v>0</v>
      </c>
    </row>
    <row r="3315" spans="17:19" customFormat="1" x14ac:dyDescent="0.2">
      <c r="Q3315" s="140">
        <v>43186</v>
      </c>
      <c r="R3315">
        <v>15.7</v>
      </c>
      <c r="S3315">
        <v>0</v>
      </c>
    </row>
    <row r="3316" spans="17:19" customFormat="1" x14ac:dyDescent="0.2">
      <c r="Q3316" s="140">
        <v>43187</v>
      </c>
      <c r="R3316">
        <v>21</v>
      </c>
      <c r="S3316">
        <v>0</v>
      </c>
    </row>
    <row r="3317" spans="17:19" customFormat="1" x14ac:dyDescent="0.2">
      <c r="Q3317" s="140">
        <v>43188</v>
      </c>
      <c r="R3317">
        <v>17.3</v>
      </c>
      <c r="S3317">
        <v>0</v>
      </c>
    </row>
    <row r="3318" spans="17:19" customFormat="1" x14ac:dyDescent="0.2">
      <c r="Q3318" s="140">
        <v>43189</v>
      </c>
      <c r="R3318">
        <v>20.399999999999999</v>
      </c>
      <c r="S3318">
        <v>0</v>
      </c>
    </row>
    <row r="3319" spans="17:19" customFormat="1" x14ac:dyDescent="0.2">
      <c r="Q3319" s="140">
        <v>43190</v>
      </c>
      <c r="R3319">
        <v>17.8</v>
      </c>
      <c r="S3319">
        <v>0</v>
      </c>
    </row>
    <row r="3320" spans="17:19" customFormat="1" x14ac:dyDescent="0.2">
      <c r="Q3320" s="140">
        <v>43191</v>
      </c>
      <c r="R3320">
        <v>35.6</v>
      </c>
      <c r="S3320">
        <v>0</v>
      </c>
    </row>
    <row r="3321" spans="17:19" customFormat="1" x14ac:dyDescent="0.2">
      <c r="Q3321" s="140">
        <v>43192</v>
      </c>
      <c r="R3321">
        <v>33.9</v>
      </c>
      <c r="S3321">
        <v>0</v>
      </c>
    </row>
    <row r="3322" spans="17:19" customFormat="1" x14ac:dyDescent="0.2">
      <c r="Q3322" s="140">
        <v>43193</v>
      </c>
      <c r="R3322">
        <v>18.899999999999999</v>
      </c>
      <c r="S3322">
        <v>0</v>
      </c>
    </row>
    <row r="3323" spans="17:19" customFormat="1" x14ac:dyDescent="0.2">
      <c r="Q3323" s="140">
        <v>43194</v>
      </c>
      <c r="R3323">
        <v>33.1</v>
      </c>
      <c r="S3323">
        <v>0</v>
      </c>
    </row>
    <row r="3324" spans="17:19" customFormat="1" x14ac:dyDescent="0.2">
      <c r="Q3324" s="140">
        <v>43195</v>
      </c>
      <c r="R3324">
        <v>23.3</v>
      </c>
      <c r="S3324">
        <v>0</v>
      </c>
    </row>
    <row r="3325" spans="17:19" customFormat="1" x14ac:dyDescent="0.2">
      <c r="Q3325" s="140">
        <v>43196</v>
      </c>
      <c r="R3325">
        <v>27.3</v>
      </c>
      <c r="S3325">
        <v>0</v>
      </c>
    </row>
    <row r="3326" spans="17:19" customFormat="1" x14ac:dyDescent="0.2">
      <c r="Q3326" s="140">
        <v>43197</v>
      </c>
      <c r="R3326">
        <v>34.4</v>
      </c>
      <c r="S3326">
        <v>0</v>
      </c>
    </row>
    <row r="3327" spans="17:19" customFormat="1" x14ac:dyDescent="0.2">
      <c r="Q3327" s="140">
        <v>43198</v>
      </c>
      <c r="R3327">
        <v>32.799999999999997</v>
      </c>
      <c r="S3327">
        <v>0</v>
      </c>
    </row>
    <row r="3328" spans="17:19" customFormat="1" x14ac:dyDescent="0.2">
      <c r="Q3328" s="140">
        <v>43199</v>
      </c>
      <c r="R3328">
        <v>29.7</v>
      </c>
      <c r="S3328">
        <v>0</v>
      </c>
    </row>
    <row r="3329" spans="17:19" customFormat="1" x14ac:dyDescent="0.2">
      <c r="Q3329" s="140">
        <v>43200</v>
      </c>
      <c r="R3329">
        <v>26.2</v>
      </c>
      <c r="S3329">
        <v>0</v>
      </c>
    </row>
    <row r="3330" spans="17:19" customFormat="1" x14ac:dyDescent="0.2">
      <c r="Q3330" s="140">
        <v>43201</v>
      </c>
      <c r="R3330">
        <v>10.1</v>
      </c>
      <c r="S3330">
        <v>2.1</v>
      </c>
    </row>
    <row r="3331" spans="17:19" customFormat="1" x14ac:dyDescent="0.2">
      <c r="Q3331" s="140">
        <v>43202</v>
      </c>
      <c r="R3331">
        <v>2.8</v>
      </c>
      <c r="S3331">
        <v>6.7</v>
      </c>
    </row>
    <row r="3332" spans="17:19" customFormat="1" x14ac:dyDescent="0.2">
      <c r="Q3332" s="140">
        <v>43203</v>
      </c>
      <c r="R3332">
        <v>0.2</v>
      </c>
      <c r="S3332">
        <v>4.0999999999999996</v>
      </c>
    </row>
    <row r="3333" spans="17:19" customFormat="1" x14ac:dyDescent="0.2">
      <c r="Q3333" s="140">
        <v>43204</v>
      </c>
      <c r="R3333">
        <v>7.4</v>
      </c>
      <c r="S3333">
        <v>0</v>
      </c>
    </row>
    <row r="3334" spans="17:19" customFormat="1" x14ac:dyDescent="0.2">
      <c r="Q3334" s="140">
        <v>43205</v>
      </c>
      <c r="R3334">
        <v>24.8</v>
      </c>
      <c r="S3334">
        <v>0</v>
      </c>
    </row>
    <row r="3335" spans="17:19" customFormat="1" x14ac:dyDescent="0.2">
      <c r="Q3335" s="140">
        <v>43206</v>
      </c>
      <c r="R3335">
        <v>31</v>
      </c>
      <c r="S3335">
        <v>0</v>
      </c>
    </row>
    <row r="3336" spans="17:19" customFormat="1" x14ac:dyDescent="0.2">
      <c r="Q3336" s="140">
        <v>43207</v>
      </c>
      <c r="R3336">
        <v>23.4</v>
      </c>
      <c r="S3336">
        <v>0</v>
      </c>
    </row>
    <row r="3337" spans="17:19" customFormat="1" x14ac:dyDescent="0.2">
      <c r="Q3337" s="140">
        <v>43208</v>
      </c>
      <c r="R3337">
        <v>21.9</v>
      </c>
      <c r="S3337">
        <v>0</v>
      </c>
    </row>
    <row r="3338" spans="17:19" customFormat="1" x14ac:dyDescent="0.2">
      <c r="Q3338" s="140">
        <v>43209</v>
      </c>
      <c r="R3338">
        <v>19.7</v>
      </c>
      <c r="S3338">
        <v>0</v>
      </c>
    </row>
    <row r="3339" spans="17:19" customFormat="1" x14ac:dyDescent="0.2">
      <c r="Q3339" s="140">
        <v>43210</v>
      </c>
      <c r="R3339">
        <v>15.6</v>
      </c>
      <c r="S3339">
        <v>0</v>
      </c>
    </row>
    <row r="3340" spans="17:19" customFormat="1" x14ac:dyDescent="0.2">
      <c r="Q3340" s="140">
        <v>43211</v>
      </c>
      <c r="R3340">
        <v>10.5</v>
      </c>
      <c r="S3340">
        <v>0</v>
      </c>
    </row>
    <row r="3341" spans="17:19" customFormat="1" x14ac:dyDescent="0.2">
      <c r="Q3341" s="140">
        <v>43212</v>
      </c>
      <c r="R3341">
        <v>7.3</v>
      </c>
      <c r="S3341">
        <v>0.7</v>
      </c>
    </row>
    <row r="3342" spans="17:19" customFormat="1" x14ac:dyDescent="0.2">
      <c r="Q3342" s="140">
        <v>43213</v>
      </c>
      <c r="R3342">
        <v>7.3</v>
      </c>
      <c r="S3342">
        <v>0.3</v>
      </c>
    </row>
    <row r="3343" spans="17:19" customFormat="1" x14ac:dyDescent="0.2">
      <c r="Q3343" s="140">
        <v>43214</v>
      </c>
      <c r="R3343">
        <v>6.3</v>
      </c>
      <c r="S3343">
        <v>1.5</v>
      </c>
    </row>
    <row r="3344" spans="17:19" customFormat="1" x14ac:dyDescent="0.2">
      <c r="Q3344" s="140">
        <v>43215</v>
      </c>
      <c r="R3344">
        <v>8.6</v>
      </c>
      <c r="S3344">
        <v>0.2</v>
      </c>
    </row>
    <row r="3345" spans="17:19" customFormat="1" x14ac:dyDescent="0.2">
      <c r="Q3345" s="140">
        <v>43216</v>
      </c>
      <c r="R3345">
        <v>10.199999999999999</v>
      </c>
      <c r="S3345">
        <v>1.3</v>
      </c>
    </row>
    <row r="3346" spans="17:19" customFormat="1" x14ac:dyDescent="0.2">
      <c r="Q3346" s="140">
        <v>43217</v>
      </c>
      <c r="R3346">
        <v>5.2</v>
      </c>
      <c r="S3346">
        <v>2.2999999999999998</v>
      </c>
    </row>
    <row r="3347" spans="17:19" customFormat="1" x14ac:dyDescent="0.2">
      <c r="Q3347" s="140">
        <v>43218</v>
      </c>
      <c r="R3347">
        <v>13.6</v>
      </c>
      <c r="S3347">
        <v>0</v>
      </c>
    </row>
    <row r="3348" spans="17:19" customFormat="1" x14ac:dyDescent="0.2">
      <c r="Q3348" s="140">
        <v>43219</v>
      </c>
      <c r="R3348">
        <v>13.2</v>
      </c>
      <c r="S3348">
        <v>0.1</v>
      </c>
    </row>
    <row r="3349" spans="17:19" customFormat="1" x14ac:dyDescent="0.2">
      <c r="Q3349" s="140">
        <v>43220</v>
      </c>
      <c r="R3349">
        <v>5.6</v>
      </c>
      <c r="S3349">
        <v>5.3</v>
      </c>
    </row>
    <row r="3350" spans="17:19" customFormat="1" x14ac:dyDescent="0.2">
      <c r="Q3350" s="140">
        <v>43221</v>
      </c>
      <c r="R3350">
        <v>1.3</v>
      </c>
      <c r="S3350">
        <v>10.1</v>
      </c>
    </row>
    <row r="3351" spans="17:19" customFormat="1" x14ac:dyDescent="0.2">
      <c r="Q3351" s="140">
        <v>43222</v>
      </c>
      <c r="R3351">
        <v>0</v>
      </c>
      <c r="S3351">
        <v>13.7</v>
      </c>
    </row>
    <row r="3352" spans="17:19" customFormat="1" x14ac:dyDescent="0.2">
      <c r="Q3352" s="140">
        <v>43223</v>
      </c>
      <c r="R3352">
        <v>0</v>
      </c>
      <c r="S3352">
        <v>5.4</v>
      </c>
    </row>
    <row r="3353" spans="17:19" customFormat="1" x14ac:dyDescent="0.2">
      <c r="Q3353" s="140">
        <v>43224</v>
      </c>
      <c r="R3353">
        <v>0.3</v>
      </c>
      <c r="S3353">
        <v>4.4000000000000004</v>
      </c>
    </row>
    <row r="3354" spans="17:19" customFormat="1" x14ac:dyDescent="0.2">
      <c r="Q3354" s="140">
        <v>43225</v>
      </c>
      <c r="R3354">
        <v>3</v>
      </c>
      <c r="S3354">
        <v>6.6</v>
      </c>
    </row>
    <row r="3355" spans="17:19" customFormat="1" x14ac:dyDescent="0.2">
      <c r="Q3355" s="140">
        <v>43226</v>
      </c>
      <c r="R3355">
        <v>1.3</v>
      </c>
      <c r="S3355">
        <v>6.3</v>
      </c>
    </row>
    <row r="3356" spans="17:19" customFormat="1" x14ac:dyDescent="0.2">
      <c r="Q3356" s="140">
        <v>43227</v>
      </c>
      <c r="R3356">
        <v>3.8</v>
      </c>
      <c r="S3356">
        <v>4.9000000000000004</v>
      </c>
    </row>
    <row r="3357" spans="17:19" customFormat="1" x14ac:dyDescent="0.2">
      <c r="Q3357" s="140">
        <v>43228</v>
      </c>
      <c r="R3357">
        <v>3.2</v>
      </c>
      <c r="S3357">
        <v>8</v>
      </c>
    </row>
    <row r="3358" spans="17:19" customFormat="1" x14ac:dyDescent="0.2">
      <c r="Q3358" s="140">
        <v>43229</v>
      </c>
      <c r="R3358">
        <v>0.1</v>
      </c>
      <c r="S3358">
        <v>8.4</v>
      </c>
    </row>
    <row r="3359" spans="17:19" customFormat="1" x14ac:dyDescent="0.2">
      <c r="Q3359" s="140">
        <v>43230</v>
      </c>
      <c r="R3359">
        <v>1.5</v>
      </c>
      <c r="S3359">
        <v>9.6</v>
      </c>
    </row>
    <row r="3360" spans="17:19" customFormat="1" x14ac:dyDescent="0.2">
      <c r="Q3360" s="140">
        <v>43231</v>
      </c>
      <c r="R3360">
        <v>0.3</v>
      </c>
      <c r="S3360">
        <v>12</v>
      </c>
    </row>
    <row r="3361" spans="17:19" customFormat="1" x14ac:dyDescent="0.2">
      <c r="Q3361" s="140">
        <v>43232</v>
      </c>
      <c r="R3361">
        <v>0.1</v>
      </c>
      <c r="S3361">
        <v>7.6</v>
      </c>
    </row>
    <row r="3362" spans="17:19" customFormat="1" x14ac:dyDescent="0.2">
      <c r="Q3362" s="140">
        <v>43233</v>
      </c>
      <c r="R3362">
        <v>1.2</v>
      </c>
      <c r="S3362">
        <v>11.1</v>
      </c>
    </row>
    <row r="3363" spans="17:19" customFormat="1" x14ac:dyDescent="0.2">
      <c r="Q3363" s="140">
        <v>43234</v>
      </c>
      <c r="R3363">
        <v>0</v>
      </c>
      <c r="S3363">
        <v>14.2</v>
      </c>
    </row>
    <row r="3364" spans="17:19" customFormat="1" x14ac:dyDescent="0.2">
      <c r="Q3364" s="140">
        <v>43235</v>
      </c>
      <c r="R3364">
        <v>0</v>
      </c>
      <c r="S3364">
        <v>6</v>
      </c>
    </row>
    <row r="3365" spans="17:19" customFormat="1" x14ac:dyDescent="0.2">
      <c r="Q3365" s="140">
        <v>43236</v>
      </c>
      <c r="R3365">
        <v>1.7</v>
      </c>
      <c r="S3365">
        <v>7.8</v>
      </c>
    </row>
    <row r="3366" spans="17:19" customFormat="1" x14ac:dyDescent="0.2">
      <c r="Q3366" s="140">
        <v>43237</v>
      </c>
      <c r="R3366">
        <v>0.5</v>
      </c>
      <c r="S3366">
        <v>10.5</v>
      </c>
    </row>
    <row r="3367" spans="17:19" customFormat="1" x14ac:dyDescent="0.2">
      <c r="Q3367" s="140">
        <v>43238</v>
      </c>
      <c r="R3367">
        <v>0</v>
      </c>
      <c r="S3367">
        <v>6.3</v>
      </c>
    </row>
    <row r="3368" spans="17:19" customFormat="1" x14ac:dyDescent="0.2">
      <c r="Q3368" s="140">
        <v>43239</v>
      </c>
      <c r="R3368">
        <v>0</v>
      </c>
      <c r="S3368">
        <v>9.4</v>
      </c>
    </row>
    <row r="3369" spans="17:19" customFormat="1" x14ac:dyDescent="0.2">
      <c r="Q3369" s="140">
        <v>43240</v>
      </c>
      <c r="R3369">
        <v>0</v>
      </c>
      <c r="S3369">
        <v>7.8</v>
      </c>
    </row>
    <row r="3370" spans="17:19" customFormat="1" x14ac:dyDescent="0.2">
      <c r="Q3370" s="140">
        <v>43241</v>
      </c>
      <c r="R3370">
        <v>0.6</v>
      </c>
      <c r="S3370">
        <v>6.8</v>
      </c>
    </row>
    <row r="3371" spans="17:19" customFormat="1" x14ac:dyDescent="0.2">
      <c r="Q3371" s="140">
        <v>43242</v>
      </c>
      <c r="R3371">
        <v>0.1</v>
      </c>
      <c r="S3371">
        <v>9</v>
      </c>
    </row>
    <row r="3372" spans="17:19" customFormat="1" x14ac:dyDescent="0.2">
      <c r="Q3372" s="140">
        <v>43243</v>
      </c>
      <c r="R3372">
        <v>0.4</v>
      </c>
      <c r="S3372">
        <v>10.3</v>
      </c>
    </row>
    <row r="3373" spans="17:19" customFormat="1" x14ac:dyDescent="0.2">
      <c r="Q3373" s="140">
        <v>43244</v>
      </c>
      <c r="R3373">
        <v>0.2</v>
      </c>
      <c r="S3373">
        <v>12.8</v>
      </c>
    </row>
    <row r="3374" spans="17:19" customFormat="1" x14ac:dyDescent="0.2">
      <c r="Q3374" s="140">
        <v>43245</v>
      </c>
      <c r="R3374">
        <v>0</v>
      </c>
      <c r="S3374">
        <v>11.6</v>
      </c>
    </row>
    <row r="3375" spans="17:19" customFormat="1" x14ac:dyDescent="0.2">
      <c r="Q3375" s="140">
        <v>43246</v>
      </c>
      <c r="R3375">
        <v>0</v>
      </c>
      <c r="S3375">
        <v>14</v>
      </c>
    </row>
    <row r="3376" spans="17:19" customFormat="1" x14ac:dyDescent="0.2">
      <c r="Q3376" s="140">
        <v>43247</v>
      </c>
      <c r="R3376">
        <v>0</v>
      </c>
      <c r="S3376">
        <v>18.100000000000001</v>
      </c>
    </row>
    <row r="3377" spans="17:19" customFormat="1" x14ac:dyDescent="0.2">
      <c r="Q3377" s="140">
        <v>43248</v>
      </c>
      <c r="R3377">
        <v>0</v>
      </c>
      <c r="S3377">
        <v>18.899999999999999</v>
      </c>
    </row>
    <row r="3378" spans="17:19" customFormat="1" x14ac:dyDescent="0.2">
      <c r="Q3378" s="140">
        <v>43249</v>
      </c>
      <c r="R3378">
        <v>0</v>
      </c>
      <c r="S3378">
        <v>14.7</v>
      </c>
    </row>
    <row r="3379" spans="17:19" customFormat="1" x14ac:dyDescent="0.2">
      <c r="Q3379" s="140">
        <v>43250</v>
      </c>
      <c r="R3379">
        <v>0</v>
      </c>
      <c r="S3379">
        <v>13.6</v>
      </c>
    </row>
    <row r="3380" spans="17:19" customFormat="1" x14ac:dyDescent="0.2">
      <c r="Q3380" s="140">
        <v>43251</v>
      </c>
      <c r="R3380">
        <v>0</v>
      </c>
      <c r="S3380">
        <v>14.1</v>
      </c>
    </row>
    <row r="3381" spans="17:19" customFormat="1" x14ac:dyDescent="0.2">
      <c r="Q3381" s="140">
        <v>43252</v>
      </c>
      <c r="R3381">
        <v>0</v>
      </c>
      <c r="S3381">
        <v>16.600000000000001</v>
      </c>
    </row>
    <row r="3382" spans="17:19" customFormat="1" x14ac:dyDescent="0.2">
      <c r="Q3382" s="140">
        <v>43253</v>
      </c>
      <c r="R3382">
        <v>0.1</v>
      </c>
      <c r="S3382">
        <v>8.1999999999999993</v>
      </c>
    </row>
    <row r="3383" spans="17:19" customFormat="1" x14ac:dyDescent="0.2">
      <c r="Q3383" s="140">
        <v>43254</v>
      </c>
      <c r="R3383">
        <v>0.2</v>
      </c>
      <c r="S3383">
        <v>8.9</v>
      </c>
    </row>
    <row r="3384" spans="17:19" customFormat="1" x14ac:dyDescent="0.2">
      <c r="Q3384" s="140">
        <v>43255</v>
      </c>
      <c r="R3384">
        <v>2.2000000000000002</v>
      </c>
      <c r="S3384">
        <v>6.3</v>
      </c>
    </row>
    <row r="3385" spans="17:19" customFormat="1" x14ac:dyDescent="0.2">
      <c r="Q3385" s="140">
        <v>43256</v>
      </c>
      <c r="R3385">
        <v>1.5</v>
      </c>
      <c r="S3385">
        <v>10.4</v>
      </c>
    </row>
    <row r="3386" spans="17:19" customFormat="1" x14ac:dyDescent="0.2">
      <c r="Q3386" s="140">
        <v>43257</v>
      </c>
      <c r="R3386">
        <v>1.7</v>
      </c>
      <c r="S3386">
        <v>9.6</v>
      </c>
    </row>
    <row r="3387" spans="17:19" customFormat="1" x14ac:dyDescent="0.2">
      <c r="Q3387" s="140">
        <v>43258</v>
      </c>
      <c r="R3387">
        <v>0</v>
      </c>
      <c r="S3387">
        <v>15.6</v>
      </c>
    </row>
    <row r="3388" spans="17:19" customFormat="1" x14ac:dyDescent="0.2">
      <c r="Q3388" s="140">
        <v>43259</v>
      </c>
      <c r="R3388">
        <v>0</v>
      </c>
      <c r="S3388">
        <v>17</v>
      </c>
    </row>
    <row r="3389" spans="17:19" customFormat="1" x14ac:dyDescent="0.2">
      <c r="Q3389" s="140">
        <v>43260</v>
      </c>
      <c r="R3389">
        <v>0</v>
      </c>
      <c r="S3389">
        <v>11</v>
      </c>
    </row>
    <row r="3390" spans="17:19" customFormat="1" x14ac:dyDescent="0.2">
      <c r="Q3390" s="140">
        <v>43261</v>
      </c>
      <c r="R3390">
        <v>0</v>
      </c>
      <c r="S3390">
        <v>11.7</v>
      </c>
    </row>
    <row r="3391" spans="17:19" customFormat="1" x14ac:dyDescent="0.2">
      <c r="Q3391" s="140">
        <v>43262</v>
      </c>
      <c r="R3391">
        <v>0</v>
      </c>
      <c r="S3391">
        <v>9.6</v>
      </c>
    </row>
    <row r="3392" spans="17:19" customFormat="1" x14ac:dyDescent="0.2">
      <c r="Q3392" s="140">
        <v>43263</v>
      </c>
      <c r="R3392">
        <v>0</v>
      </c>
      <c r="S3392">
        <v>13</v>
      </c>
    </row>
    <row r="3393" spans="17:19" customFormat="1" x14ac:dyDescent="0.2">
      <c r="Q3393" s="140">
        <v>43264</v>
      </c>
      <c r="R3393">
        <v>0.1</v>
      </c>
      <c r="S3393">
        <v>11.3</v>
      </c>
    </row>
    <row r="3394" spans="17:19" customFormat="1" x14ac:dyDescent="0.2">
      <c r="Q3394" s="140">
        <v>43265</v>
      </c>
      <c r="R3394">
        <v>1</v>
      </c>
      <c r="S3394">
        <v>8.6</v>
      </c>
    </row>
    <row r="3395" spans="17:19" customFormat="1" x14ac:dyDescent="0.2">
      <c r="Q3395" s="140">
        <v>43266</v>
      </c>
      <c r="R3395">
        <v>0</v>
      </c>
      <c r="S3395">
        <v>17</v>
      </c>
    </row>
    <row r="3396" spans="17:19" customFormat="1" x14ac:dyDescent="0.2">
      <c r="Q3396" s="140">
        <v>43267</v>
      </c>
      <c r="R3396">
        <v>0</v>
      </c>
      <c r="S3396">
        <v>19.5</v>
      </c>
    </row>
    <row r="3397" spans="17:19" customFormat="1" x14ac:dyDescent="0.2">
      <c r="Q3397" s="140">
        <v>43268</v>
      </c>
      <c r="R3397">
        <v>0</v>
      </c>
      <c r="S3397">
        <v>19.7</v>
      </c>
    </row>
    <row r="3398" spans="17:19" customFormat="1" x14ac:dyDescent="0.2">
      <c r="Q3398" s="140">
        <v>43269</v>
      </c>
      <c r="R3398">
        <v>0</v>
      </c>
      <c r="S3398">
        <v>21</v>
      </c>
    </row>
    <row r="3399" spans="17:19" customFormat="1" x14ac:dyDescent="0.2">
      <c r="Q3399" s="140">
        <v>43270</v>
      </c>
      <c r="R3399">
        <v>0</v>
      </c>
      <c r="S3399">
        <v>16.600000000000001</v>
      </c>
    </row>
    <row r="3400" spans="17:19" customFormat="1" x14ac:dyDescent="0.2">
      <c r="Q3400" s="140">
        <v>43271</v>
      </c>
      <c r="R3400">
        <v>0</v>
      </c>
      <c r="S3400">
        <v>13.4</v>
      </c>
    </row>
    <row r="3401" spans="17:19" customFormat="1" x14ac:dyDescent="0.2">
      <c r="Q3401" s="140">
        <v>43272</v>
      </c>
      <c r="R3401">
        <v>0</v>
      </c>
      <c r="S3401">
        <v>8.6</v>
      </c>
    </row>
    <row r="3402" spans="17:19" customFormat="1" x14ac:dyDescent="0.2">
      <c r="Q3402" s="140">
        <v>43273</v>
      </c>
      <c r="R3402">
        <v>0</v>
      </c>
      <c r="S3402">
        <v>4.4000000000000004</v>
      </c>
    </row>
    <row r="3403" spans="17:19" customFormat="1" x14ac:dyDescent="0.2">
      <c r="Q3403" s="140">
        <v>43274</v>
      </c>
      <c r="R3403">
        <v>0.1</v>
      </c>
      <c r="S3403">
        <v>5</v>
      </c>
    </row>
    <row r="3404" spans="17:19" customFormat="1" x14ac:dyDescent="0.2">
      <c r="Q3404" s="140">
        <v>43275</v>
      </c>
      <c r="R3404">
        <v>0.4</v>
      </c>
      <c r="S3404">
        <v>9.9</v>
      </c>
    </row>
    <row r="3405" spans="17:19" customFormat="1" x14ac:dyDescent="0.2">
      <c r="Q3405" s="140">
        <v>43276</v>
      </c>
      <c r="R3405">
        <v>0</v>
      </c>
      <c r="S3405">
        <v>10.199999999999999</v>
      </c>
    </row>
    <row r="3406" spans="17:19" customFormat="1" x14ac:dyDescent="0.2">
      <c r="Q3406" s="140">
        <v>43277</v>
      </c>
      <c r="R3406">
        <v>0</v>
      </c>
      <c r="S3406">
        <v>8.6999999999999993</v>
      </c>
    </row>
    <row r="3407" spans="17:19" customFormat="1" x14ac:dyDescent="0.2">
      <c r="Q3407" s="140">
        <v>43278</v>
      </c>
      <c r="R3407">
        <v>0</v>
      </c>
      <c r="S3407">
        <v>11.7</v>
      </c>
    </row>
    <row r="3408" spans="17:19" customFormat="1" x14ac:dyDescent="0.2">
      <c r="Q3408" s="140">
        <v>43279</v>
      </c>
      <c r="R3408">
        <v>0</v>
      </c>
      <c r="S3408">
        <v>11.5</v>
      </c>
    </row>
    <row r="3409" spans="17:19" customFormat="1" x14ac:dyDescent="0.2">
      <c r="Q3409" s="140">
        <v>43280</v>
      </c>
      <c r="R3409">
        <v>0</v>
      </c>
      <c r="S3409">
        <v>16.399999999999999</v>
      </c>
    </row>
    <row r="3410" spans="17:19" customFormat="1" x14ac:dyDescent="0.2">
      <c r="Q3410" s="140">
        <v>43281</v>
      </c>
      <c r="R3410">
        <v>0</v>
      </c>
      <c r="S3410">
        <v>20.100000000000001</v>
      </c>
    </row>
    <row r="3411" spans="17:19" customFormat="1" x14ac:dyDescent="0.2">
      <c r="Q3411" s="140">
        <v>43282</v>
      </c>
      <c r="R3411">
        <v>0</v>
      </c>
      <c r="S3411">
        <v>17.2</v>
      </c>
    </row>
    <row r="3412" spans="17:19" customFormat="1" x14ac:dyDescent="0.2">
      <c r="Q3412" s="140">
        <v>43283</v>
      </c>
      <c r="R3412">
        <v>0</v>
      </c>
      <c r="S3412">
        <v>14.4</v>
      </c>
    </row>
    <row r="3413" spans="17:19" customFormat="1" x14ac:dyDescent="0.2">
      <c r="Q3413" s="140">
        <v>43284</v>
      </c>
      <c r="R3413">
        <v>0</v>
      </c>
      <c r="S3413">
        <v>15.7</v>
      </c>
    </row>
    <row r="3414" spans="17:19" customFormat="1" x14ac:dyDescent="0.2">
      <c r="Q3414" s="140">
        <v>43285</v>
      </c>
      <c r="R3414">
        <v>0</v>
      </c>
      <c r="S3414">
        <v>19.2</v>
      </c>
    </row>
    <row r="3415" spans="17:19" customFormat="1" x14ac:dyDescent="0.2">
      <c r="Q3415" s="140">
        <v>43286</v>
      </c>
      <c r="R3415">
        <v>0</v>
      </c>
      <c r="S3415">
        <v>15.8</v>
      </c>
    </row>
    <row r="3416" spans="17:19" customFormat="1" x14ac:dyDescent="0.2">
      <c r="Q3416" s="140">
        <v>43287</v>
      </c>
      <c r="R3416">
        <v>0</v>
      </c>
      <c r="S3416">
        <v>10.9</v>
      </c>
    </row>
    <row r="3417" spans="17:19" customFormat="1" x14ac:dyDescent="0.2">
      <c r="Q3417" s="140">
        <v>43288</v>
      </c>
      <c r="R3417">
        <v>1.6</v>
      </c>
      <c r="S3417">
        <v>6.8</v>
      </c>
    </row>
    <row r="3418" spans="17:19" customFormat="1" x14ac:dyDescent="0.2">
      <c r="Q3418" s="140">
        <v>43289</v>
      </c>
      <c r="R3418">
        <v>1.4</v>
      </c>
      <c r="S3418">
        <v>10.1</v>
      </c>
    </row>
    <row r="3419" spans="17:19" customFormat="1" x14ac:dyDescent="0.2">
      <c r="Q3419" s="140">
        <v>43290</v>
      </c>
      <c r="R3419">
        <v>0</v>
      </c>
      <c r="S3419">
        <v>16</v>
      </c>
    </row>
    <row r="3420" spans="17:19" customFormat="1" x14ac:dyDescent="0.2">
      <c r="Q3420" s="140">
        <v>43291</v>
      </c>
      <c r="R3420">
        <v>0</v>
      </c>
      <c r="S3420">
        <v>18</v>
      </c>
    </row>
    <row r="3421" spans="17:19" customFormat="1" x14ac:dyDescent="0.2">
      <c r="Q3421" s="140">
        <v>43292</v>
      </c>
      <c r="R3421">
        <v>0</v>
      </c>
      <c r="S3421">
        <v>14.5</v>
      </c>
    </row>
    <row r="3422" spans="17:19" customFormat="1" x14ac:dyDescent="0.2">
      <c r="Q3422" s="140">
        <v>43293</v>
      </c>
      <c r="R3422">
        <v>0</v>
      </c>
      <c r="S3422">
        <v>14</v>
      </c>
    </row>
    <row r="3423" spans="17:19" customFormat="1" x14ac:dyDescent="0.2">
      <c r="Q3423" s="140">
        <v>43294</v>
      </c>
      <c r="R3423">
        <v>0</v>
      </c>
      <c r="S3423">
        <v>16</v>
      </c>
    </row>
    <row r="3424" spans="17:19" customFormat="1" x14ac:dyDescent="0.2">
      <c r="Q3424" s="140">
        <v>43295</v>
      </c>
      <c r="R3424">
        <v>0</v>
      </c>
      <c r="S3424">
        <v>13.2</v>
      </c>
    </row>
    <row r="3425" spans="17:19" customFormat="1" x14ac:dyDescent="0.2">
      <c r="Q3425" s="140">
        <v>43296</v>
      </c>
      <c r="R3425">
        <v>0</v>
      </c>
      <c r="S3425">
        <v>14.1</v>
      </c>
    </row>
    <row r="3426" spans="17:19" customFormat="1" x14ac:dyDescent="0.2">
      <c r="Q3426" s="140">
        <v>43297</v>
      </c>
      <c r="R3426">
        <v>0</v>
      </c>
      <c r="S3426">
        <v>15.5</v>
      </c>
    </row>
    <row r="3427" spans="17:19" customFormat="1" x14ac:dyDescent="0.2">
      <c r="Q3427" s="140">
        <v>43298</v>
      </c>
      <c r="R3427">
        <v>0</v>
      </c>
      <c r="S3427">
        <v>12.1</v>
      </c>
    </row>
    <row r="3428" spans="17:19" customFormat="1" x14ac:dyDescent="0.2">
      <c r="Q3428" s="140">
        <v>43299</v>
      </c>
      <c r="R3428">
        <v>0</v>
      </c>
      <c r="S3428">
        <v>9.3000000000000007</v>
      </c>
    </row>
    <row r="3429" spans="17:19" customFormat="1" x14ac:dyDescent="0.2">
      <c r="Q3429" s="140">
        <v>43300</v>
      </c>
      <c r="R3429">
        <v>0</v>
      </c>
      <c r="S3429">
        <v>9.6999999999999993</v>
      </c>
    </row>
    <row r="3430" spans="17:19" customFormat="1" x14ac:dyDescent="0.2">
      <c r="Q3430" s="140">
        <v>43301</v>
      </c>
      <c r="R3430">
        <v>0</v>
      </c>
      <c r="S3430">
        <v>10.6</v>
      </c>
    </row>
    <row r="3431" spans="17:19" customFormat="1" x14ac:dyDescent="0.2">
      <c r="Q3431" s="140">
        <v>43302</v>
      </c>
      <c r="R3431">
        <v>0</v>
      </c>
      <c r="S3431">
        <v>8.6</v>
      </c>
    </row>
    <row r="3432" spans="17:19" customFormat="1" x14ac:dyDescent="0.2">
      <c r="Q3432" s="140">
        <v>43303</v>
      </c>
      <c r="R3432">
        <v>0</v>
      </c>
      <c r="S3432">
        <v>7.5</v>
      </c>
    </row>
    <row r="3433" spans="17:19" customFormat="1" x14ac:dyDescent="0.2">
      <c r="Q3433" s="140">
        <v>43304</v>
      </c>
      <c r="R3433">
        <v>0.1</v>
      </c>
      <c r="S3433">
        <v>9.6</v>
      </c>
    </row>
    <row r="3434" spans="17:19" customFormat="1" x14ac:dyDescent="0.2">
      <c r="Q3434" s="140">
        <v>43305</v>
      </c>
      <c r="R3434">
        <v>0.1</v>
      </c>
      <c r="S3434">
        <v>11.8</v>
      </c>
    </row>
    <row r="3435" spans="17:19" customFormat="1" x14ac:dyDescent="0.2">
      <c r="Q3435" s="140">
        <v>43306</v>
      </c>
      <c r="R3435">
        <v>0.3</v>
      </c>
      <c r="S3435">
        <v>10.1</v>
      </c>
    </row>
    <row r="3436" spans="17:19" customFormat="1" x14ac:dyDescent="0.2">
      <c r="Q3436" s="140">
        <v>43307</v>
      </c>
      <c r="R3436">
        <v>0</v>
      </c>
      <c r="S3436">
        <v>8.1999999999999993</v>
      </c>
    </row>
    <row r="3437" spans="17:19" customFormat="1" x14ac:dyDescent="0.2">
      <c r="Q3437" s="140">
        <v>43308</v>
      </c>
      <c r="R3437">
        <v>1.1000000000000001</v>
      </c>
      <c r="S3437">
        <v>5.6</v>
      </c>
    </row>
    <row r="3438" spans="17:19" customFormat="1" x14ac:dyDescent="0.2">
      <c r="Q3438" s="140">
        <v>43309</v>
      </c>
      <c r="R3438">
        <v>2</v>
      </c>
      <c r="S3438">
        <v>6.7</v>
      </c>
    </row>
    <row r="3439" spans="17:19" customFormat="1" x14ac:dyDescent="0.2">
      <c r="Q3439" s="140">
        <v>43310</v>
      </c>
      <c r="R3439">
        <v>0.4</v>
      </c>
      <c r="S3439">
        <v>1</v>
      </c>
    </row>
    <row r="3440" spans="17:19" customFormat="1" x14ac:dyDescent="0.2">
      <c r="Q3440" s="140">
        <v>43311</v>
      </c>
      <c r="R3440">
        <v>0</v>
      </c>
      <c r="S3440">
        <v>3.7</v>
      </c>
    </row>
    <row r="3441" spans="17:19" customFormat="1" x14ac:dyDescent="0.2">
      <c r="Q3441" s="140">
        <v>43312</v>
      </c>
      <c r="R3441">
        <v>0.4</v>
      </c>
      <c r="S3441">
        <v>4.2</v>
      </c>
    </row>
    <row r="3442" spans="17:19" customFormat="1" x14ac:dyDescent="0.2">
      <c r="Q3442" s="140">
        <v>43313</v>
      </c>
      <c r="R3442">
        <v>1.7</v>
      </c>
      <c r="S3442">
        <v>7.7</v>
      </c>
    </row>
    <row r="3443" spans="17:19" customFormat="1" x14ac:dyDescent="0.2">
      <c r="Q3443" s="140">
        <v>43314</v>
      </c>
      <c r="R3443">
        <v>0</v>
      </c>
      <c r="S3443">
        <v>10</v>
      </c>
    </row>
    <row r="3444" spans="17:19" customFormat="1" x14ac:dyDescent="0.2">
      <c r="Q3444" s="140">
        <v>43315</v>
      </c>
      <c r="R3444">
        <v>0</v>
      </c>
      <c r="S3444">
        <v>13.9</v>
      </c>
    </row>
    <row r="3445" spans="17:19" customFormat="1" x14ac:dyDescent="0.2">
      <c r="Q3445" s="140">
        <v>43316</v>
      </c>
      <c r="R3445">
        <v>0</v>
      </c>
      <c r="S3445">
        <v>15.9</v>
      </c>
    </row>
    <row r="3446" spans="17:19" customFormat="1" x14ac:dyDescent="0.2">
      <c r="Q3446" s="140">
        <v>43317</v>
      </c>
      <c r="R3446">
        <v>0</v>
      </c>
      <c r="S3446">
        <v>17</v>
      </c>
    </row>
    <row r="3447" spans="17:19" customFormat="1" x14ac:dyDescent="0.2">
      <c r="Q3447" s="140">
        <v>43318</v>
      </c>
      <c r="R3447">
        <v>0</v>
      </c>
      <c r="S3447">
        <v>17.2</v>
      </c>
    </row>
    <row r="3448" spans="17:19" customFormat="1" x14ac:dyDescent="0.2">
      <c r="Q3448" s="140">
        <v>43319</v>
      </c>
      <c r="R3448">
        <v>0</v>
      </c>
      <c r="S3448">
        <v>9.1999999999999993</v>
      </c>
    </row>
    <row r="3449" spans="17:19" customFormat="1" x14ac:dyDescent="0.2">
      <c r="Q3449" s="140">
        <v>43320</v>
      </c>
      <c r="R3449">
        <v>0</v>
      </c>
      <c r="S3449">
        <v>11.2</v>
      </c>
    </row>
    <row r="3450" spans="17:19" customFormat="1" x14ac:dyDescent="0.2">
      <c r="Q3450" s="140">
        <v>43321</v>
      </c>
      <c r="R3450">
        <v>0.3</v>
      </c>
      <c r="S3450">
        <v>12.2</v>
      </c>
    </row>
    <row r="3451" spans="17:19" customFormat="1" x14ac:dyDescent="0.2">
      <c r="Q3451" s="140">
        <v>43322</v>
      </c>
      <c r="R3451">
        <v>0</v>
      </c>
      <c r="S3451">
        <v>14</v>
      </c>
    </row>
    <row r="3452" spans="17:19" customFormat="1" x14ac:dyDescent="0.2">
      <c r="Q3452" s="140">
        <v>43323</v>
      </c>
      <c r="R3452">
        <v>0</v>
      </c>
      <c r="S3452">
        <v>11.2</v>
      </c>
    </row>
    <row r="3453" spans="17:19" customFormat="1" x14ac:dyDescent="0.2">
      <c r="Q3453" s="140">
        <v>43324</v>
      </c>
      <c r="R3453">
        <v>0</v>
      </c>
      <c r="S3453">
        <v>12.2</v>
      </c>
    </row>
    <row r="3454" spans="17:19" customFormat="1" x14ac:dyDescent="0.2">
      <c r="Q3454" s="140">
        <v>43325</v>
      </c>
      <c r="R3454">
        <v>0</v>
      </c>
      <c r="S3454">
        <v>12.6</v>
      </c>
    </row>
    <row r="3455" spans="17:19" customFormat="1" x14ac:dyDescent="0.2">
      <c r="Q3455" s="140">
        <v>43326</v>
      </c>
      <c r="R3455">
        <v>0</v>
      </c>
      <c r="S3455">
        <v>12.1</v>
      </c>
    </row>
    <row r="3456" spans="17:19" customFormat="1" x14ac:dyDescent="0.2">
      <c r="Q3456" s="140">
        <v>43327</v>
      </c>
      <c r="R3456">
        <v>0</v>
      </c>
      <c r="S3456">
        <v>11.4</v>
      </c>
    </row>
    <row r="3457" spans="17:19" customFormat="1" x14ac:dyDescent="0.2">
      <c r="Q3457" s="140">
        <v>43328</v>
      </c>
      <c r="R3457">
        <v>0</v>
      </c>
      <c r="S3457">
        <v>14.1</v>
      </c>
    </row>
    <row r="3458" spans="17:19" customFormat="1" x14ac:dyDescent="0.2">
      <c r="Q3458" s="140">
        <v>43329</v>
      </c>
      <c r="R3458">
        <v>0</v>
      </c>
      <c r="S3458">
        <v>10.199999999999999</v>
      </c>
    </row>
    <row r="3459" spans="17:19" customFormat="1" x14ac:dyDescent="0.2">
      <c r="Q3459" s="140">
        <v>43330</v>
      </c>
      <c r="R3459">
        <v>0</v>
      </c>
      <c r="S3459">
        <v>10.4</v>
      </c>
    </row>
    <row r="3460" spans="17:19" customFormat="1" x14ac:dyDescent="0.2">
      <c r="Q3460" s="140">
        <v>43331</v>
      </c>
      <c r="R3460">
        <v>0</v>
      </c>
      <c r="S3460">
        <v>11.6</v>
      </c>
    </row>
    <row r="3461" spans="17:19" customFormat="1" x14ac:dyDescent="0.2">
      <c r="Q3461" s="140">
        <v>43332</v>
      </c>
      <c r="R3461">
        <v>0</v>
      </c>
      <c r="S3461">
        <v>11.1</v>
      </c>
    </row>
    <row r="3462" spans="17:19" customFormat="1" x14ac:dyDescent="0.2">
      <c r="Q3462" s="140">
        <v>43333</v>
      </c>
      <c r="R3462">
        <v>0</v>
      </c>
      <c r="S3462">
        <v>7.5</v>
      </c>
    </row>
    <row r="3463" spans="17:19" customFormat="1" x14ac:dyDescent="0.2">
      <c r="Q3463" s="140">
        <v>43334</v>
      </c>
      <c r="R3463">
        <v>1.1000000000000001</v>
      </c>
      <c r="S3463">
        <v>5.0999999999999996</v>
      </c>
    </row>
    <row r="3464" spans="17:19" customFormat="1" x14ac:dyDescent="0.2">
      <c r="Q3464" s="140">
        <v>43335</v>
      </c>
      <c r="R3464">
        <v>2.9</v>
      </c>
      <c r="S3464">
        <v>5.8</v>
      </c>
    </row>
    <row r="3465" spans="17:19" customFormat="1" x14ac:dyDescent="0.2">
      <c r="Q3465" s="140">
        <v>43336</v>
      </c>
      <c r="R3465">
        <v>0.2</v>
      </c>
      <c r="S3465">
        <v>2.2999999999999998</v>
      </c>
    </row>
    <row r="3466" spans="17:19" customFormat="1" x14ac:dyDescent="0.2">
      <c r="Q3466" s="140">
        <v>43337</v>
      </c>
      <c r="R3466">
        <v>0</v>
      </c>
      <c r="S3466">
        <v>15.5</v>
      </c>
    </row>
    <row r="3467" spans="17:19" customFormat="1" x14ac:dyDescent="0.2">
      <c r="Q3467" s="140">
        <v>43338</v>
      </c>
      <c r="R3467">
        <v>0</v>
      </c>
      <c r="S3467">
        <v>19</v>
      </c>
    </row>
    <row r="3468" spans="17:19" customFormat="1" x14ac:dyDescent="0.2">
      <c r="Q3468" s="140">
        <v>43339</v>
      </c>
      <c r="R3468">
        <v>0</v>
      </c>
      <c r="S3468">
        <v>18.7</v>
      </c>
    </row>
    <row r="3469" spans="17:19" customFormat="1" x14ac:dyDescent="0.2">
      <c r="Q3469" s="140">
        <v>43340</v>
      </c>
      <c r="R3469">
        <v>0</v>
      </c>
      <c r="S3469">
        <v>19.600000000000001</v>
      </c>
    </row>
    <row r="3470" spans="17:19" customFormat="1" x14ac:dyDescent="0.2">
      <c r="Q3470" s="140">
        <v>43341</v>
      </c>
      <c r="R3470">
        <v>0</v>
      </c>
      <c r="S3470">
        <v>7.4</v>
      </c>
    </row>
    <row r="3471" spans="17:19" customFormat="1" x14ac:dyDescent="0.2">
      <c r="Q3471" s="140">
        <v>43342</v>
      </c>
      <c r="R3471">
        <v>0</v>
      </c>
      <c r="S3471">
        <v>8.6999999999999993</v>
      </c>
    </row>
    <row r="3472" spans="17:19" customFormat="1" x14ac:dyDescent="0.2">
      <c r="Q3472" s="140">
        <v>43343</v>
      </c>
      <c r="R3472">
        <v>0</v>
      </c>
      <c r="S3472">
        <v>11.6</v>
      </c>
    </row>
    <row r="3473" spans="17:19" customFormat="1" x14ac:dyDescent="0.2">
      <c r="Q3473" s="140">
        <v>43344</v>
      </c>
      <c r="R3473">
        <v>0</v>
      </c>
      <c r="S3473">
        <v>16.399999999999999</v>
      </c>
    </row>
    <row r="3474" spans="17:19" customFormat="1" x14ac:dyDescent="0.2">
      <c r="Q3474" s="140">
        <v>43345</v>
      </c>
      <c r="R3474">
        <v>0</v>
      </c>
      <c r="S3474">
        <v>18.100000000000001</v>
      </c>
    </row>
    <row r="3475" spans="17:19" customFormat="1" x14ac:dyDescent="0.2">
      <c r="Q3475" s="140">
        <v>43346</v>
      </c>
      <c r="R3475">
        <v>0</v>
      </c>
      <c r="S3475">
        <v>19.5</v>
      </c>
    </row>
    <row r="3476" spans="17:19" customFormat="1" x14ac:dyDescent="0.2">
      <c r="Q3476" s="140">
        <v>43347</v>
      </c>
      <c r="R3476">
        <v>0</v>
      </c>
      <c r="S3476">
        <v>20.8</v>
      </c>
    </row>
    <row r="3477" spans="17:19" customFormat="1" x14ac:dyDescent="0.2">
      <c r="Q3477" s="140">
        <v>43348</v>
      </c>
      <c r="R3477">
        <v>0</v>
      </c>
      <c r="S3477">
        <v>21.7</v>
      </c>
    </row>
    <row r="3478" spans="17:19" customFormat="1" x14ac:dyDescent="0.2">
      <c r="Q3478" s="140">
        <v>43349</v>
      </c>
      <c r="R3478">
        <v>0</v>
      </c>
      <c r="S3478">
        <v>11.4</v>
      </c>
    </row>
    <row r="3479" spans="17:19" customFormat="1" x14ac:dyDescent="0.2">
      <c r="Q3479" s="140">
        <v>43350</v>
      </c>
      <c r="R3479">
        <v>0</v>
      </c>
      <c r="S3479">
        <v>4.2</v>
      </c>
    </row>
    <row r="3480" spans="17:19" customFormat="1" x14ac:dyDescent="0.2">
      <c r="Q3480" s="140">
        <v>43351</v>
      </c>
      <c r="R3480">
        <v>1.6</v>
      </c>
      <c r="S3480">
        <v>0.6</v>
      </c>
    </row>
    <row r="3481" spans="17:19" customFormat="1" x14ac:dyDescent="0.2">
      <c r="Q3481" s="140">
        <v>43352</v>
      </c>
      <c r="R3481">
        <v>2.1</v>
      </c>
      <c r="S3481">
        <v>3.2</v>
      </c>
    </row>
    <row r="3482" spans="17:19" customFormat="1" x14ac:dyDescent="0.2">
      <c r="Q3482" s="140">
        <v>43353</v>
      </c>
      <c r="R3482">
        <v>4.4000000000000004</v>
      </c>
      <c r="S3482">
        <v>4</v>
      </c>
    </row>
    <row r="3483" spans="17:19" customFormat="1" x14ac:dyDescent="0.2">
      <c r="Q3483" s="140">
        <v>43354</v>
      </c>
      <c r="R3483">
        <v>3.7</v>
      </c>
      <c r="S3483">
        <v>5.9</v>
      </c>
    </row>
    <row r="3484" spans="17:19" customFormat="1" x14ac:dyDescent="0.2">
      <c r="Q3484" s="140">
        <v>43355</v>
      </c>
      <c r="R3484">
        <v>1</v>
      </c>
      <c r="S3484">
        <v>6.1</v>
      </c>
    </row>
    <row r="3485" spans="17:19" customFormat="1" x14ac:dyDescent="0.2">
      <c r="Q3485" s="140">
        <v>43356</v>
      </c>
      <c r="R3485">
        <v>1.5</v>
      </c>
      <c r="S3485">
        <v>7.3</v>
      </c>
    </row>
    <row r="3486" spans="17:19" customFormat="1" x14ac:dyDescent="0.2">
      <c r="Q3486" s="140">
        <v>43357</v>
      </c>
      <c r="R3486">
        <v>0.2</v>
      </c>
      <c r="S3486">
        <v>10.8</v>
      </c>
    </row>
    <row r="3487" spans="17:19" customFormat="1" x14ac:dyDescent="0.2">
      <c r="Q3487" s="140">
        <v>43358</v>
      </c>
      <c r="R3487">
        <v>0</v>
      </c>
      <c r="S3487">
        <v>12.3</v>
      </c>
    </row>
    <row r="3488" spans="17:19" customFormat="1" x14ac:dyDescent="0.2">
      <c r="Q3488" s="140">
        <v>43359</v>
      </c>
      <c r="R3488">
        <v>0.1</v>
      </c>
      <c r="S3488">
        <v>12.4</v>
      </c>
    </row>
    <row r="3489" spans="17:19" customFormat="1" x14ac:dyDescent="0.2">
      <c r="Q3489" s="140">
        <v>43360</v>
      </c>
      <c r="R3489">
        <v>0</v>
      </c>
      <c r="S3489">
        <v>13.4</v>
      </c>
    </row>
    <row r="3490" spans="17:19" customFormat="1" x14ac:dyDescent="0.2">
      <c r="Q3490" s="140">
        <v>43361</v>
      </c>
      <c r="R3490">
        <v>0</v>
      </c>
      <c r="S3490">
        <v>12.6</v>
      </c>
    </row>
    <row r="3491" spans="17:19" customFormat="1" x14ac:dyDescent="0.2">
      <c r="Q3491" s="140">
        <v>43362</v>
      </c>
      <c r="R3491">
        <v>0</v>
      </c>
      <c r="S3491">
        <v>11.8</v>
      </c>
    </row>
    <row r="3492" spans="17:19" customFormat="1" x14ac:dyDescent="0.2">
      <c r="Q3492" s="140">
        <v>43363</v>
      </c>
      <c r="R3492">
        <v>0</v>
      </c>
      <c r="S3492">
        <v>18.100000000000001</v>
      </c>
    </row>
    <row r="3493" spans="17:19" customFormat="1" x14ac:dyDescent="0.2">
      <c r="Q3493" s="140">
        <v>43364</v>
      </c>
      <c r="R3493">
        <v>0.4</v>
      </c>
      <c r="S3493">
        <v>9.1</v>
      </c>
    </row>
    <row r="3494" spans="17:19" customFormat="1" x14ac:dyDescent="0.2">
      <c r="Q3494" s="140">
        <v>43365</v>
      </c>
      <c r="R3494">
        <v>5.5</v>
      </c>
      <c r="S3494">
        <v>1</v>
      </c>
    </row>
    <row r="3495" spans="17:19" customFormat="1" x14ac:dyDescent="0.2">
      <c r="Q3495" s="140">
        <v>43366</v>
      </c>
      <c r="R3495">
        <v>6.4</v>
      </c>
      <c r="S3495">
        <v>3.7</v>
      </c>
    </row>
    <row r="3496" spans="17:19" customFormat="1" x14ac:dyDescent="0.2">
      <c r="Q3496" s="140">
        <v>43367</v>
      </c>
      <c r="R3496">
        <v>1.8</v>
      </c>
      <c r="S3496">
        <v>5.0999999999999996</v>
      </c>
    </row>
    <row r="3497" spans="17:19" customFormat="1" x14ac:dyDescent="0.2">
      <c r="Q3497" s="140">
        <v>43368</v>
      </c>
      <c r="R3497">
        <v>0</v>
      </c>
      <c r="S3497">
        <v>9.4</v>
      </c>
    </row>
    <row r="3498" spans="17:19" customFormat="1" x14ac:dyDescent="0.2">
      <c r="Q3498" s="140">
        <v>43369</v>
      </c>
      <c r="R3498">
        <v>6.2</v>
      </c>
      <c r="S3498">
        <v>1</v>
      </c>
    </row>
    <row r="3499" spans="17:19" customFormat="1" x14ac:dyDescent="0.2">
      <c r="Q3499" s="140">
        <v>43370</v>
      </c>
      <c r="R3499">
        <v>9.6999999999999993</v>
      </c>
      <c r="S3499">
        <v>1.4</v>
      </c>
    </row>
    <row r="3500" spans="17:19" customFormat="1" x14ac:dyDescent="0.2">
      <c r="Q3500" s="140">
        <v>43371</v>
      </c>
      <c r="R3500">
        <v>7.8</v>
      </c>
      <c r="S3500">
        <v>1.7</v>
      </c>
    </row>
    <row r="3501" spans="17:19" customFormat="1" x14ac:dyDescent="0.2">
      <c r="Q3501" s="140">
        <v>43372</v>
      </c>
      <c r="R3501">
        <v>10.5</v>
      </c>
      <c r="S3501">
        <v>0</v>
      </c>
    </row>
    <row r="3502" spans="17:19" customFormat="1" x14ac:dyDescent="0.2">
      <c r="Q3502" s="140">
        <v>43373</v>
      </c>
      <c r="R3502">
        <v>3.5</v>
      </c>
      <c r="S3502">
        <v>6.9</v>
      </c>
    </row>
    <row r="3503" spans="17:19" customFormat="1" x14ac:dyDescent="0.2">
      <c r="Q3503" s="140">
        <v>43374</v>
      </c>
      <c r="R3503">
        <v>0.4</v>
      </c>
      <c r="S3503">
        <v>8.6999999999999993</v>
      </c>
    </row>
    <row r="3504" spans="17:19" customFormat="1" x14ac:dyDescent="0.2">
      <c r="Q3504" s="140">
        <v>43375</v>
      </c>
      <c r="R3504">
        <v>0</v>
      </c>
      <c r="S3504">
        <v>9.6</v>
      </c>
    </row>
    <row r="3505" spans="17:19" customFormat="1" x14ac:dyDescent="0.2">
      <c r="Q3505" s="140">
        <v>43376</v>
      </c>
      <c r="R3505">
        <v>0</v>
      </c>
      <c r="S3505">
        <v>13.9</v>
      </c>
    </row>
    <row r="3506" spans="17:19" customFormat="1" x14ac:dyDescent="0.2">
      <c r="Q3506" s="140">
        <v>43377</v>
      </c>
      <c r="R3506">
        <v>2.2000000000000002</v>
      </c>
      <c r="S3506">
        <v>3.6</v>
      </c>
    </row>
    <row r="3507" spans="17:19" customFormat="1" x14ac:dyDescent="0.2">
      <c r="Q3507" s="140">
        <v>43378</v>
      </c>
      <c r="R3507">
        <v>4</v>
      </c>
      <c r="S3507">
        <v>6.6</v>
      </c>
    </row>
    <row r="3508" spans="17:19" customFormat="1" x14ac:dyDescent="0.2">
      <c r="Q3508" s="140">
        <v>43379</v>
      </c>
      <c r="R3508">
        <v>0.2</v>
      </c>
      <c r="S3508">
        <v>6.3</v>
      </c>
    </row>
    <row r="3509" spans="17:19" customFormat="1" x14ac:dyDescent="0.2">
      <c r="Q3509" s="140">
        <v>43380</v>
      </c>
      <c r="R3509">
        <v>1.7</v>
      </c>
      <c r="S3509">
        <v>3.1</v>
      </c>
    </row>
    <row r="3510" spans="17:19" customFormat="1" x14ac:dyDescent="0.2">
      <c r="Q3510" s="140">
        <v>43381</v>
      </c>
      <c r="R3510">
        <v>0</v>
      </c>
      <c r="S3510">
        <v>9.6</v>
      </c>
    </row>
    <row r="3511" spans="17:19" customFormat="1" x14ac:dyDescent="0.2">
      <c r="Q3511" s="140">
        <v>43382</v>
      </c>
      <c r="R3511">
        <v>0</v>
      </c>
      <c r="S3511">
        <v>12</v>
      </c>
    </row>
    <row r="3512" spans="17:19" customFormat="1" x14ac:dyDescent="0.2">
      <c r="Q3512" s="140">
        <v>43383</v>
      </c>
      <c r="R3512">
        <v>2.2000000000000002</v>
      </c>
      <c r="S3512">
        <v>4.7</v>
      </c>
    </row>
    <row r="3513" spans="17:19" customFormat="1" x14ac:dyDescent="0.2">
      <c r="Q3513" s="140">
        <v>43384</v>
      </c>
      <c r="R3513">
        <v>17.899999999999999</v>
      </c>
      <c r="S3513">
        <v>0</v>
      </c>
    </row>
    <row r="3514" spans="17:19" customFormat="1" x14ac:dyDescent="0.2">
      <c r="Q3514" s="140">
        <v>43385</v>
      </c>
      <c r="R3514">
        <v>27.1</v>
      </c>
      <c r="S3514">
        <v>0</v>
      </c>
    </row>
    <row r="3515" spans="17:19" customFormat="1" x14ac:dyDescent="0.2">
      <c r="Q3515" s="140">
        <v>43386</v>
      </c>
      <c r="R3515">
        <v>23</v>
      </c>
      <c r="S3515">
        <v>0</v>
      </c>
    </row>
    <row r="3516" spans="17:19" customFormat="1" x14ac:dyDescent="0.2">
      <c r="Q3516" s="140">
        <v>43387</v>
      </c>
      <c r="R3516">
        <v>15</v>
      </c>
      <c r="S3516">
        <v>0</v>
      </c>
    </row>
    <row r="3517" spans="17:19" customFormat="1" x14ac:dyDescent="0.2">
      <c r="Q3517" s="140">
        <v>43388</v>
      </c>
      <c r="R3517">
        <v>23.6</v>
      </c>
      <c r="S3517">
        <v>0</v>
      </c>
    </row>
    <row r="3518" spans="17:19" customFormat="1" x14ac:dyDescent="0.2">
      <c r="Q3518" s="140">
        <v>43389</v>
      </c>
      <c r="R3518">
        <v>22</v>
      </c>
      <c r="S3518">
        <v>0</v>
      </c>
    </row>
    <row r="3519" spans="17:19" customFormat="1" x14ac:dyDescent="0.2">
      <c r="Q3519" s="140">
        <v>43390</v>
      </c>
      <c r="R3519">
        <v>18.3</v>
      </c>
      <c r="S3519">
        <v>0</v>
      </c>
    </row>
    <row r="3520" spans="17:19" customFormat="1" x14ac:dyDescent="0.2">
      <c r="Q3520" s="140">
        <v>43391</v>
      </c>
      <c r="R3520">
        <v>21.2</v>
      </c>
      <c r="S3520">
        <v>0</v>
      </c>
    </row>
    <row r="3521" spans="17:19" customFormat="1" x14ac:dyDescent="0.2">
      <c r="Q3521" s="140">
        <v>43392</v>
      </c>
      <c r="R3521">
        <v>14.2</v>
      </c>
      <c r="S3521">
        <v>0</v>
      </c>
    </row>
    <row r="3522" spans="17:19" customFormat="1" x14ac:dyDescent="0.2">
      <c r="Q3522" s="140">
        <v>43393</v>
      </c>
      <c r="R3522">
        <v>18.8</v>
      </c>
      <c r="S3522">
        <v>0</v>
      </c>
    </row>
    <row r="3523" spans="17:19" customFormat="1" x14ac:dyDescent="0.2">
      <c r="Q3523" s="140">
        <v>43394</v>
      </c>
      <c r="R3523">
        <v>25.5</v>
      </c>
      <c r="S3523">
        <v>0</v>
      </c>
    </row>
    <row r="3524" spans="17:19" customFormat="1" x14ac:dyDescent="0.2">
      <c r="Q3524" s="140">
        <v>43395</v>
      </c>
      <c r="R3524">
        <v>13.6</v>
      </c>
      <c r="S3524">
        <v>0.7</v>
      </c>
    </row>
    <row r="3525" spans="17:19" customFormat="1" x14ac:dyDescent="0.2">
      <c r="Q3525" s="140">
        <v>43396</v>
      </c>
      <c r="R3525">
        <v>20.5</v>
      </c>
      <c r="S3525">
        <v>0</v>
      </c>
    </row>
    <row r="3526" spans="17:19" customFormat="1" x14ac:dyDescent="0.2">
      <c r="Q3526" s="140">
        <v>43397</v>
      </c>
      <c r="R3526">
        <v>22.2</v>
      </c>
      <c r="S3526">
        <v>0</v>
      </c>
    </row>
    <row r="3527" spans="17:19" customFormat="1" x14ac:dyDescent="0.2">
      <c r="Q3527" s="140">
        <v>43398</v>
      </c>
      <c r="R3527">
        <v>16.5</v>
      </c>
      <c r="S3527">
        <v>0</v>
      </c>
    </row>
    <row r="3528" spans="17:19" customFormat="1" x14ac:dyDescent="0.2">
      <c r="Q3528" s="140">
        <v>43399</v>
      </c>
      <c r="R3528">
        <v>18.600000000000001</v>
      </c>
      <c r="S3528">
        <v>0</v>
      </c>
    </row>
    <row r="3529" spans="17:19" customFormat="1" x14ac:dyDescent="0.2">
      <c r="Q3529" s="140">
        <v>43400</v>
      </c>
      <c r="R3529">
        <v>16.5</v>
      </c>
      <c r="S3529">
        <v>0</v>
      </c>
    </row>
    <row r="3530" spans="17:19" customFormat="1" x14ac:dyDescent="0.2">
      <c r="Q3530" s="140">
        <v>43401</v>
      </c>
      <c r="R3530">
        <v>11.2</v>
      </c>
      <c r="S3530">
        <v>0</v>
      </c>
    </row>
    <row r="3531" spans="17:19" customFormat="1" x14ac:dyDescent="0.2">
      <c r="Q3531" s="140">
        <v>43402</v>
      </c>
      <c r="R3531">
        <v>15.6</v>
      </c>
      <c r="S3531">
        <v>0</v>
      </c>
    </row>
    <row r="3532" spans="17:19" customFormat="1" x14ac:dyDescent="0.2">
      <c r="Q3532" s="140">
        <v>43403</v>
      </c>
      <c r="R3532">
        <v>4.8</v>
      </c>
      <c r="S3532">
        <v>3.1</v>
      </c>
    </row>
    <row r="3533" spans="17:19" customFormat="1" x14ac:dyDescent="0.2">
      <c r="Q3533" s="140">
        <v>43404</v>
      </c>
      <c r="R3533">
        <v>11.5</v>
      </c>
      <c r="S3533">
        <v>0</v>
      </c>
    </row>
    <row r="3534" spans="17:19" customFormat="1" x14ac:dyDescent="0.2">
      <c r="Q3534" s="140">
        <v>43405</v>
      </c>
      <c r="R3534">
        <v>18.7</v>
      </c>
      <c r="S3534">
        <v>0</v>
      </c>
    </row>
    <row r="3535" spans="17:19" customFormat="1" x14ac:dyDescent="0.2">
      <c r="Q3535" s="140">
        <v>43406</v>
      </c>
      <c r="R3535">
        <v>21.4</v>
      </c>
      <c r="S3535">
        <v>0</v>
      </c>
    </row>
    <row r="3536" spans="17:19" customFormat="1" x14ac:dyDescent="0.2">
      <c r="Q3536" s="140">
        <v>43407</v>
      </c>
      <c r="R3536">
        <v>18.7</v>
      </c>
      <c r="S3536">
        <v>0</v>
      </c>
    </row>
    <row r="3537" spans="17:19" customFormat="1" x14ac:dyDescent="0.2">
      <c r="Q3537" s="140">
        <v>43408</v>
      </c>
      <c r="R3537">
        <v>14.2</v>
      </c>
      <c r="S3537">
        <v>0</v>
      </c>
    </row>
    <row r="3538" spans="17:19" customFormat="1" x14ac:dyDescent="0.2">
      <c r="Q3538" s="140">
        <v>43409</v>
      </c>
      <c r="R3538">
        <v>17.5</v>
      </c>
      <c r="S3538">
        <v>0</v>
      </c>
    </row>
    <row r="3539" spans="17:19" customFormat="1" x14ac:dyDescent="0.2">
      <c r="Q3539" s="140">
        <v>43410</v>
      </c>
      <c r="R3539">
        <v>16.2</v>
      </c>
      <c r="S3539">
        <v>0</v>
      </c>
    </row>
    <row r="3540" spans="17:19" customFormat="1" x14ac:dyDescent="0.2">
      <c r="Q3540" s="140">
        <v>43411</v>
      </c>
      <c r="R3540">
        <v>28.2</v>
      </c>
      <c r="S3540">
        <v>0</v>
      </c>
    </row>
    <row r="3541" spans="17:19" customFormat="1" x14ac:dyDescent="0.2">
      <c r="Q3541" s="140">
        <v>43412</v>
      </c>
      <c r="R3541">
        <v>30.7</v>
      </c>
      <c r="S3541">
        <v>0</v>
      </c>
    </row>
    <row r="3542" spans="17:19" customFormat="1" x14ac:dyDescent="0.2">
      <c r="Q3542" s="140">
        <v>43413</v>
      </c>
      <c r="R3542">
        <v>34.9</v>
      </c>
      <c r="S3542">
        <v>0</v>
      </c>
    </row>
    <row r="3543" spans="17:19" customFormat="1" x14ac:dyDescent="0.2">
      <c r="Q3543" s="140">
        <v>43414</v>
      </c>
      <c r="R3543">
        <v>41.2</v>
      </c>
      <c r="S3543">
        <v>0</v>
      </c>
    </row>
    <row r="3544" spans="17:19" customFormat="1" x14ac:dyDescent="0.2">
      <c r="Q3544" s="140">
        <v>43415</v>
      </c>
      <c r="R3544">
        <v>30.3</v>
      </c>
      <c r="S3544">
        <v>0</v>
      </c>
    </row>
    <row r="3545" spans="17:19" customFormat="1" x14ac:dyDescent="0.2">
      <c r="Q3545" s="140">
        <v>43416</v>
      </c>
      <c r="R3545">
        <v>33.1</v>
      </c>
      <c r="S3545">
        <v>0</v>
      </c>
    </row>
    <row r="3546" spans="17:19" customFormat="1" x14ac:dyDescent="0.2">
      <c r="Q3546" s="140">
        <v>43417</v>
      </c>
      <c r="R3546">
        <v>42.9</v>
      </c>
      <c r="S3546">
        <v>0</v>
      </c>
    </row>
    <row r="3547" spans="17:19" customFormat="1" x14ac:dyDescent="0.2">
      <c r="Q3547" s="140">
        <v>43418</v>
      </c>
      <c r="R3547">
        <v>40.200000000000003</v>
      </c>
      <c r="S3547">
        <v>0</v>
      </c>
    </row>
    <row r="3548" spans="17:19" customFormat="1" x14ac:dyDescent="0.2">
      <c r="Q3548" s="140">
        <v>43419</v>
      </c>
      <c r="R3548">
        <v>37.200000000000003</v>
      </c>
      <c r="S3548">
        <v>0</v>
      </c>
    </row>
    <row r="3549" spans="17:19" customFormat="1" x14ac:dyDescent="0.2">
      <c r="Q3549" s="140">
        <v>43420</v>
      </c>
      <c r="R3549">
        <v>32.9</v>
      </c>
      <c r="S3549">
        <v>0</v>
      </c>
    </row>
    <row r="3550" spans="17:19" customFormat="1" x14ac:dyDescent="0.2">
      <c r="Q3550" s="140">
        <v>43421</v>
      </c>
      <c r="R3550">
        <v>31.3</v>
      </c>
      <c r="S3550">
        <v>0</v>
      </c>
    </row>
    <row r="3551" spans="17:19" customFormat="1" x14ac:dyDescent="0.2">
      <c r="Q3551" s="140">
        <v>43422</v>
      </c>
      <c r="R3551">
        <v>31.3</v>
      </c>
      <c r="S3551">
        <v>0</v>
      </c>
    </row>
    <row r="3552" spans="17:19" customFormat="1" x14ac:dyDescent="0.2">
      <c r="Q3552" s="140">
        <v>43423</v>
      </c>
      <c r="R3552">
        <v>29.9</v>
      </c>
      <c r="S3552">
        <v>0</v>
      </c>
    </row>
    <row r="3553" spans="17:19" customFormat="1" x14ac:dyDescent="0.2">
      <c r="Q3553" s="140">
        <v>43424</v>
      </c>
      <c r="R3553">
        <v>34.5</v>
      </c>
      <c r="S3553">
        <v>0</v>
      </c>
    </row>
    <row r="3554" spans="17:19" customFormat="1" x14ac:dyDescent="0.2">
      <c r="Q3554" s="140">
        <v>43425</v>
      </c>
      <c r="R3554">
        <v>28.1</v>
      </c>
      <c r="S3554">
        <v>0</v>
      </c>
    </row>
    <row r="3555" spans="17:19" customFormat="1" x14ac:dyDescent="0.2">
      <c r="Q3555" s="140">
        <v>43426</v>
      </c>
      <c r="R3555">
        <v>23</v>
      </c>
      <c r="S3555">
        <v>0</v>
      </c>
    </row>
    <row r="3556" spans="17:19" customFormat="1" x14ac:dyDescent="0.2">
      <c r="Q3556" s="140">
        <v>43427</v>
      </c>
      <c r="R3556">
        <v>20.399999999999999</v>
      </c>
      <c r="S3556">
        <v>0</v>
      </c>
    </row>
    <row r="3557" spans="17:19" customFormat="1" x14ac:dyDescent="0.2">
      <c r="Q3557" s="140">
        <v>43428</v>
      </c>
      <c r="R3557">
        <v>17.7</v>
      </c>
      <c r="S3557">
        <v>0</v>
      </c>
    </row>
    <row r="3558" spans="17:19" customFormat="1" x14ac:dyDescent="0.2">
      <c r="Q3558" s="140">
        <v>43429</v>
      </c>
      <c r="R3558">
        <v>20.9</v>
      </c>
      <c r="S3558">
        <v>0</v>
      </c>
    </row>
    <row r="3559" spans="17:19" customFormat="1" x14ac:dyDescent="0.2">
      <c r="Q3559" s="140">
        <v>43430</v>
      </c>
      <c r="R3559">
        <v>39.299999999999997</v>
      </c>
      <c r="S3559">
        <v>0</v>
      </c>
    </row>
    <row r="3560" spans="17:19" customFormat="1" x14ac:dyDescent="0.2">
      <c r="Q3560" s="140">
        <v>43431</v>
      </c>
      <c r="R3560">
        <v>46.8</v>
      </c>
      <c r="S3560">
        <v>0</v>
      </c>
    </row>
    <row r="3561" spans="17:19" customFormat="1" x14ac:dyDescent="0.2">
      <c r="Q3561" s="140">
        <v>43432</v>
      </c>
      <c r="R3561">
        <v>42.6</v>
      </c>
      <c r="S3561">
        <v>0</v>
      </c>
    </row>
    <row r="3562" spans="17:19" customFormat="1" x14ac:dyDescent="0.2">
      <c r="Q3562" s="140">
        <v>43433</v>
      </c>
      <c r="R3562">
        <v>32.5</v>
      </c>
      <c r="S3562">
        <v>0</v>
      </c>
    </row>
    <row r="3563" spans="17:19" customFormat="1" x14ac:dyDescent="0.2">
      <c r="Q3563" s="140">
        <v>43434</v>
      </c>
      <c r="R3563">
        <v>27.8</v>
      </c>
      <c r="S3563">
        <v>0</v>
      </c>
    </row>
    <row r="3564" spans="17:19" customFormat="1" x14ac:dyDescent="0.2">
      <c r="Q3564" s="140">
        <v>43435</v>
      </c>
      <c r="R3564">
        <v>13.6</v>
      </c>
      <c r="S3564">
        <v>0</v>
      </c>
    </row>
    <row r="3565" spans="17:19" customFormat="1" x14ac:dyDescent="0.2">
      <c r="Q3565" s="140">
        <v>43436</v>
      </c>
      <c r="R3565">
        <v>23.3</v>
      </c>
      <c r="S3565">
        <v>0</v>
      </c>
    </row>
    <row r="3566" spans="17:19" customFormat="1" x14ac:dyDescent="0.2">
      <c r="Q3566" s="140">
        <v>43437</v>
      </c>
      <c r="R3566">
        <v>30.5</v>
      </c>
      <c r="S3566">
        <v>0</v>
      </c>
    </row>
    <row r="3567" spans="17:19" customFormat="1" x14ac:dyDescent="0.2">
      <c r="Q3567" s="140">
        <v>43438</v>
      </c>
      <c r="R3567">
        <v>34.6</v>
      </c>
      <c r="S3567">
        <v>0</v>
      </c>
    </row>
    <row r="3568" spans="17:19" customFormat="1" x14ac:dyDescent="0.2">
      <c r="Q3568" s="140">
        <v>43439</v>
      </c>
      <c r="R3568">
        <v>33.4</v>
      </c>
      <c r="S3568">
        <v>0</v>
      </c>
    </row>
    <row r="3569" spans="17:19" customFormat="1" x14ac:dyDescent="0.2">
      <c r="Q3569" s="140">
        <v>43440</v>
      </c>
      <c r="R3569">
        <v>36.5</v>
      </c>
      <c r="S3569">
        <v>0</v>
      </c>
    </row>
    <row r="3570" spans="17:19" customFormat="1" x14ac:dyDescent="0.2">
      <c r="Q3570" s="140">
        <v>43441</v>
      </c>
      <c r="R3570">
        <v>46.8</v>
      </c>
      <c r="S3570">
        <v>0</v>
      </c>
    </row>
    <row r="3571" spans="17:19" customFormat="1" x14ac:dyDescent="0.2">
      <c r="Q3571" s="140">
        <v>43442</v>
      </c>
      <c r="R3571">
        <v>44.8</v>
      </c>
      <c r="S3571">
        <v>0</v>
      </c>
    </row>
    <row r="3572" spans="17:19" customFormat="1" x14ac:dyDescent="0.2">
      <c r="Q3572" s="140">
        <v>43443</v>
      </c>
      <c r="R3572">
        <v>43.7</v>
      </c>
      <c r="S3572">
        <v>0</v>
      </c>
    </row>
    <row r="3573" spans="17:19" customFormat="1" x14ac:dyDescent="0.2">
      <c r="Q3573" s="140">
        <v>43444</v>
      </c>
      <c r="R3573">
        <v>43.9</v>
      </c>
      <c r="S3573">
        <v>0</v>
      </c>
    </row>
    <row r="3574" spans="17:19" customFormat="1" x14ac:dyDescent="0.2">
      <c r="Q3574" s="140">
        <v>43445</v>
      </c>
      <c r="R3574">
        <v>29.5</v>
      </c>
      <c r="S3574">
        <v>0</v>
      </c>
    </row>
    <row r="3575" spans="17:19" customFormat="1" x14ac:dyDescent="0.2">
      <c r="Q3575" s="140">
        <v>43446</v>
      </c>
      <c r="R3575">
        <v>27.3</v>
      </c>
      <c r="S3575">
        <v>0</v>
      </c>
    </row>
    <row r="3576" spans="17:19" customFormat="1" x14ac:dyDescent="0.2">
      <c r="Q3576" s="140">
        <v>43447</v>
      </c>
      <c r="R3576">
        <v>27.3</v>
      </c>
      <c r="S3576">
        <v>0</v>
      </c>
    </row>
    <row r="3577" spans="17:19" customFormat="1" x14ac:dyDescent="0.2">
      <c r="Q3577" s="140">
        <v>43448</v>
      </c>
      <c r="R3577">
        <v>24.6</v>
      </c>
      <c r="S3577">
        <v>0</v>
      </c>
    </row>
    <row r="3578" spans="17:19" customFormat="1" x14ac:dyDescent="0.2">
      <c r="Q3578" s="140">
        <v>43449</v>
      </c>
      <c r="R3578">
        <v>26.3</v>
      </c>
      <c r="S3578">
        <v>0</v>
      </c>
    </row>
    <row r="3579" spans="17:19" customFormat="1" x14ac:dyDescent="0.2">
      <c r="Q3579" s="140">
        <v>43450</v>
      </c>
      <c r="R3579">
        <v>28.1</v>
      </c>
      <c r="S3579">
        <v>0</v>
      </c>
    </row>
    <row r="3580" spans="17:19" customFormat="1" x14ac:dyDescent="0.2">
      <c r="Q3580" s="140">
        <v>43451</v>
      </c>
      <c r="R3580">
        <v>28.9</v>
      </c>
      <c r="S3580">
        <v>0</v>
      </c>
    </row>
    <row r="3581" spans="17:19" customFormat="1" x14ac:dyDescent="0.2">
      <c r="Q3581" s="140">
        <v>43452</v>
      </c>
      <c r="R3581">
        <v>30.1</v>
      </c>
      <c r="S3581">
        <v>0</v>
      </c>
    </row>
    <row r="3582" spans="17:19" customFormat="1" x14ac:dyDescent="0.2">
      <c r="Q3582" s="140">
        <v>43453</v>
      </c>
      <c r="R3582">
        <v>21</v>
      </c>
      <c r="S3582">
        <v>0</v>
      </c>
    </row>
    <row r="3583" spans="17:19" customFormat="1" x14ac:dyDescent="0.2">
      <c r="Q3583" s="140">
        <v>43454</v>
      </c>
      <c r="R3583">
        <v>22.6</v>
      </c>
      <c r="S3583">
        <v>0</v>
      </c>
    </row>
    <row r="3584" spans="17:19" customFormat="1" x14ac:dyDescent="0.2">
      <c r="Q3584" s="140">
        <v>43455</v>
      </c>
      <c r="R3584">
        <v>30.9</v>
      </c>
      <c r="S3584">
        <v>0</v>
      </c>
    </row>
    <row r="3585" spans="3:19" x14ac:dyDescent="0.2">
      <c r="C3585"/>
      <c r="Q3585" s="140">
        <v>43456</v>
      </c>
      <c r="R3585">
        <v>30.9</v>
      </c>
      <c r="S3585">
        <v>0</v>
      </c>
    </row>
    <row r="3586" spans="3:19" x14ac:dyDescent="0.2">
      <c r="C3586"/>
      <c r="Q3586" s="140">
        <v>43457</v>
      </c>
      <c r="R3586">
        <v>32.4</v>
      </c>
      <c r="S3586">
        <v>0</v>
      </c>
    </row>
    <row r="3587" spans="3:19" x14ac:dyDescent="0.2">
      <c r="C3587"/>
      <c r="Q3587" s="140">
        <v>43458</v>
      </c>
      <c r="R3587">
        <v>29.8</v>
      </c>
      <c r="S3587">
        <v>0</v>
      </c>
    </row>
    <row r="3588" spans="3:19" x14ac:dyDescent="0.2">
      <c r="C3588"/>
      <c r="Q3588" s="140">
        <v>43459</v>
      </c>
      <c r="R3588">
        <v>24.5</v>
      </c>
      <c r="S3588">
        <v>0</v>
      </c>
    </row>
    <row r="3589" spans="3:19" x14ac:dyDescent="0.2">
      <c r="C3589"/>
      <c r="Q3589" s="140">
        <v>43460</v>
      </c>
      <c r="R3589">
        <v>26.9</v>
      </c>
      <c r="S3589">
        <v>0</v>
      </c>
    </row>
    <row r="3590" spans="3:19" x14ac:dyDescent="0.2">
      <c r="C3590"/>
      <c r="Q3590" s="140">
        <v>43461</v>
      </c>
      <c r="R3590">
        <v>17</v>
      </c>
      <c r="S3590">
        <v>0</v>
      </c>
    </row>
    <row r="3591" spans="3:19" x14ac:dyDescent="0.2">
      <c r="C3591"/>
      <c r="Q3591" s="140">
        <v>43462</v>
      </c>
      <c r="R3591">
        <v>32.6</v>
      </c>
      <c r="S3591">
        <v>0</v>
      </c>
    </row>
    <row r="3592" spans="3:19" x14ac:dyDescent="0.2">
      <c r="C3592"/>
      <c r="Q3592" s="140">
        <v>43463</v>
      </c>
      <c r="R3592">
        <v>40.799999999999997</v>
      </c>
      <c r="S3592">
        <v>0</v>
      </c>
    </row>
    <row r="3593" spans="3:19" x14ac:dyDescent="0.2">
      <c r="C3593"/>
      <c r="Q3593" s="140">
        <v>43464</v>
      </c>
      <c r="R3593">
        <v>35.5</v>
      </c>
      <c r="S3593">
        <v>0</v>
      </c>
    </row>
    <row r="3594" spans="3:19" x14ac:dyDescent="0.2">
      <c r="C3594"/>
      <c r="Q3594" s="140">
        <v>43465</v>
      </c>
      <c r="R3594">
        <v>24.7</v>
      </c>
      <c r="S3594">
        <v>0</v>
      </c>
    </row>
    <row r="3595" spans="3:19" x14ac:dyDescent="0.2">
      <c r="C3595"/>
      <c r="Q3595" s="140">
        <v>43466</v>
      </c>
      <c r="R3595">
        <v>31.6</v>
      </c>
      <c r="S3595">
        <v>0</v>
      </c>
    </row>
    <row r="3596" spans="3:19" x14ac:dyDescent="0.2">
      <c r="C3596"/>
      <c r="Q3596" s="140">
        <v>43467</v>
      </c>
      <c r="R3596">
        <v>35.799999999999997</v>
      </c>
      <c r="S3596">
        <v>0</v>
      </c>
    </row>
    <row r="3597" spans="3:19" x14ac:dyDescent="0.2">
      <c r="C3597"/>
      <c r="Q3597" s="140">
        <v>43468</v>
      </c>
      <c r="R3597">
        <v>33.6</v>
      </c>
      <c r="S3597">
        <v>0</v>
      </c>
    </row>
    <row r="3598" spans="3:19" x14ac:dyDescent="0.2">
      <c r="C3598"/>
      <c r="Q3598" s="140">
        <v>43469</v>
      </c>
      <c r="R3598">
        <v>29</v>
      </c>
      <c r="S3598">
        <v>0</v>
      </c>
    </row>
    <row r="3599" spans="3:19" x14ac:dyDescent="0.2">
      <c r="C3599"/>
      <c r="Q3599" s="140">
        <v>43470</v>
      </c>
      <c r="R3599">
        <v>24.1</v>
      </c>
      <c r="S3599">
        <v>0</v>
      </c>
    </row>
    <row r="3600" spans="3:19" x14ac:dyDescent="0.2">
      <c r="C3600"/>
      <c r="Q3600" s="140">
        <v>43471</v>
      </c>
      <c r="R3600">
        <v>22</v>
      </c>
      <c r="S3600">
        <v>0</v>
      </c>
    </row>
    <row r="3601" spans="3:19" x14ac:dyDescent="0.2">
      <c r="C3601"/>
      <c r="Q3601" s="140">
        <v>43472</v>
      </c>
      <c r="R3601">
        <v>12.6</v>
      </c>
      <c r="S3601">
        <v>0</v>
      </c>
    </row>
    <row r="3602" spans="3:19" x14ac:dyDescent="0.2">
      <c r="C3602"/>
      <c r="Q3602" s="140">
        <v>43473</v>
      </c>
      <c r="R3602">
        <v>21.1</v>
      </c>
      <c r="S3602">
        <v>0</v>
      </c>
    </row>
    <row r="3603" spans="3:19" x14ac:dyDescent="0.2">
      <c r="C3603"/>
      <c r="Q3603" s="140">
        <v>43474</v>
      </c>
      <c r="R3603">
        <v>39.1</v>
      </c>
      <c r="S3603">
        <v>0</v>
      </c>
    </row>
    <row r="3604" spans="3:19" x14ac:dyDescent="0.2">
      <c r="Q3604" s="140">
        <v>43475</v>
      </c>
      <c r="R3604">
        <v>42.9</v>
      </c>
      <c r="S3604">
        <v>0</v>
      </c>
    </row>
    <row r="3605" spans="3:19" x14ac:dyDescent="0.2">
      <c r="Q3605" s="140">
        <v>43476</v>
      </c>
      <c r="R3605">
        <v>38.1</v>
      </c>
      <c r="S3605">
        <v>0</v>
      </c>
    </row>
    <row r="3606" spans="3:19" x14ac:dyDescent="0.2">
      <c r="Q3606" s="140">
        <v>43477</v>
      </c>
      <c r="R3606">
        <v>34.9</v>
      </c>
      <c r="S3606">
        <v>0</v>
      </c>
    </row>
    <row r="3607" spans="3:19" x14ac:dyDescent="0.2">
      <c r="Q3607" s="140">
        <v>43478</v>
      </c>
      <c r="R3607">
        <v>37.6</v>
      </c>
      <c r="S3607">
        <v>0</v>
      </c>
    </row>
    <row r="3608" spans="3:19" x14ac:dyDescent="0.2">
      <c r="Q3608" s="140">
        <v>43479</v>
      </c>
      <c r="R3608">
        <v>46.2</v>
      </c>
      <c r="S3608">
        <v>0</v>
      </c>
    </row>
    <row r="3609" spans="3:19" x14ac:dyDescent="0.2">
      <c r="Q3609" s="140">
        <v>43480</v>
      </c>
      <c r="R3609">
        <v>36</v>
      </c>
      <c r="S3609">
        <v>0</v>
      </c>
    </row>
    <row r="3610" spans="3:19" x14ac:dyDescent="0.2">
      <c r="Q3610" s="140">
        <v>43481</v>
      </c>
      <c r="R3610">
        <v>32.200000000000003</v>
      </c>
      <c r="S3610">
        <v>0</v>
      </c>
    </row>
    <row r="3611" spans="3:19" x14ac:dyDescent="0.2">
      <c r="Q3611" s="140">
        <v>43482</v>
      </c>
      <c r="R3611">
        <v>31.4</v>
      </c>
      <c r="S3611">
        <v>0</v>
      </c>
    </row>
    <row r="3612" spans="3:19" x14ac:dyDescent="0.2">
      <c r="Q3612" s="140">
        <v>43483</v>
      </c>
      <c r="R3612">
        <v>32.299999999999997</v>
      </c>
      <c r="S3612">
        <v>0</v>
      </c>
    </row>
    <row r="3613" spans="3:19" x14ac:dyDescent="0.2">
      <c r="Q3613" s="140">
        <v>43484</v>
      </c>
      <c r="R3613">
        <v>38.6</v>
      </c>
      <c r="S3613">
        <v>0</v>
      </c>
    </row>
    <row r="3614" spans="3:19" x14ac:dyDescent="0.2">
      <c r="Q3614" s="140">
        <v>43485</v>
      </c>
      <c r="R3614">
        <v>55</v>
      </c>
      <c r="S3614">
        <v>0</v>
      </c>
    </row>
    <row r="3615" spans="3:19" x14ac:dyDescent="0.2">
      <c r="Q3615" s="140">
        <v>43486</v>
      </c>
      <c r="R3615">
        <v>51.2</v>
      </c>
      <c r="S3615">
        <v>0</v>
      </c>
    </row>
    <row r="3616" spans="3:19" x14ac:dyDescent="0.2">
      <c r="Q3616" s="140">
        <v>43487</v>
      </c>
      <c r="R3616">
        <v>33.6</v>
      </c>
      <c r="S3616">
        <v>0</v>
      </c>
    </row>
    <row r="3617" spans="17:19" x14ac:dyDescent="0.2">
      <c r="Q3617" s="140">
        <v>43488</v>
      </c>
      <c r="R3617">
        <v>37.799999999999997</v>
      </c>
      <c r="S3617">
        <v>0</v>
      </c>
    </row>
    <row r="3618" spans="17:19" x14ac:dyDescent="0.2">
      <c r="Q3618" s="140">
        <v>43489</v>
      </c>
      <c r="R3618">
        <v>47.7</v>
      </c>
      <c r="S3618">
        <v>0</v>
      </c>
    </row>
    <row r="3619" spans="17:19" x14ac:dyDescent="0.2">
      <c r="Q3619" s="140">
        <v>43490</v>
      </c>
      <c r="R3619">
        <v>52.1</v>
      </c>
      <c r="S3619">
        <v>0</v>
      </c>
    </row>
    <row r="3620" spans="17:19" x14ac:dyDescent="0.2">
      <c r="Q3620" s="140">
        <v>43491</v>
      </c>
      <c r="R3620">
        <v>48.1</v>
      </c>
      <c r="S3620">
        <v>0</v>
      </c>
    </row>
    <row r="3621" spans="17:19" x14ac:dyDescent="0.2">
      <c r="Q3621" s="140">
        <v>43492</v>
      </c>
      <c r="R3621">
        <v>48.4</v>
      </c>
      <c r="S3621">
        <v>0</v>
      </c>
    </row>
    <row r="3622" spans="17:19" x14ac:dyDescent="0.2">
      <c r="Q3622" s="140">
        <v>43493</v>
      </c>
      <c r="R3622">
        <v>40.1</v>
      </c>
      <c r="S3622">
        <v>0</v>
      </c>
    </row>
    <row r="3623" spans="17:19" x14ac:dyDescent="0.2">
      <c r="Q3623" s="140">
        <v>43494</v>
      </c>
      <c r="R3623">
        <v>57</v>
      </c>
      <c r="S3623">
        <v>0</v>
      </c>
    </row>
    <row r="3624" spans="17:19" x14ac:dyDescent="0.2">
      <c r="Q3624" s="140">
        <v>43495</v>
      </c>
      <c r="R3624">
        <v>71.599999999999994</v>
      </c>
      <c r="S3624">
        <v>0</v>
      </c>
    </row>
    <row r="3625" spans="17:19" x14ac:dyDescent="0.2">
      <c r="Q3625" s="140">
        <v>43496</v>
      </c>
      <c r="R3625">
        <v>58.2</v>
      </c>
      <c r="S3625">
        <v>0</v>
      </c>
    </row>
    <row r="3626" spans="17:19" x14ac:dyDescent="0.2">
      <c r="Q3626" s="140">
        <v>43497</v>
      </c>
      <c r="R3626">
        <v>40.299999999999997</v>
      </c>
      <c r="S3626">
        <v>0</v>
      </c>
    </row>
    <row r="3627" spans="17:19" x14ac:dyDescent="0.2">
      <c r="Q3627" s="140">
        <v>43498</v>
      </c>
      <c r="R3627">
        <v>24.9</v>
      </c>
      <c r="S3627">
        <v>0</v>
      </c>
    </row>
    <row r="3628" spans="17:19" x14ac:dyDescent="0.2">
      <c r="Q3628" s="140">
        <v>43499</v>
      </c>
      <c r="R3628">
        <v>16.5</v>
      </c>
      <c r="S3628">
        <v>0</v>
      </c>
    </row>
    <row r="3629" spans="17:19" x14ac:dyDescent="0.2">
      <c r="Q3629" s="140">
        <v>43500</v>
      </c>
      <c r="R3629">
        <v>20.6</v>
      </c>
      <c r="S3629">
        <v>0</v>
      </c>
    </row>
    <row r="3630" spans="17:19" x14ac:dyDescent="0.2">
      <c r="Q3630" s="140">
        <v>43501</v>
      </c>
      <c r="R3630">
        <v>36.4</v>
      </c>
      <c r="S3630">
        <v>0</v>
      </c>
    </row>
    <row r="3631" spans="17:19" x14ac:dyDescent="0.2">
      <c r="Q3631" s="140">
        <v>43502</v>
      </c>
      <c r="R3631">
        <v>31.2</v>
      </c>
      <c r="S3631">
        <v>0</v>
      </c>
    </row>
    <row r="3632" spans="17:19" x14ac:dyDescent="0.2">
      <c r="Q3632" s="140">
        <v>43503</v>
      </c>
      <c r="R3632">
        <v>35.4</v>
      </c>
      <c r="S3632">
        <v>0</v>
      </c>
    </row>
    <row r="3633" spans="17:19" x14ac:dyDescent="0.2">
      <c r="Q3633" s="140">
        <v>43504</v>
      </c>
      <c r="R3633">
        <v>51.4</v>
      </c>
      <c r="S3633">
        <v>0</v>
      </c>
    </row>
    <row r="3634" spans="17:19" x14ac:dyDescent="0.2">
      <c r="Q3634" s="140">
        <v>43505</v>
      </c>
      <c r="R3634">
        <v>46.4</v>
      </c>
      <c r="S3634">
        <v>0</v>
      </c>
    </row>
    <row r="3635" spans="17:19" x14ac:dyDescent="0.2">
      <c r="Q3635" s="140">
        <v>43506</v>
      </c>
      <c r="R3635">
        <v>36.5</v>
      </c>
      <c r="S3635">
        <v>0</v>
      </c>
    </row>
    <row r="3636" spans="17:19" x14ac:dyDescent="0.2">
      <c r="Q3636" s="140">
        <v>43507</v>
      </c>
      <c r="R3636">
        <v>32.1</v>
      </c>
      <c r="S3636">
        <v>0</v>
      </c>
    </row>
    <row r="3637" spans="17:19" x14ac:dyDescent="0.2">
      <c r="Q3637" s="140">
        <v>43508</v>
      </c>
      <c r="R3637">
        <v>34.299999999999997</v>
      </c>
      <c r="S3637">
        <v>0</v>
      </c>
    </row>
    <row r="3638" spans="17:19" x14ac:dyDescent="0.2">
      <c r="Q3638" s="140">
        <v>43509</v>
      </c>
      <c r="R3638">
        <v>37.1</v>
      </c>
      <c r="S3638">
        <v>0</v>
      </c>
    </row>
    <row r="3639" spans="17:19" x14ac:dyDescent="0.2">
      <c r="Q3639" s="140">
        <v>43510</v>
      </c>
      <c r="R3639">
        <v>22.9</v>
      </c>
      <c r="S3639">
        <v>0</v>
      </c>
    </row>
    <row r="3640" spans="17:19" x14ac:dyDescent="0.2">
      <c r="Q3640" s="140">
        <v>43511</v>
      </c>
      <c r="R3640">
        <v>46.4</v>
      </c>
      <c r="S3640">
        <v>0</v>
      </c>
    </row>
    <row r="3641" spans="17:19" x14ac:dyDescent="0.2">
      <c r="Q3641" s="140">
        <v>43512</v>
      </c>
      <c r="R3641">
        <v>41.2</v>
      </c>
      <c r="S3641">
        <v>0</v>
      </c>
    </row>
    <row r="3642" spans="17:19" x14ac:dyDescent="0.2">
      <c r="Q3642" s="140">
        <v>43513</v>
      </c>
      <c r="R3642">
        <v>35.9</v>
      </c>
      <c r="S3642">
        <v>0</v>
      </c>
    </row>
    <row r="3643" spans="17:19" x14ac:dyDescent="0.2">
      <c r="Q3643" s="140">
        <v>43514</v>
      </c>
      <c r="R3643">
        <v>38.5</v>
      </c>
      <c r="S3643">
        <v>0</v>
      </c>
    </row>
    <row r="3644" spans="17:19" x14ac:dyDescent="0.2">
      <c r="Q3644" s="140">
        <v>43515</v>
      </c>
      <c r="R3644">
        <v>36</v>
      </c>
      <c r="S3644">
        <v>0</v>
      </c>
    </row>
    <row r="3645" spans="17:19" x14ac:dyDescent="0.2">
      <c r="Q3645" s="140">
        <v>43516</v>
      </c>
      <c r="R3645">
        <v>30.3</v>
      </c>
      <c r="S3645">
        <v>0</v>
      </c>
    </row>
    <row r="3646" spans="17:19" x14ac:dyDescent="0.2">
      <c r="Q3646" s="140">
        <v>43517</v>
      </c>
      <c r="R3646">
        <v>31.9</v>
      </c>
      <c r="S3646">
        <v>0</v>
      </c>
    </row>
    <row r="3647" spans="17:19" x14ac:dyDescent="0.2">
      <c r="Q3647" s="140">
        <v>43518</v>
      </c>
      <c r="R3647">
        <v>29.6</v>
      </c>
      <c r="S3647">
        <v>0</v>
      </c>
    </row>
    <row r="3648" spans="17:19" x14ac:dyDescent="0.2">
      <c r="Q3648" s="140">
        <v>43519</v>
      </c>
      <c r="R3648">
        <v>21.6</v>
      </c>
      <c r="S3648">
        <v>0</v>
      </c>
    </row>
    <row r="3649" spans="17:19" x14ac:dyDescent="0.2">
      <c r="Q3649" s="140">
        <v>43520</v>
      </c>
      <c r="R3649">
        <v>33.299999999999997</v>
      </c>
      <c r="S3649">
        <v>0</v>
      </c>
    </row>
    <row r="3650" spans="17:19" x14ac:dyDescent="0.2">
      <c r="Q3650" s="140">
        <v>43521</v>
      </c>
      <c r="R3650">
        <v>41.6</v>
      </c>
      <c r="S3650">
        <v>0</v>
      </c>
    </row>
    <row r="3651" spans="17:19" x14ac:dyDescent="0.2">
      <c r="Q3651" s="140">
        <v>43522</v>
      </c>
      <c r="R3651">
        <v>33.799999999999997</v>
      </c>
      <c r="S3651">
        <v>0</v>
      </c>
    </row>
    <row r="3652" spans="17:19" x14ac:dyDescent="0.2">
      <c r="Q3652" s="140">
        <v>43523</v>
      </c>
      <c r="R3652">
        <v>35.6</v>
      </c>
      <c r="S3652">
        <v>0</v>
      </c>
    </row>
    <row r="3653" spans="17:19" x14ac:dyDescent="0.2">
      <c r="Q3653" s="140">
        <v>43524</v>
      </c>
      <c r="R3653">
        <v>42.1</v>
      </c>
      <c r="S3653">
        <v>0</v>
      </c>
    </row>
    <row r="3654" spans="17:19" x14ac:dyDescent="0.2">
      <c r="Q3654" s="140">
        <v>43525</v>
      </c>
      <c r="R3654">
        <v>33.5</v>
      </c>
      <c r="S3654">
        <v>0</v>
      </c>
    </row>
    <row r="3655" spans="17:19" x14ac:dyDescent="0.2">
      <c r="Q3655" s="140">
        <v>43526</v>
      </c>
      <c r="R3655">
        <v>33.1</v>
      </c>
      <c r="S3655">
        <v>0</v>
      </c>
    </row>
    <row r="3656" spans="17:19" x14ac:dyDescent="0.2">
      <c r="Q3656" s="140">
        <v>43527</v>
      </c>
      <c r="R3656">
        <v>45.8</v>
      </c>
      <c r="S3656">
        <v>0</v>
      </c>
    </row>
    <row r="3657" spans="17:19" x14ac:dyDescent="0.2">
      <c r="Q3657" s="140">
        <v>43528</v>
      </c>
      <c r="R3657">
        <v>58.6</v>
      </c>
      <c r="S3657">
        <v>0</v>
      </c>
    </row>
    <row r="3658" spans="17:19" x14ac:dyDescent="0.2">
      <c r="Q3658" s="140">
        <v>43529</v>
      </c>
      <c r="R3658">
        <v>51</v>
      </c>
      <c r="S3658">
        <v>0</v>
      </c>
    </row>
    <row r="3659" spans="17:19" x14ac:dyDescent="0.2">
      <c r="Q3659" s="140">
        <v>43530</v>
      </c>
      <c r="R3659">
        <v>43.1</v>
      </c>
      <c r="S3659">
        <v>0</v>
      </c>
    </row>
    <row r="3660" spans="17:19" x14ac:dyDescent="0.2">
      <c r="Q3660" s="140">
        <v>43531</v>
      </c>
      <c r="R3660">
        <v>36.4</v>
      </c>
      <c r="S3660">
        <v>0</v>
      </c>
    </row>
    <row r="3661" spans="17:19" x14ac:dyDescent="0.2">
      <c r="Q3661" s="140">
        <v>43532</v>
      </c>
      <c r="R3661">
        <v>31.3</v>
      </c>
      <c r="S3661">
        <v>0</v>
      </c>
    </row>
    <row r="3662" spans="17:19" x14ac:dyDescent="0.2">
      <c r="Q3662" s="140">
        <v>43533</v>
      </c>
      <c r="R3662">
        <v>25.5</v>
      </c>
      <c r="S3662">
        <v>0</v>
      </c>
    </row>
    <row r="3663" spans="17:19" x14ac:dyDescent="0.2">
      <c r="Q3663" s="140">
        <v>43534</v>
      </c>
      <c r="R3663">
        <v>26</v>
      </c>
      <c r="S3663">
        <v>0</v>
      </c>
    </row>
    <row r="3664" spans="17:19" x14ac:dyDescent="0.2">
      <c r="Q3664" s="140">
        <v>43535</v>
      </c>
      <c r="R3664">
        <v>27.7</v>
      </c>
      <c r="S3664">
        <v>0</v>
      </c>
    </row>
    <row r="3665" spans="17:19" x14ac:dyDescent="0.2">
      <c r="Q3665" s="140">
        <v>43536</v>
      </c>
      <c r="R3665">
        <v>25</v>
      </c>
      <c r="S3665">
        <v>0</v>
      </c>
    </row>
    <row r="3666" spans="17:19" x14ac:dyDescent="0.2">
      <c r="Q3666" s="140">
        <v>43537</v>
      </c>
      <c r="R3666">
        <v>11.1</v>
      </c>
      <c r="S3666">
        <v>0</v>
      </c>
    </row>
    <row r="3667" spans="17:19" x14ac:dyDescent="0.2">
      <c r="Q3667" s="140">
        <v>43538</v>
      </c>
      <c r="R3667">
        <v>11.4</v>
      </c>
      <c r="S3667">
        <v>0</v>
      </c>
    </row>
    <row r="3668" spans="17:19" x14ac:dyDescent="0.2">
      <c r="Q3668" s="140">
        <v>43539</v>
      </c>
      <c r="R3668">
        <v>25.5</v>
      </c>
      <c r="S3668">
        <v>0</v>
      </c>
    </row>
    <row r="3669" spans="17:19" x14ac:dyDescent="0.2">
      <c r="Q3669" s="140">
        <v>43540</v>
      </c>
      <c r="R3669">
        <v>27.4</v>
      </c>
      <c r="S3669">
        <v>0</v>
      </c>
    </row>
    <row r="3670" spans="17:19" x14ac:dyDescent="0.2">
      <c r="Q3670" s="140">
        <v>43541</v>
      </c>
      <c r="R3670">
        <v>25.4</v>
      </c>
      <c r="S3670">
        <v>0</v>
      </c>
    </row>
    <row r="3671" spans="17:19" x14ac:dyDescent="0.2">
      <c r="Q3671" s="140">
        <v>43542</v>
      </c>
      <c r="R3671">
        <v>28.4</v>
      </c>
      <c r="S3671">
        <v>0</v>
      </c>
    </row>
    <row r="3672" spans="17:19" x14ac:dyDescent="0.2">
      <c r="Q3672" s="140">
        <v>43543</v>
      </c>
      <c r="R3672">
        <v>23.1</v>
      </c>
      <c r="S3672">
        <v>0</v>
      </c>
    </row>
    <row r="3673" spans="17:19" x14ac:dyDescent="0.2">
      <c r="Q3673" s="140">
        <v>43544</v>
      </c>
      <c r="R3673">
        <v>18.600000000000001</v>
      </c>
      <c r="S3673">
        <v>0</v>
      </c>
    </row>
    <row r="3674" spans="17:19" x14ac:dyDescent="0.2">
      <c r="Q3674" s="140">
        <v>43545</v>
      </c>
      <c r="R3674">
        <v>21.2</v>
      </c>
      <c r="S3674">
        <v>0</v>
      </c>
    </row>
    <row r="3675" spans="17:19" x14ac:dyDescent="0.2">
      <c r="Q3675" s="140">
        <v>43546</v>
      </c>
      <c r="R3675">
        <v>20.9</v>
      </c>
      <c r="S3675">
        <v>0</v>
      </c>
    </row>
    <row r="3676" spans="17:19" x14ac:dyDescent="0.2">
      <c r="Q3676" s="140">
        <v>43547</v>
      </c>
      <c r="R3676">
        <v>21.1</v>
      </c>
      <c r="S3676">
        <v>0</v>
      </c>
    </row>
    <row r="3677" spans="17:19" x14ac:dyDescent="0.2">
      <c r="Q3677" s="140">
        <v>43548</v>
      </c>
      <c r="R3677">
        <v>15.6</v>
      </c>
      <c r="S3677">
        <v>0</v>
      </c>
    </row>
    <row r="3678" spans="17:19" x14ac:dyDescent="0.2">
      <c r="Q3678" s="140">
        <v>43549</v>
      </c>
      <c r="R3678">
        <v>21.6</v>
      </c>
      <c r="S3678">
        <v>0</v>
      </c>
    </row>
    <row r="3679" spans="17:19" x14ac:dyDescent="0.2">
      <c r="Q3679" s="140">
        <v>43550</v>
      </c>
      <c r="R3679">
        <v>26.6</v>
      </c>
      <c r="S3679">
        <v>0</v>
      </c>
    </row>
    <row r="3680" spans="17:19" x14ac:dyDescent="0.2">
      <c r="Q3680" s="140">
        <v>43551</v>
      </c>
      <c r="R3680">
        <v>17.5</v>
      </c>
      <c r="S3680">
        <v>0</v>
      </c>
    </row>
    <row r="3681" spans="17:19" x14ac:dyDescent="0.2">
      <c r="Q3681" s="140">
        <v>43552</v>
      </c>
      <c r="R3681">
        <v>8.6</v>
      </c>
      <c r="S3681">
        <v>1</v>
      </c>
    </row>
    <row r="3682" spans="17:19" x14ac:dyDescent="0.2">
      <c r="Q3682" s="140">
        <v>43553</v>
      </c>
      <c r="R3682">
        <v>12.4</v>
      </c>
      <c r="S3682">
        <v>0</v>
      </c>
    </row>
    <row r="3683" spans="17:19" x14ac:dyDescent="0.2">
      <c r="Q3683" s="140">
        <v>43554</v>
      </c>
      <c r="R3683">
        <v>23.5</v>
      </c>
      <c r="S3683">
        <v>0</v>
      </c>
    </row>
    <row r="3684" spans="17:19" x14ac:dyDescent="0.2">
      <c r="Q3684" s="140">
        <v>43555</v>
      </c>
      <c r="R3684">
        <v>30.8</v>
      </c>
      <c r="S3684">
        <v>0</v>
      </c>
    </row>
    <row r="3685" spans="17:19" x14ac:dyDescent="0.2">
      <c r="Q3685" s="140">
        <v>43556</v>
      </c>
      <c r="R3685">
        <v>26</v>
      </c>
      <c r="S3685">
        <v>0</v>
      </c>
    </row>
    <row r="3686" spans="17:19" x14ac:dyDescent="0.2">
      <c r="Q3686" s="140">
        <v>43557</v>
      </c>
      <c r="R3686">
        <v>18.2</v>
      </c>
      <c r="S3686">
        <v>0</v>
      </c>
    </row>
    <row r="3687" spans="17:19" x14ac:dyDescent="0.2">
      <c r="Q3687" s="140">
        <v>43558</v>
      </c>
      <c r="R3687">
        <v>19</v>
      </c>
      <c r="S3687">
        <v>0</v>
      </c>
    </row>
    <row r="3688" spans="17:19" x14ac:dyDescent="0.2">
      <c r="Q3688" s="140">
        <v>43559</v>
      </c>
      <c r="R3688">
        <v>14.7</v>
      </c>
      <c r="S3688">
        <v>0</v>
      </c>
    </row>
    <row r="3689" spans="17:19" x14ac:dyDescent="0.2">
      <c r="Q3689" s="140">
        <v>43560</v>
      </c>
      <c r="R3689">
        <v>13.3</v>
      </c>
      <c r="S3689">
        <v>0</v>
      </c>
    </row>
    <row r="3690" spans="17:19" x14ac:dyDescent="0.2">
      <c r="Q3690" s="140">
        <v>43561</v>
      </c>
      <c r="R3690">
        <v>9.5</v>
      </c>
      <c r="S3690">
        <v>0.4</v>
      </c>
    </row>
    <row r="3691" spans="17:19" x14ac:dyDescent="0.2">
      <c r="Q3691" s="140">
        <v>43562</v>
      </c>
      <c r="R3691">
        <v>3.9</v>
      </c>
      <c r="S3691">
        <v>3</v>
      </c>
    </row>
    <row r="3692" spans="17:19" x14ac:dyDescent="0.2">
      <c r="Q3692" s="140">
        <v>43563</v>
      </c>
      <c r="R3692">
        <v>4.9000000000000004</v>
      </c>
      <c r="S3692">
        <v>2.5</v>
      </c>
    </row>
    <row r="3693" spans="17:19" x14ac:dyDescent="0.2">
      <c r="Q3693" s="140">
        <v>43564</v>
      </c>
      <c r="R3693">
        <v>4.7</v>
      </c>
      <c r="S3693">
        <v>1.6</v>
      </c>
    </row>
    <row r="3694" spans="17:19" x14ac:dyDescent="0.2">
      <c r="Q3694" s="140">
        <v>43565</v>
      </c>
      <c r="R3694">
        <v>9.9</v>
      </c>
      <c r="S3694">
        <v>0.3</v>
      </c>
    </row>
    <row r="3695" spans="17:19" x14ac:dyDescent="0.2">
      <c r="Q3695" s="140">
        <v>43566</v>
      </c>
      <c r="R3695">
        <v>6.1</v>
      </c>
      <c r="S3695">
        <v>2.7</v>
      </c>
    </row>
    <row r="3696" spans="17:19" x14ac:dyDescent="0.2">
      <c r="Q3696" s="140">
        <v>43567</v>
      </c>
      <c r="R3696">
        <v>17.5</v>
      </c>
      <c r="S3696">
        <v>0</v>
      </c>
    </row>
    <row r="3697" spans="17:19" x14ac:dyDescent="0.2">
      <c r="Q3697" s="140">
        <v>43568</v>
      </c>
      <c r="R3697">
        <v>18.3</v>
      </c>
      <c r="S3697">
        <v>0</v>
      </c>
    </row>
    <row r="3698" spans="17:19" x14ac:dyDescent="0.2">
      <c r="Q3698" s="140">
        <v>43569</v>
      </c>
      <c r="R3698">
        <v>29.2</v>
      </c>
      <c r="S3698">
        <v>0</v>
      </c>
    </row>
    <row r="3699" spans="17:19" x14ac:dyDescent="0.2">
      <c r="Q3699" s="140">
        <v>43570</v>
      </c>
      <c r="R3699">
        <v>19.8</v>
      </c>
      <c r="S3699">
        <v>0</v>
      </c>
    </row>
    <row r="3700" spans="17:19" x14ac:dyDescent="0.2">
      <c r="Q3700" s="140">
        <v>43571</v>
      </c>
      <c r="R3700">
        <v>4.5</v>
      </c>
      <c r="S3700">
        <v>3.4</v>
      </c>
    </row>
    <row r="3701" spans="17:19" x14ac:dyDescent="0.2">
      <c r="Q3701" s="140">
        <v>43572</v>
      </c>
      <c r="R3701">
        <v>1.4</v>
      </c>
      <c r="S3701">
        <v>4.4000000000000004</v>
      </c>
    </row>
    <row r="3702" spans="17:19" x14ac:dyDescent="0.2">
      <c r="Q3702" s="140">
        <v>43573</v>
      </c>
      <c r="R3702">
        <v>12.4</v>
      </c>
      <c r="S3702">
        <v>0</v>
      </c>
    </row>
    <row r="3703" spans="17:19" x14ac:dyDescent="0.2">
      <c r="Q3703" s="140">
        <v>43574</v>
      </c>
      <c r="R3703">
        <v>16.5</v>
      </c>
      <c r="S3703">
        <v>0</v>
      </c>
    </row>
    <row r="3704" spans="17:19" x14ac:dyDescent="0.2">
      <c r="Q3704" s="140">
        <v>43575</v>
      </c>
      <c r="R3704">
        <v>13.2</v>
      </c>
      <c r="S3704">
        <v>0.4</v>
      </c>
    </row>
    <row r="3705" spans="17:19" x14ac:dyDescent="0.2">
      <c r="Q3705" s="140">
        <v>43576</v>
      </c>
      <c r="R3705">
        <v>6.9</v>
      </c>
      <c r="S3705">
        <v>4.2</v>
      </c>
    </row>
    <row r="3706" spans="17:19" x14ac:dyDescent="0.2">
      <c r="Q3706" s="140">
        <v>43577</v>
      </c>
      <c r="R3706">
        <v>1.5</v>
      </c>
      <c r="S3706">
        <v>5.8</v>
      </c>
    </row>
    <row r="3707" spans="17:19" x14ac:dyDescent="0.2">
      <c r="Q3707" s="140">
        <v>43578</v>
      </c>
      <c r="R3707">
        <v>7.5</v>
      </c>
      <c r="S3707">
        <v>0</v>
      </c>
    </row>
    <row r="3708" spans="17:19" x14ac:dyDescent="0.2">
      <c r="Q3708" s="140">
        <v>43579</v>
      </c>
      <c r="R3708">
        <v>11.3</v>
      </c>
      <c r="S3708">
        <v>0</v>
      </c>
    </row>
    <row r="3709" spans="17:19" x14ac:dyDescent="0.2">
      <c r="Q3709" s="140">
        <v>43580</v>
      </c>
      <c r="R3709">
        <v>9.5</v>
      </c>
      <c r="S3709">
        <v>0</v>
      </c>
    </row>
    <row r="3710" spans="17:19" x14ac:dyDescent="0.2">
      <c r="Q3710" s="140">
        <v>43581</v>
      </c>
      <c r="R3710">
        <v>9.4</v>
      </c>
      <c r="S3710">
        <v>0.1</v>
      </c>
    </row>
    <row r="3711" spans="17:19" x14ac:dyDescent="0.2">
      <c r="Q3711" s="140">
        <v>43582</v>
      </c>
      <c r="R3711">
        <v>13.4</v>
      </c>
      <c r="S3711">
        <v>0</v>
      </c>
    </row>
    <row r="3712" spans="17:19" x14ac:dyDescent="0.2">
      <c r="Q3712" s="140">
        <v>43583</v>
      </c>
      <c r="R3712">
        <v>18.3</v>
      </c>
      <c r="S3712">
        <v>0</v>
      </c>
    </row>
    <row r="3713" spans="17:19" x14ac:dyDescent="0.2">
      <c r="Q3713" s="140">
        <v>43584</v>
      </c>
      <c r="R3713">
        <v>9.6</v>
      </c>
      <c r="S3713">
        <v>0</v>
      </c>
    </row>
    <row r="3714" spans="17:19" x14ac:dyDescent="0.2">
      <c r="Q3714" s="140">
        <v>43585</v>
      </c>
      <c r="R3714">
        <v>9.4</v>
      </c>
      <c r="S3714">
        <v>0</v>
      </c>
    </row>
    <row r="3715" spans="17:19" x14ac:dyDescent="0.2">
      <c r="Q3715" s="140">
        <v>43586</v>
      </c>
      <c r="R3715">
        <v>2.2999999999999998</v>
      </c>
      <c r="S3715">
        <v>2.1</v>
      </c>
    </row>
    <row r="3716" spans="17:19" x14ac:dyDescent="0.2">
      <c r="Q3716" s="140">
        <v>43587</v>
      </c>
      <c r="R3716">
        <v>5.2</v>
      </c>
      <c r="S3716">
        <v>0</v>
      </c>
    </row>
    <row r="3717" spans="17:19" x14ac:dyDescent="0.2">
      <c r="Q3717" s="140">
        <v>43588</v>
      </c>
      <c r="R3717">
        <v>10.3</v>
      </c>
      <c r="S3717">
        <v>0</v>
      </c>
    </row>
    <row r="3718" spans="17:19" x14ac:dyDescent="0.2">
      <c r="Q3718" s="140">
        <v>43589</v>
      </c>
      <c r="R3718">
        <v>9</v>
      </c>
      <c r="S3718">
        <v>0</v>
      </c>
    </row>
    <row r="3719" spans="17:19" x14ac:dyDescent="0.2">
      <c r="Q3719" s="140">
        <v>43590</v>
      </c>
      <c r="R3719">
        <v>8</v>
      </c>
      <c r="S3719">
        <v>2</v>
      </c>
    </row>
    <row r="3720" spans="17:19" x14ac:dyDescent="0.2">
      <c r="Q3720" s="140">
        <v>43591</v>
      </c>
      <c r="R3720">
        <v>3.5</v>
      </c>
      <c r="S3720">
        <v>3.3</v>
      </c>
    </row>
    <row r="3721" spans="17:19" x14ac:dyDescent="0.2">
      <c r="Q3721" s="140">
        <v>43592</v>
      </c>
      <c r="R3721">
        <v>5</v>
      </c>
      <c r="S3721">
        <v>0.6</v>
      </c>
    </row>
    <row r="3722" spans="17:19" x14ac:dyDescent="0.2">
      <c r="Q3722" s="140">
        <v>43593</v>
      </c>
      <c r="R3722">
        <v>3.8</v>
      </c>
      <c r="S3722">
        <v>5.9</v>
      </c>
    </row>
    <row r="3723" spans="17:19" x14ac:dyDescent="0.2">
      <c r="Q3723" s="140">
        <v>43594</v>
      </c>
      <c r="R3723">
        <v>7</v>
      </c>
      <c r="S3723">
        <v>0.1</v>
      </c>
    </row>
    <row r="3724" spans="17:19" x14ac:dyDescent="0.2">
      <c r="Q3724" s="140">
        <v>43595</v>
      </c>
      <c r="R3724">
        <v>12.4</v>
      </c>
      <c r="S3724">
        <v>0</v>
      </c>
    </row>
    <row r="3725" spans="17:19" x14ac:dyDescent="0.2">
      <c r="Q3725" s="140">
        <v>43596</v>
      </c>
      <c r="R3725">
        <v>17.3</v>
      </c>
      <c r="S3725">
        <v>0</v>
      </c>
    </row>
    <row r="3726" spans="17:19" x14ac:dyDescent="0.2">
      <c r="Q3726" s="140">
        <v>43597</v>
      </c>
      <c r="R3726">
        <v>17.399999999999999</v>
      </c>
      <c r="S3726">
        <v>0</v>
      </c>
    </row>
    <row r="3727" spans="17:19" x14ac:dyDescent="0.2">
      <c r="Q3727" s="140">
        <v>43598</v>
      </c>
      <c r="R3727">
        <v>10.5</v>
      </c>
      <c r="S3727">
        <v>0</v>
      </c>
    </row>
    <row r="3728" spans="17:19" x14ac:dyDescent="0.2">
      <c r="Q3728" s="140">
        <v>43599</v>
      </c>
      <c r="R3728">
        <v>8.5</v>
      </c>
      <c r="S3728">
        <v>0.3</v>
      </c>
    </row>
    <row r="3729" spans="17:19" x14ac:dyDescent="0.2">
      <c r="Q3729" s="140">
        <v>43600</v>
      </c>
      <c r="R3729">
        <v>3.6</v>
      </c>
      <c r="S3729">
        <v>2.6</v>
      </c>
    </row>
    <row r="3730" spans="17:19" x14ac:dyDescent="0.2">
      <c r="Q3730" s="140">
        <v>43601</v>
      </c>
      <c r="R3730">
        <v>1.2</v>
      </c>
      <c r="S3730">
        <v>10.1</v>
      </c>
    </row>
    <row r="3731" spans="17:19" x14ac:dyDescent="0.2">
      <c r="Q3731" s="140">
        <v>43602</v>
      </c>
      <c r="R3731">
        <v>0</v>
      </c>
      <c r="S3731">
        <v>10.5</v>
      </c>
    </row>
    <row r="3732" spans="17:19" x14ac:dyDescent="0.2">
      <c r="Q3732" s="140">
        <v>43603</v>
      </c>
      <c r="R3732">
        <v>0</v>
      </c>
      <c r="S3732">
        <v>11.3</v>
      </c>
    </row>
    <row r="3733" spans="17:19" x14ac:dyDescent="0.2">
      <c r="Q3733" s="140">
        <v>43604</v>
      </c>
      <c r="R3733">
        <v>0.8</v>
      </c>
      <c r="S3733">
        <v>5.2</v>
      </c>
    </row>
    <row r="3734" spans="17:19" x14ac:dyDescent="0.2">
      <c r="Q3734" s="140">
        <v>43605</v>
      </c>
      <c r="R3734">
        <v>10.1</v>
      </c>
      <c r="S3734">
        <v>0</v>
      </c>
    </row>
    <row r="3735" spans="17:19" x14ac:dyDescent="0.2">
      <c r="Q3735" s="140">
        <v>43606</v>
      </c>
      <c r="R3735">
        <v>10.7</v>
      </c>
      <c r="S3735">
        <v>0</v>
      </c>
    </row>
    <row r="3736" spans="17:19" x14ac:dyDescent="0.2">
      <c r="Q3736" s="140">
        <v>43607</v>
      </c>
      <c r="R3736">
        <v>2</v>
      </c>
      <c r="S3736">
        <v>7.5</v>
      </c>
    </row>
    <row r="3737" spans="17:19" x14ac:dyDescent="0.2">
      <c r="Q3737" s="140">
        <v>43608</v>
      </c>
      <c r="R3737">
        <v>0.1</v>
      </c>
      <c r="S3737">
        <v>5.2</v>
      </c>
    </row>
    <row r="3738" spans="17:19" x14ac:dyDescent="0.2">
      <c r="Q3738" s="140">
        <v>43609</v>
      </c>
      <c r="R3738">
        <v>0</v>
      </c>
      <c r="S3738">
        <v>12.8</v>
      </c>
    </row>
    <row r="3739" spans="17:19" x14ac:dyDescent="0.2">
      <c r="Q3739" s="140">
        <v>43610</v>
      </c>
      <c r="R3739">
        <v>0</v>
      </c>
      <c r="S3739">
        <v>12</v>
      </c>
    </row>
    <row r="3740" spans="17:19" x14ac:dyDescent="0.2">
      <c r="Q3740" s="140">
        <v>43611</v>
      </c>
      <c r="R3740">
        <v>0</v>
      </c>
      <c r="S3740">
        <v>4.9000000000000004</v>
      </c>
    </row>
    <row r="3741" spans="17:19" x14ac:dyDescent="0.2">
      <c r="Q3741" s="140">
        <v>43612</v>
      </c>
      <c r="R3741">
        <v>0</v>
      </c>
      <c r="S3741">
        <v>10.199999999999999</v>
      </c>
    </row>
    <row r="3742" spans="17:19" x14ac:dyDescent="0.2">
      <c r="Q3742" s="140">
        <v>43613</v>
      </c>
      <c r="R3742">
        <v>0.1</v>
      </c>
      <c r="S3742">
        <v>12.8</v>
      </c>
    </row>
    <row r="3743" spans="17:19" x14ac:dyDescent="0.2">
      <c r="Q3743" s="140">
        <v>43614</v>
      </c>
      <c r="R3743">
        <v>0.3</v>
      </c>
      <c r="S3743">
        <v>6.9</v>
      </c>
    </row>
    <row r="3744" spans="17:19" x14ac:dyDescent="0.2">
      <c r="Q3744" s="140">
        <v>43615</v>
      </c>
      <c r="R3744">
        <v>0.5</v>
      </c>
      <c r="S3744">
        <v>4.5999999999999996</v>
      </c>
    </row>
    <row r="3745" spans="17:19" x14ac:dyDescent="0.2">
      <c r="Q3745" s="140">
        <v>43616</v>
      </c>
      <c r="R3745">
        <v>2.2000000000000002</v>
      </c>
      <c r="S3745">
        <v>5.8</v>
      </c>
    </row>
    <row r="3746" spans="17:19" x14ac:dyDescent="0.2">
      <c r="Q3746" s="140">
        <v>43617</v>
      </c>
      <c r="R3746">
        <v>0.2</v>
      </c>
      <c r="S3746">
        <v>8.5</v>
      </c>
    </row>
    <row r="3747" spans="17:19" x14ac:dyDescent="0.2">
      <c r="Q3747" s="140">
        <v>43618</v>
      </c>
      <c r="R3747">
        <v>1</v>
      </c>
      <c r="S3747">
        <v>4.9000000000000004</v>
      </c>
    </row>
    <row r="3748" spans="17:19" x14ac:dyDescent="0.2">
      <c r="Q3748" s="140">
        <v>43619</v>
      </c>
      <c r="R3748">
        <v>3.4</v>
      </c>
      <c r="S3748">
        <v>6.4</v>
      </c>
    </row>
    <row r="3749" spans="17:19" x14ac:dyDescent="0.2">
      <c r="Q3749" s="140">
        <v>43620</v>
      </c>
      <c r="R3749">
        <v>0</v>
      </c>
      <c r="S3749">
        <v>10.199999999999999</v>
      </c>
    </row>
    <row r="3750" spans="17:19" x14ac:dyDescent="0.2">
      <c r="Q3750" s="140">
        <v>43621</v>
      </c>
      <c r="R3750">
        <v>0</v>
      </c>
      <c r="S3750">
        <v>8.1</v>
      </c>
    </row>
    <row r="3751" spans="17:19" x14ac:dyDescent="0.2">
      <c r="Q3751" s="140">
        <v>43622</v>
      </c>
      <c r="R3751">
        <v>0</v>
      </c>
      <c r="S3751">
        <v>11.7</v>
      </c>
    </row>
    <row r="3752" spans="17:19" x14ac:dyDescent="0.2">
      <c r="Q3752" s="140">
        <v>43623</v>
      </c>
      <c r="R3752">
        <v>0</v>
      </c>
      <c r="S3752">
        <v>12</v>
      </c>
    </row>
    <row r="3753" spans="17:19" x14ac:dyDescent="0.2">
      <c r="Q3753" s="140">
        <v>43624</v>
      </c>
      <c r="R3753">
        <v>0.3</v>
      </c>
      <c r="S3753">
        <v>9.3000000000000007</v>
      </c>
    </row>
    <row r="3754" spans="17:19" x14ac:dyDescent="0.2">
      <c r="Q3754" s="140">
        <v>43625</v>
      </c>
      <c r="R3754">
        <v>0</v>
      </c>
      <c r="S3754">
        <v>10.6</v>
      </c>
    </row>
    <row r="3755" spans="17:19" x14ac:dyDescent="0.2">
      <c r="Q3755" s="140">
        <v>43626</v>
      </c>
      <c r="R3755">
        <v>1.1000000000000001</v>
      </c>
      <c r="S3755">
        <v>4.9000000000000004</v>
      </c>
    </row>
    <row r="3756" spans="17:19" x14ac:dyDescent="0.2">
      <c r="Q3756" s="140">
        <v>43627</v>
      </c>
      <c r="R3756">
        <v>2.4</v>
      </c>
      <c r="S3756">
        <v>8</v>
      </c>
    </row>
    <row r="3757" spans="17:19" x14ac:dyDescent="0.2">
      <c r="Q3757" s="140">
        <v>43628</v>
      </c>
      <c r="R3757">
        <v>1.4</v>
      </c>
      <c r="S3757">
        <v>1.7</v>
      </c>
    </row>
    <row r="3758" spans="17:19" x14ac:dyDescent="0.2">
      <c r="Q3758" s="140">
        <v>43629</v>
      </c>
      <c r="R3758">
        <v>4.8</v>
      </c>
      <c r="S3758">
        <v>2.1</v>
      </c>
    </row>
    <row r="3759" spans="17:19" x14ac:dyDescent="0.2">
      <c r="Q3759" s="140">
        <v>43630</v>
      </c>
      <c r="R3759">
        <v>3.7</v>
      </c>
      <c r="S3759">
        <v>3.6</v>
      </c>
    </row>
    <row r="3760" spans="17:19" x14ac:dyDescent="0.2">
      <c r="Q3760" s="140">
        <v>43631</v>
      </c>
      <c r="R3760">
        <v>0.7</v>
      </c>
      <c r="S3760">
        <v>4.2</v>
      </c>
    </row>
    <row r="3761" spans="17:19" x14ac:dyDescent="0.2">
      <c r="Q3761" s="140">
        <v>43632</v>
      </c>
      <c r="R3761">
        <v>0.1</v>
      </c>
      <c r="S3761">
        <v>7</v>
      </c>
    </row>
    <row r="3762" spans="17:19" x14ac:dyDescent="0.2">
      <c r="Q3762" s="140">
        <v>43633</v>
      </c>
      <c r="R3762">
        <v>0.4</v>
      </c>
      <c r="S3762">
        <v>2.8</v>
      </c>
    </row>
    <row r="3763" spans="17:19" x14ac:dyDescent="0.2">
      <c r="Q3763" s="140">
        <v>43634</v>
      </c>
      <c r="R3763">
        <v>0.1</v>
      </c>
      <c r="S3763">
        <v>7.8</v>
      </c>
    </row>
    <row r="3764" spans="17:19" x14ac:dyDescent="0.2">
      <c r="Q3764" s="140">
        <v>43635</v>
      </c>
      <c r="R3764">
        <v>0</v>
      </c>
      <c r="S3764">
        <v>4.7</v>
      </c>
    </row>
    <row r="3765" spans="17:19" x14ac:dyDescent="0.2">
      <c r="Q3765" s="140">
        <v>43636</v>
      </c>
      <c r="R3765">
        <v>1.1000000000000001</v>
      </c>
      <c r="S3765">
        <v>4.4000000000000004</v>
      </c>
    </row>
    <row r="3766" spans="17:19" x14ac:dyDescent="0.2">
      <c r="Q3766" s="140">
        <v>43637</v>
      </c>
      <c r="R3766">
        <v>0.8</v>
      </c>
      <c r="S3766">
        <v>2.2999999999999998</v>
      </c>
    </row>
    <row r="3767" spans="17:19" x14ac:dyDescent="0.2">
      <c r="Q3767" s="140">
        <v>43638</v>
      </c>
      <c r="R3767">
        <v>0</v>
      </c>
      <c r="S3767">
        <v>7.1</v>
      </c>
    </row>
    <row r="3768" spans="17:19" x14ac:dyDescent="0.2">
      <c r="Q3768" s="140">
        <v>43639</v>
      </c>
      <c r="R3768">
        <v>0</v>
      </c>
      <c r="S3768">
        <v>8.5</v>
      </c>
    </row>
    <row r="3769" spans="17:19" x14ac:dyDescent="0.2">
      <c r="Q3769" s="140">
        <v>43640</v>
      </c>
      <c r="R3769">
        <v>0</v>
      </c>
      <c r="S3769">
        <v>6.7</v>
      </c>
    </row>
    <row r="3770" spans="17:19" x14ac:dyDescent="0.2">
      <c r="Q3770" s="140">
        <v>43641</v>
      </c>
      <c r="R3770">
        <v>0.3</v>
      </c>
      <c r="S3770">
        <v>10.199999999999999</v>
      </c>
    </row>
    <row r="3771" spans="17:19" x14ac:dyDescent="0.2">
      <c r="Q3771" s="140">
        <v>43642</v>
      </c>
      <c r="R3771">
        <v>0</v>
      </c>
      <c r="S3771">
        <v>11.1</v>
      </c>
    </row>
    <row r="3772" spans="17:19" x14ac:dyDescent="0.2">
      <c r="Q3772" s="140">
        <v>43643</v>
      </c>
      <c r="R3772">
        <v>0</v>
      </c>
      <c r="S3772">
        <v>13.1</v>
      </c>
    </row>
    <row r="3773" spans="17:19" x14ac:dyDescent="0.2">
      <c r="Q3773" s="140">
        <v>43644</v>
      </c>
      <c r="R3773">
        <v>0</v>
      </c>
      <c r="S3773">
        <v>9.9</v>
      </c>
    </row>
    <row r="3774" spans="17:19" x14ac:dyDescent="0.2">
      <c r="Q3774" s="140">
        <v>43645</v>
      </c>
      <c r="R3774">
        <v>0</v>
      </c>
      <c r="S3774">
        <v>13.7</v>
      </c>
    </row>
    <row r="3775" spans="17:19" x14ac:dyDescent="0.2">
      <c r="Q3775" s="140">
        <v>43646</v>
      </c>
      <c r="R3775">
        <v>0</v>
      </c>
      <c r="S3775">
        <v>15.6</v>
      </c>
    </row>
    <row r="3776" spans="17:19" x14ac:dyDescent="0.2">
      <c r="Q3776" s="140">
        <v>43647</v>
      </c>
      <c r="R3776">
        <v>0</v>
      </c>
      <c r="S3776">
        <v>14.4</v>
      </c>
    </row>
    <row r="3777" spans="17:19" x14ac:dyDescent="0.2">
      <c r="Q3777" s="140">
        <v>43648</v>
      </c>
      <c r="R3777">
        <v>0</v>
      </c>
      <c r="S3777">
        <v>17.100000000000001</v>
      </c>
    </row>
    <row r="3778" spans="17:19" x14ac:dyDescent="0.2">
      <c r="Q3778" s="140">
        <v>43649</v>
      </c>
      <c r="R3778">
        <v>0</v>
      </c>
      <c r="S3778">
        <v>13.6</v>
      </c>
    </row>
    <row r="3779" spans="17:19" x14ac:dyDescent="0.2">
      <c r="Q3779" s="140">
        <v>43650</v>
      </c>
      <c r="R3779">
        <v>0</v>
      </c>
      <c r="S3779">
        <v>12.9</v>
      </c>
    </row>
    <row r="3780" spans="17:19" x14ac:dyDescent="0.2">
      <c r="Q3780" s="140">
        <v>43651</v>
      </c>
      <c r="R3780">
        <v>0</v>
      </c>
      <c r="S3780">
        <v>14.9</v>
      </c>
    </row>
    <row r="3781" spans="17:19" x14ac:dyDescent="0.2">
      <c r="Q3781" s="140">
        <v>43652</v>
      </c>
      <c r="R3781">
        <v>0</v>
      </c>
      <c r="S3781">
        <v>16.5</v>
      </c>
    </row>
    <row r="3782" spans="17:19" x14ac:dyDescent="0.2">
      <c r="Q3782" s="140">
        <v>43653</v>
      </c>
      <c r="R3782">
        <v>0</v>
      </c>
      <c r="S3782">
        <v>11.6</v>
      </c>
    </row>
    <row r="3783" spans="17:19" x14ac:dyDescent="0.2">
      <c r="Q3783" s="140">
        <v>43654</v>
      </c>
      <c r="R3783">
        <v>0</v>
      </c>
      <c r="S3783">
        <v>11.4</v>
      </c>
    </row>
    <row r="3784" spans="17:19" x14ac:dyDescent="0.2">
      <c r="Q3784" s="140">
        <v>43655</v>
      </c>
      <c r="R3784">
        <v>0</v>
      </c>
      <c r="S3784">
        <v>15.8</v>
      </c>
    </row>
    <row r="3785" spans="17:19" x14ac:dyDescent="0.2">
      <c r="Q3785" s="140">
        <v>43656</v>
      </c>
      <c r="R3785">
        <v>0</v>
      </c>
      <c r="S3785">
        <v>20.399999999999999</v>
      </c>
    </row>
    <row r="3786" spans="17:19" x14ac:dyDescent="0.2">
      <c r="Q3786" s="140">
        <v>43657</v>
      </c>
      <c r="R3786">
        <v>0</v>
      </c>
      <c r="S3786">
        <v>11.3</v>
      </c>
    </row>
    <row r="3787" spans="17:19" x14ac:dyDescent="0.2">
      <c r="Q3787" s="140">
        <v>43658</v>
      </c>
      <c r="R3787">
        <v>0</v>
      </c>
      <c r="S3787">
        <v>11.5</v>
      </c>
    </row>
    <row r="3788" spans="17:19" x14ac:dyDescent="0.2">
      <c r="Q3788" s="140">
        <v>43659</v>
      </c>
      <c r="R3788">
        <v>0</v>
      </c>
      <c r="S3788">
        <v>13.6</v>
      </c>
    </row>
    <row r="3789" spans="17:19" x14ac:dyDescent="0.2">
      <c r="Q3789" s="140">
        <v>43660</v>
      </c>
      <c r="R3789">
        <v>0</v>
      </c>
      <c r="S3789">
        <v>16.2</v>
      </c>
    </row>
    <row r="3790" spans="17:19" x14ac:dyDescent="0.2">
      <c r="Q3790" s="140">
        <v>43661</v>
      </c>
      <c r="R3790">
        <v>0</v>
      </c>
      <c r="S3790">
        <v>11.1</v>
      </c>
    </row>
    <row r="3791" spans="17:19" x14ac:dyDescent="0.2">
      <c r="Q3791" s="140">
        <v>43662</v>
      </c>
      <c r="R3791">
        <v>0</v>
      </c>
      <c r="S3791">
        <v>13.1</v>
      </c>
    </row>
    <row r="3792" spans="17:19" x14ac:dyDescent="0.2">
      <c r="Q3792" s="140">
        <v>43663</v>
      </c>
      <c r="R3792">
        <v>0</v>
      </c>
      <c r="S3792">
        <v>14.5</v>
      </c>
    </row>
    <row r="3793" spans="17:19" x14ac:dyDescent="0.2">
      <c r="Q3793" s="140">
        <v>43664</v>
      </c>
      <c r="R3793">
        <v>0</v>
      </c>
      <c r="S3793">
        <v>17.8</v>
      </c>
    </row>
    <row r="3794" spans="17:19" x14ac:dyDescent="0.2">
      <c r="Q3794" s="140">
        <v>43665</v>
      </c>
      <c r="R3794">
        <v>0</v>
      </c>
      <c r="S3794">
        <v>20.6</v>
      </c>
    </row>
    <row r="3795" spans="17:19" x14ac:dyDescent="0.2">
      <c r="Q3795" s="140">
        <v>43666</v>
      </c>
      <c r="R3795">
        <v>0</v>
      </c>
      <c r="S3795">
        <v>20.2</v>
      </c>
    </row>
    <row r="3796" spans="17:19" x14ac:dyDescent="0.2">
      <c r="Q3796" s="140">
        <v>43667</v>
      </c>
      <c r="R3796">
        <v>0</v>
      </c>
      <c r="S3796">
        <v>16.100000000000001</v>
      </c>
    </row>
    <row r="3797" spans="17:19" x14ac:dyDescent="0.2">
      <c r="Q3797" s="140">
        <v>43668</v>
      </c>
      <c r="R3797">
        <v>0.1</v>
      </c>
      <c r="S3797">
        <v>8.5</v>
      </c>
    </row>
    <row r="3798" spans="17:19" x14ac:dyDescent="0.2">
      <c r="Q3798" s="140">
        <v>43669</v>
      </c>
      <c r="R3798">
        <v>2.1</v>
      </c>
      <c r="S3798">
        <v>7.7</v>
      </c>
    </row>
    <row r="3799" spans="17:19" x14ac:dyDescent="0.2">
      <c r="Q3799" s="140">
        <v>43670</v>
      </c>
      <c r="R3799">
        <v>1.5</v>
      </c>
      <c r="S3799">
        <v>8.1</v>
      </c>
    </row>
    <row r="3800" spans="17:19" x14ac:dyDescent="0.2">
      <c r="Q3800" s="140">
        <v>43671</v>
      </c>
      <c r="R3800">
        <v>0.6</v>
      </c>
      <c r="S3800">
        <v>9.5</v>
      </c>
    </row>
    <row r="3801" spans="17:19" x14ac:dyDescent="0.2">
      <c r="Q3801" s="140">
        <v>43672</v>
      </c>
      <c r="R3801">
        <v>0</v>
      </c>
      <c r="S3801">
        <v>10.5</v>
      </c>
    </row>
    <row r="3802" spans="17:19" x14ac:dyDescent="0.2">
      <c r="Q3802" s="140">
        <v>43673</v>
      </c>
      <c r="R3802">
        <v>0</v>
      </c>
      <c r="S3802">
        <v>13.4</v>
      </c>
    </row>
    <row r="3803" spans="17:19" x14ac:dyDescent="0.2">
      <c r="Q3803" s="140">
        <v>43674</v>
      </c>
      <c r="R3803">
        <v>0</v>
      </c>
      <c r="S3803">
        <v>15</v>
      </c>
    </row>
    <row r="3804" spans="17:19" x14ac:dyDescent="0.2">
      <c r="Q3804" s="140">
        <v>43675</v>
      </c>
      <c r="R3804">
        <v>0</v>
      </c>
      <c r="S3804">
        <v>11.8</v>
      </c>
    </row>
    <row r="3805" spans="17:19" x14ac:dyDescent="0.2">
      <c r="Q3805" s="140">
        <v>43676</v>
      </c>
      <c r="R3805">
        <v>0.1</v>
      </c>
      <c r="S3805">
        <v>8.4</v>
      </c>
    </row>
    <row r="3806" spans="17:19" x14ac:dyDescent="0.2">
      <c r="Q3806" s="140">
        <v>43677</v>
      </c>
      <c r="R3806">
        <v>1.1000000000000001</v>
      </c>
      <c r="S3806">
        <v>6.5</v>
      </c>
    </row>
    <row r="3807" spans="17:19" x14ac:dyDescent="0.2">
      <c r="Q3807" s="140">
        <v>43678</v>
      </c>
      <c r="R3807">
        <v>1.8</v>
      </c>
      <c r="S3807">
        <v>6.5</v>
      </c>
    </row>
    <row r="3808" spans="17:19" x14ac:dyDescent="0.2">
      <c r="Q3808" s="140">
        <v>43679</v>
      </c>
      <c r="R3808">
        <v>0.7</v>
      </c>
      <c r="S3808">
        <v>9.5</v>
      </c>
    </row>
    <row r="3809" spans="17:19" x14ac:dyDescent="0.2">
      <c r="Q3809" s="140">
        <v>43680</v>
      </c>
      <c r="R3809">
        <v>0.4</v>
      </c>
      <c r="S3809">
        <v>9.1999999999999993</v>
      </c>
    </row>
    <row r="3810" spans="17:19" x14ac:dyDescent="0.2">
      <c r="Q3810" s="140">
        <v>43681</v>
      </c>
      <c r="R3810">
        <v>0.9</v>
      </c>
      <c r="S3810">
        <v>10.9</v>
      </c>
    </row>
    <row r="3811" spans="17:19" x14ac:dyDescent="0.2">
      <c r="Q3811" s="140">
        <v>43682</v>
      </c>
      <c r="R3811">
        <v>0</v>
      </c>
      <c r="S3811">
        <v>11.5</v>
      </c>
    </row>
    <row r="3812" spans="17:19" x14ac:dyDescent="0.2">
      <c r="Q3812" s="140">
        <v>43683</v>
      </c>
      <c r="R3812">
        <v>0</v>
      </c>
      <c r="S3812">
        <v>11.2</v>
      </c>
    </row>
    <row r="3813" spans="17:19" x14ac:dyDescent="0.2">
      <c r="Q3813" s="140">
        <v>43684</v>
      </c>
      <c r="R3813">
        <v>0.3</v>
      </c>
      <c r="S3813">
        <v>10</v>
      </c>
    </row>
    <row r="3814" spans="17:19" x14ac:dyDescent="0.2">
      <c r="Q3814" s="140">
        <v>43685</v>
      </c>
      <c r="R3814">
        <v>0</v>
      </c>
      <c r="S3814">
        <v>12</v>
      </c>
    </row>
    <row r="3815" spans="17:19" x14ac:dyDescent="0.2">
      <c r="Q3815" s="140">
        <v>43686</v>
      </c>
      <c r="R3815">
        <v>0.2</v>
      </c>
      <c r="S3815">
        <v>9.1</v>
      </c>
    </row>
    <row r="3816" spans="17:19" x14ac:dyDescent="0.2">
      <c r="Q3816" s="140">
        <v>43687</v>
      </c>
      <c r="R3816">
        <v>1.5</v>
      </c>
      <c r="S3816">
        <v>9.3000000000000007</v>
      </c>
    </row>
    <row r="3817" spans="17:19" x14ac:dyDescent="0.2">
      <c r="Q3817" s="140">
        <v>43688</v>
      </c>
      <c r="R3817">
        <v>0</v>
      </c>
      <c r="S3817">
        <v>11.1</v>
      </c>
    </row>
    <row r="3818" spans="17:19" x14ac:dyDescent="0.2">
      <c r="Q3818" s="140">
        <v>43689</v>
      </c>
      <c r="R3818">
        <v>0</v>
      </c>
      <c r="S3818">
        <v>13.1</v>
      </c>
    </row>
    <row r="3819" spans="17:19" x14ac:dyDescent="0.2">
      <c r="Q3819" s="140">
        <v>43690</v>
      </c>
      <c r="R3819">
        <v>0</v>
      </c>
      <c r="S3819">
        <v>12.1</v>
      </c>
    </row>
    <row r="3820" spans="17:19" x14ac:dyDescent="0.2">
      <c r="Q3820" s="140">
        <v>43691</v>
      </c>
      <c r="R3820">
        <v>0</v>
      </c>
      <c r="S3820">
        <v>8.1</v>
      </c>
    </row>
    <row r="3821" spans="17:19" x14ac:dyDescent="0.2">
      <c r="Q3821" s="140">
        <v>43692</v>
      </c>
      <c r="R3821">
        <v>0.5</v>
      </c>
      <c r="S3821">
        <v>6.4</v>
      </c>
    </row>
    <row r="3822" spans="17:19" x14ac:dyDescent="0.2">
      <c r="Q3822" s="140">
        <v>43693</v>
      </c>
      <c r="R3822">
        <v>0</v>
      </c>
      <c r="S3822">
        <v>10.1</v>
      </c>
    </row>
    <row r="3823" spans="17:19" x14ac:dyDescent="0.2">
      <c r="Q3823" s="140">
        <v>43694</v>
      </c>
      <c r="R3823">
        <v>0</v>
      </c>
      <c r="S3823">
        <v>9.8000000000000007</v>
      </c>
    </row>
    <row r="3824" spans="17:19" x14ac:dyDescent="0.2">
      <c r="Q3824" s="140">
        <v>43695</v>
      </c>
      <c r="R3824">
        <v>0</v>
      </c>
      <c r="S3824">
        <v>13.4</v>
      </c>
    </row>
    <row r="3825" spans="17:19" x14ac:dyDescent="0.2">
      <c r="Q3825" s="140">
        <v>43696</v>
      </c>
      <c r="R3825">
        <v>0</v>
      </c>
      <c r="S3825">
        <v>14.8</v>
      </c>
    </row>
    <row r="3826" spans="17:19" x14ac:dyDescent="0.2">
      <c r="Q3826" s="140">
        <v>43697</v>
      </c>
      <c r="R3826">
        <v>0</v>
      </c>
      <c r="S3826">
        <v>9.6</v>
      </c>
    </row>
    <row r="3827" spans="17:19" x14ac:dyDescent="0.2">
      <c r="Q3827" s="140">
        <v>43698</v>
      </c>
      <c r="R3827">
        <v>0</v>
      </c>
      <c r="S3827">
        <v>9.5</v>
      </c>
    </row>
    <row r="3828" spans="17:19" x14ac:dyDescent="0.2">
      <c r="Q3828" s="140">
        <v>43699</v>
      </c>
      <c r="R3828">
        <v>0</v>
      </c>
      <c r="S3828">
        <v>8.3000000000000007</v>
      </c>
    </row>
    <row r="3829" spans="17:19" x14ac:dyDescent="0.2">
      <c r="Q3829" s="140">
        <v>43700</v>
      </c>
      <c r="R3829">
        <v>0.9</v>
      </c>
      <c r="S3829">
        <v>5.2</v>
      </c>
    </row>
    <row r="3830" spans="17:19" x14ac:dyDescent="0.2">
      <c r="Q3830" s="140">
        <v>43701</v>
      </c>
      <c r="R3830">
        <v>2.6</v>
      </c>
      <c r="S3830">
        <v>3.6</v>
      </c>
    </row>
    <row r="3831" spans="17:19" x14ac:dyDescent="0.2">
      <c r="Q3831" s="140">
        <v>43702</v>
      </c>
      <c r="R3831">
        <v>1.4</v>
      </c>
      <c r="S3831">
        <v>4.9000000000000004</v>
      </c>
    </row>
    <row r="3832" spans="17:19" x14ac:dyDescent="0.2">
      <c r="Q3832" s="140">
        <v>43703</v>
      </c>
      <c r="R3832">
        <v>0</v>
      </c>
      <c r="S3832">
        <v>8.5</v>
      </c>
    </row>
    <row r="3833" spans="17:19" x14ac:dyDescent="0.2">
      <c r="Q3833" s="140">
        <v>43704</v>
      </c>
      <c r="R3833">
        <v>0.1</v>
      </c>
      <c r="S3833">
        <v>7</v>
      </c>
    </row>
    <row r="3834" spans="17:19" x14ac:dyDescent="0.2">
      <c r="Q3834" s="140">
        <v>43705</v>
      </c>
      <c r="R3834">
        <v>2.7</v>
      </c>
      <c r="S3834">
        <v>4.5</v>
      </c>
    </row>
    <row r="3835" spans="17:19" x14ac:dyDescent="0.2">
      <c r="Q3835" s="140">
        <v>43706</v>
      </c>
      <c r="R3835">
        <v>1.3</v>
      </c>
      <c r="S3835">
        <v>8.1</v>
      </c>
    </row>
    <row r="3836" spans="17:19" x14ac:dyDescent="0.2">
      <c r="Q3836" s="140">
        <v>43707</v>
      </c>
      <c r="R3836">
        <v>0</v>
      </c>
      <c r="S3836">
        <v>4.8</v>
      </c>
    </row>
    <row r="3837" spans="17:19" x14ac:dyDescent="0.2">
      <c r="Q3837" s="140">
        <v>43708</v>
      </c>
      <c r="R3837">
        <v>0.7</v>
      </c>
      <c r="S3837">
        <v>4.0999999999999996</v>
      </c>
    </row>
    <row r="3838" spans="17:19" x14ac:dyDescent="0.2">
      <c r="Q3838" s="140">
        <v>43709</v>
      </c>
      <c r="R3838">
        <v>0.1</v>
      </c>
      <c r="S3838">
        <v>5.5</v>
      </c>
    </row>
    <row r="3839" spans="17:19" x14ac:dyDescent="0.2">
      <c r="Q3839" s="140">
        <v>43710</v>
      </c>
      <c r="R3839">
        <v>1.2</v>
      </c>
      <c r="S3839">
        <v>6.7</v>
      </c>
    </row>
    <row r="3840" spans="17:19" x14ac:dyDescent="0.2">
      <c r="Q3840" s="140">
        <v>43711</v>
      </c>
      <c r="R3840">
        <v>0</v>
      </c>
      <c r="S3840">
        <v>11.2</v>
      </c>
    </row>
    <row r="3841" spans="17:19" x14ac:dyDescent="0.2">
      <c r="Q3841" s="140">
        <v>43712</v>
      </c>
      <c r="R3841">
        <v>0.5</v>
      </c>
      <c r="S3841">
        <v>5.0999999999999996</v>
      </c>
    </row>
    <row r="3842" spans="17:19" x14ac:dyDescent="0.2">
      <c r="Q3842" s="140">
        <v>43713</v>
      </c>
      <c r="R3842">
        <v>2.8</v>
      </c>
      <c r="S3842">
        <v>3.9</v>
      </c>
    </row>
    <row r="3843" spans="17:19" x14ac:dyDescent="0.2">
      <c r="Q3843" s="140">
        <v>43714</v>
      </c>
      <c r="R3843">
        <v>0.1</v>
      </c>
      <c r="S3843">
        <v>7.2</v>
      </c>
    </row>
    <row r="3844" spans="17:19" x14ac:dyDescent="0.2">
      <c r="Q3844" s="140">
        <v>43715</v>
      </c>
      <c r="R3844">
        <v>3.4</v>
      </c>
      <c r="S3844">
        <v>3.8</v>
      </c>
    </row>
    <row r="3845" spans="17:19" x14ac:dyDescent="0.2">
      <c r="Q3845" s="140">
        <v>43716</v>
      </c>
      <c r="R3845">
        <v>0.3</v>
      </c>
      <c r="S3845">
        <v>1.9</v>
      </c>
    </row>
    <row r="3846" spans="17:19" x14ac:dyDescent="0.2">
      <c r="Q3846" s="140">
        <v>43717</v>
      </c>
      <c r="R3846">
        <v>0.2</v>
      </c>
      <c r="S3846">
        <v>10.5</v>
      </c>
    </row>
    <row r="3847" spans="17:19" x14ac:dyDescent="0.2">
      <c r="Q3847" s="140">
        <v>43718</v>
      </c>
      <c r="R3847">
        <v>0</v>
      </c>
      <c r="S3847">
        <v>14.5</v>
      </c>
    </row>
    <row r="3848" spans="17:19" x14ac:dyDescent="0.2">
      <c r="Q3848" s="140">
        <v>43719</v>
      </c>
      <c r="R3848">
        <v>0</v>
      </c>
      <c r="S3848">
        <v>15.1</v>
      </c>
    </row>
    <row r="3849" spans="17:19" x14ac:dyDescent="0.2">
      <c r="Q3849" s="140">
        <v>43720</v>
      </c>
      <c r="R3849">
        <v>0</v>
      </c>
      <c r="S3849">
        <v>15.9</v>
      </c>
    </row>
    <row r="3850" spans="17:19" x14ac:dyDescent="0.2">
      <c r="Q3850" s="140">
        <v>43721</v>
      </c>
      <c r="R3850">
        <v>0.6</v>
      </c>
      <c r="S3850">
        <v>8.5</v>
      </c>
    </row>
    <row r="3851" spans="17:19" x14ac:dyDescent="0.2">
      <c r="Q3851" s="140">
        <v>43722</v>
      </c>
      <c r="R3851">
        <v>2.9</v>
      </c>
      <c r="S3851">
        <v>7.4</v>
      </c>
    </row>
    <row r="3852" spans="17:19" x14ac:dyDescent="0.2">
      <c r="Q3852" s="140">
        <v>43723</v>
      </c>
      <c r="R3852">
        <v>0</v>
      </c>
      <c r="S3852">
        <v>9.6999999999999993</v>
      </c>
    </row>
    <row r="3853" spans="17:19" x14ac:dyDescent="0.2">
      <c r="Q3853" s="140">
        <v>43724</v>
      </c>
      <c r="R3853">
        <v>0</v>
      </c>
      <c r="S3853">
        <v>12.5</v>
      </c>
    </row>
    <row r="3854" spans="17:19" x14ac:dyDescent="0.2">
      <c r="Q3854" s="140">
        <v>43725</v>
      </c>
      <c r="R3854">
        <v>0.4</v>
      </c>
      <c r="S3854">
        <v>8</v>
      </c>
    </row>
    <row r="3855" spans="17:19" x14ac:dyDescent="0.2">
      <c r="Q3855" s="140">
        <v>43726</v>
      </c>
      <c r="R3855">
        <v>0.2</v>
      </c>
      <c r="S3855">
        <v>9.4</v>
      </c>
    </row>
    <row r="3856" spans="17:19" x14ac:dyDescent="0.2">
      <c r="Q3856" s="140">
        <v>43727</v>
      </c>
      <c r="R3856">
        <v>0.2</v>
      </c>
      <c r="S3856">
        <v>10.6</v>
      </c>
    </row>
    <row r="3857" spans="17:19" x14ac:dyDescent="0.2">
      <c r="Q3857" s="140">
        <v>43728</v>
      </c>
      <c r="R3857">
        <v>0</v>
      </c>
      <c r="S3857">
        <v>12.7</v>
      </c>
    </row>
    <row r="3858" spans="17:19" x14ac:dyDescent="0.2">
      <c r="Q3858" s="140">
        <v>43729</v>
      </c>
      <c r="R3858">
        <v>0</v>
      </c>
      <c r="S3858">
        <v>10.8</v>
      </c>
    </row>
    <row r="3859" spans="17:19" x14ac:dyDescent="0.2">
      <c r="Q3859" s="140">
        <v>43730</v>
      </c>
      <c r="R3859">
        <v>0</v>
      </c>
      <c r="S3859">
        <v>9.6</v>
      </c>
    </row>
    <row r="3860" spans="17:19" x14ac:dyDescent="0.2">
      <c r="Q3860" s="140">
        <v>43731</v>
      </c>
      <c r="R3860">
        <v>2.4</v>
      </c>
      <c r="S3860">
        <v>3.5</v>
      </c>
    </row>
    <row r="3861" spans="17:19" x14ac:dyDescent="0.2">
      <c r="Q3861" s="140">
        <v>43732</v>
      </c>
      <c r="R3861">
        <v>3.2</v>
      </c>
      <c r="S3861">
        <v>4.7</v>
      </c>
    </row>
    <row r="3862" spans="17:19" x14ac:dyDescent="0.2">
      <c r="Q3862" s="140">
        <v>43733</v>
      </c>
      <c r="R3862">
        <v>0.1</v>
      </c>
      <c r="S3862">
        <v>5.8</v>
      </c>
    </row>
    <row r="3863" spans="17:19" x14ac:dyDescent="0.2">
      <c r="Q3863" s="140">
        <v>43734</v>
      </c>
      <c r="R3863">
        <v>4</v>
      </c>
      <c r="S3863">
        <v>2.2999999999999998</v>
      </c>
    </row>
    <row r="3864" spans="17:19" x14ac:dyDescent="0.2">
      <c r="Q3864" s="140">
        <v>43735</v>
      </c>
      <c r="R3864">
        <v>1.2</v>
      </c>
      <c r="S3864">
        <v>10.5</v>
      </c>
    </row>
    <row r="3865" spans="17:19" x14ac:dyDescent="0.2">
      <c r="Q3865" s="140">
        <v>43736</v>
      </c>
      <c r="R3865">
        <v>0</v>
      </c>
      <c r="S3865">
        <v>8.4</v>
      </c>
    </row>
    <row r="3866" spans="17:19" x14ac:dyDescent="0.2">
      <c r="Q3866" s="140">
        <v>43737</v>
      </c>
      <c r="R3866">
        <v>0</v>
      </c>
      <c r="S3866">
        <v>9.1999999999999993</v>
      </c>
    </row>
    <row r="3867" spans="17:19" x14ac:dyDescent="0.2">
      <c r="Q3867" s="140">
        <v>43738</v>
      </c>
      <c r="R3867">
        <v>0</v>
      </c>
      <c r="S3867">
        <v>13.6</v>
      </c>
    </row>
    <row r="3868" spans="17:19" x14ac:dyDescent="0.2">
      <c r="Q3868" s="140">
        <v>43739</v>
      </c>
      <c r="R3868">
        <v>0</v>
      </c>
      <c r="S3868">
        <v>15.6</v>
      </c>
    </row>
    <row r="3869" spans="17:19" x14ac:dyDescent="0.2">
      <c r="Q3869" s="140">
        <v>43740</v>
      </c>
      <c r="R3869">
        <v>0</v>
      </c>
      <c r="S3869">
        <v>13.6</v>
      </c>
    </row>
    <row r="3870" spans="17:19" x14ac:dyDescent="0.2">
      <c r="Q3870" s="140">
        <v>43741</v>
      </c>
      <c r="R3870">
        <v>4</v>
      </c>
      <c r="S3870">
        <v>2.2999999999999998</v>
      </c>
    </row>
    <row r="3871" spans="17:19" x14ac:dyDescent="0.2">
      <c r="Q3871" s="140">
        <v>43742</v>
      </c>
      <c r="R3871">
        <v>9.8000000000000007</v>
      </c>
      <c r="S3871">
        <v>0.3</v>
      </c>
    </row>
    <row r="3872" spans="17:19" x14ac:dyDescent="0.2">
      <c r="Q3872" s="140">
        <v>43743</v>
      </c>
      <c r="R3872">
        <v>6.7</v>
      </c>
      <c r="S3872">
        <v>0.7</v>
      </c>
    </row>
    <row r="3873" spans="17:19" x14ac:dyDescent="0.2">
      <c r="Q3873" s="140">
        <v>43744</v>
      </c>
      <c r="R3873">
        <v>5.0999999999999996</v>
      </c>
      <c r="S3873">
        <v>1</v>
      </c>
    </row>
    <row r="3874" spans="17:19" x14ac:dyDescent="0.2">
      <c r="Q3874" s="140">
        <v>43745</v>
      </c>
      <c r="R3874">
        <v>10.1</v>
      </c>
      <c r="S3874">
        <v>1.5</v>
      </c>
    </row>
    <row r="3875" spans="17:19" x14ac:dyDescent="0.2">
      <c r="Q3875" s="140">
        <v>43746</v>
      </c>
      <c r="R3875">
        <v>10.4</v>
      </c>
      <c r="S3875">
        <v>1.9</v>
      </c>
    </row>
    <row r="3876" spans="17:19" x14ac:dyDescent="0.2">
      <c r="Q3876" s="140">
        <v>43747</v>
      </c>
      <c r="R3876">
        <v>7.5</v>
      </c>
      <c r="S3876">
        <v>1.7</v>
      </c>
    </row>
    <row r="3877" spans="17:19" x14ac:dyDescent="0.2">
      <c r="Q3877" s="140">
        <v>43748</v>
      </c>
      <c r="R3877">
        <v>2.2999999999999998</v>
      </c>
      <c r="S3877">
        <v>0.6</v>
      </c>
    </row>
    <row r="3878" spans="17:19" x14ac:dyDescent="0.2">
      <c r="Q3878" s="140">
        <v>43749</v>
      </c>
      <c r="R3878">
        <v>16.399999999999999</v>
      </c>
      <c r="S3878">
        <v>0.4</v>
      </c>
    </row>
    <row r="3879" spans="17:19" x14ac:dyDescent="0.2">
      <c r="Q3879" s="140">
        <v>43750</v>
      </c>
      <c r="R3879">
        <v>19.7</v>
      </c>
      <c r="S3879">
        <v>0</v>
      </c>
    </row>
    <row r="3880" spans="17:19" x14ac:dyDescent="0.2">
      <c r="Q3880" s="140">
        <v>43751</v>
      </c>
      <c r="R3880">
        <v>13.9</v>
      </c>
      <c r="S3880">
        <v>0</v>
      </c>
    </row>
    <row r="3881" spans="17:19" x14ac:dyDescent="0.2">
      <c r="Q3881" s="140">
        <v>43752</v>
      </c>
      <c r="R3881">
        <v>17.899999999999999</v>
      </c>
      <c r="S3881">
        <v>0</v>
      </c>
    </row>
    <row r="3882" spans="17:19" x14ac:dyDescent="0.2">
      <c r="Q3882" s="140">
        <v>43753</v>
      </c>
      <c r="R3882">
        <v>8.1</v>
      </c>
      <c r="S3882">
        <v>0.2</v>
      </c>
    </row>
    <row r="3883" spans="17:19" x14ac:dyDescent="0.2">
      <c r="Q3883" s="140">
        <v>43754</v>
      </c>
      <c r="R3883">
        <v>18.899999999999999</v>
      </c>
      <c r="S3883">
        <v>0</v>
      </c>
    </row>
    <row r="3884" spans="17:19" x14ac:dyDescent="0.2">
      <c r="Q3884" s="140">
        <v>43755</v>
      </c>
      <c r="R3884">
        <v>20.7</v>
      </c>
      <c r="S3884">
        <v>0</v>
      </c>
    </row>
    <row r="3885" spans="17:19" x14ac:dyDescent="0.2">
      <c r="Q3885" s="140">
        <v>43756</v>
      </c>
      <c r="R3885">
        <v>13.7</v>
      </c>
      <c r="S3885">
        <v>0</v>
      </c>
    </row>
    <row r="3886" spans="17:19" x14ac:dyDescent="0.2">
      <c r="Q3886" s="140">
        <v>43757</v>
      </c>
      <c r="R3886">
        <v>8.1</v>
      </c>
      <c r="S3886">
        <v>0.4</v>
      </c>
    </row>
    <row r="3887" spans="17:19" x14ac:dyDescent="0.2">
      <c r="Q3887" s="140">
        <v>43758</v>
      </c>
      <c r="R3887">
        <v>8</v>
      </c>
      <c r="S3887">
        <v>0</v>
      </c>
    </row>
    <row r="3888" spans="17:19" x14ac:dyDescent="0.2">
      <c r="Q3888" s="140">
        <v>43759</v>
      </c>
      <c r="R3888">
        <v>5.5</v>
      </c>
      <c r="S3888">
        <v>0</v>
      </c>
    </row>
    <row r="3889" spans="17:19" x14ac:dyDescent="0.2">
      <c r="Q3889" s="140">
        <v>43760</v>
      </c>
      <c r="R3889">
        <v>14.2</v>
      </c>
      <c r="S3889">
        <v>0</v>
      </c>
    </row>
    <row r="3890" spans="17:19" x14ac:dyDescent="0.2">
      <c r="Q3890" s="140">
        <v>43761</v>
      </c>
      <c r="R3890">
        <v>10.4</v>
      </c>
      <c r="S3890">
        <v>0.8</v>
      </c>
    </row>
    <row r="3891" spans="17:19" x14ac:dyDescent="0.2">
      <c r="Q3891" s="140">
        <v>43762</v>
      </c>
      <c r="R3891">
        <v>17.7</v>
      </c>
      <c r="S3891">
        <v>0</v>
      </c>
    </row>
    <row r="3892" spans="17:19" x14ac:dyDescent="0.2">
      <c r="Q3892" s="140">
        <v>43763</v>
      </c>
      <c r="R3892">
        <v>17.899999999999999</v>
      </c>
      <c r="S3892">
        <v>0</v>
      </c>
    </row>
    <row r="3893" spans="17:19" x14ac:dyDescent="0.2">
      <c r="Q3893" s="140">
        <v>43764</v>
      </c>
      <c r="R3893">
        <v>19.100000000000001</v>
      </c>
      <c r="S3893">
        <v>0</v>
      </c>
    </row>
    <row r="3894" spans="17:19" x14ac:dyDescent="0.2">
      <c r="Q3894" s="140">
        <v>43765</v>
      </c>
      <c r="R3894">
        <v>14.2</v>
      </c>
      <c r="S3894">
        <v>0</v>
      </c>
    </row>
    <row r="3895" spans="17:19" x14ac:dyDescent="0.2">
      <c r="Q3895" s="140">
        <v>43766</v>
      </c>
      <c r="R3895">
        <v>18.100000000000001</v>
      </c>
      <c r="S3895">
        <v>0</v>
      </c>
    </row>
    <row r="3896" spans="17:19" x14ac:dyDescent="0.2">
      <c r="Q3896" s="140">
        <v>43767</v>
      </c>
      <c r="R3896">
        <v>26.3</v>
      </c>
      <c r="S3896">
        <v>0</v>
      </c>
    </row>
    <row r="3897" spans="17:19" x14ac:dyDescent="0.2">
      <c r="Q3897" s="140">
        <v>43768</v>
      </c>
      <c r="R3897">
        <v>27.9</v>
      </c>
      <c r="S3897">
        <v>0</v>
      </c>
    </row>
    <row r="3898" spans="17:19" x14ac:dyDescent="0.2">
      <c r="Q3898" s="140">
        <v>43769</v>
      </c>
      <c r="R3898">
        <v>34.6</v>
      </c>
      <c r="S3898">
        <v>0</v>
      </c>
    </row>
    <row r="3899" spans="17:19" x14ac:dyDescent="0.2">
      <c r="Q3899" s="140">
        <v>43770</v>
      </c>
      <c r="R3899">
        <v>27.5</v>
      </c>
      <c r="S3899">
        <v>0</v>
      </c>
    </row>
    <row r="3900" spans="17:19" x14ac:dyDescent="0.2">
      <c r="Q3900" s="140">
        <v>43771</v>
      </c>
      <c r="R3900">
        <v>26</v>
      </c>
      <c r="S3900">
        <v>0</v>
      </c>
    </row>
    <row r="3901" spans="17:19" x14ac:dyDescent="0.2">
      <c r="Q3901" s="140">
        <v>43772</v>
      </c>
      <c r="R3901">
        <v>21.8</v>
      </c>
      <c r="S3901">
        <v>0</v>
      </c>
    </row>
    <row r="3902" spans="17:19" x14ac:dyDescent="0.2">
      <c r="Q3902" s="140">
        <v>43773</v>
      </c>
      <c r="R3902">
        <v>17.7</v>
      </c>
      <c r="S3902">
        <v>0</v>
      </c>
    </row>
    <row r="3903" spans="17:19" x14ac:dyDescent="0.2">
      <c r="Q3903" s="140">
        <v>43774</v>
      </c>
      <c r="R3903">
        <v>23.9</v>
      </c>
      <c r="S3903">
        <v>0</v>
      </c>
    </row>
    <row r="3904" spans="17:19" x14ac:dyDescent="0.2">
      <c r="Q3904" s="140">
        <v>43775</v>
      </c>
      <c r="R3904">
        <v>19.600000000000001</v>
      </c>
      <c r="S3904">
        <v>0</v>
      </c>
    </row>
    <row r="3905" spans="17:19" x14ac:dyDescent="0.2">
      <c r="Q3905" s="140">
        <v>43776</v>
      </c>
      <c r="R3905">
        <v>33.700000000000003</v>
      </c>
      <c r="S3905">
        <v>0</v>
      </c>
    </row>
    <row r="3906" spans="17:19" x14ac:dyDescent="0.2">
      <c r="Q3906" s="140">
        <v>43777</v>
      </c>
      <c r="R3906">
        <v>39.6</v>
      </c>
      <c r="S3906">
        <v>0</v>
      </c>
    </row>
    <row r="3907" spans="17:19" x14ac:dyDescent="0.2">
      <c r="Q3907" s="140">
        <v>43778</v>
      </c>
      <c r="R3907">
        <v>23.5</v>
      </c>
      <c r="S3907">
        <v>0</v>
      </c>
    </row>
    <row r="3908" spans="17:19" x14ac:dyDescent="0.2">
      <c r="Q3908" s="140">
        <v>43779</v>
      </c>
      <c r="R3908">
        <v>19</v>
      </c>
      <c r="S3908">
        <v>0</v>
      </c>
    </row>
    <row r="3909" spans="17:19" x14ac:dyDescent="0.2">
      <c r="Q3909" s="140">
        <v>43780</v>
      </c>
      <c r="R3909">
        <v>38.200000000000003</v>
      </c>
      <c r="S3909">
        <v>0</v>
      </c>
    </row>
    <row r="3910" spans="17:19" x14ac:dyDescent="0.2">
      <c r="Q3910" s="140">
        <v>43781</v>
      </c>
      <c r="R3910">
        <v>53.5</v>
      </c>
      <c r="S3910">
        <v>0</v>
      </c>
    </row>
    <row r="3911" spans="17:19" x14ac:dyDescent="0.2">
      <c r="Q3911" s="140">
        <v>43782</v>
      </c>
      <c r="R3911">
        <v>44</v>
      </c>
      <c r="S3911">
        <v>0</v>
      </c>
    </row>
    <row r="3912" spans="17:19" x14ac:dyDescent="0.2">
      <c r="Q3912" s="140">
        <v>43783</v>
      </c>
      <c r="R3912">
        <v>36.700000000000003</v>
      </c>
      <c r="S3912">
        <v>0</v>
      </c>
    </row>
    <row r="3913" spans="17:19" x14ac:dyDescent="0.2">
      <c r="Q3913" s="140">
        <v>43784</v>
      </c>
      <c r="R3913">
        <v>36.299999999999997</v>
      </c>
      <c r="S3913">
        <v>0</v>
      </c>
    </row>
    <row r="3914" spans="17:19" x14ac:dyDescent="0.2">
      <c r="Q3914" s="140">
        <v>43785</v>
      </c>
      <c r="R3914">
        <v>32.1</v>
      </c>
      <c r="S3914">
        <v>0</v>
      </c>
    </row>
    <row r="3915" spans="17:19" x14ac:dyDescent="0.2">
      <c r="Q3915" s="140">
        <v>43786</v>
      </c>
      <c r="R3915">
        <v>27.8</v>
      </c>
      <c r="S3915">
        <v>0</v>
      </c>
    </row>
    <row r="3916" spans="17:19" x14ac:dyDescent="0.2">
      <c r="Q3916" s="140">
        <v>43787</v>
      </c>
      <c r="R3916">
        <v>25.3</v>
      </c>
      <c r="S3916">
        <v>0</v>
      </c>
    </row>
    <row r="3917" spans="17:19" x14ac:dyDescent="0.2">
      <c r="Q3917" s="140">
        <v>43788</v>
      </c>
      <c r="R3917">
        <v>25.5</v>
      </c>
      <c r="S3917">
        <v>0</v>
      </c>
    </row>
    <row r="3918" spans="17:19" x14ac:dyDescent="0.2">
      <c r="Q3918" s="140">
        <v>43789</v>
      </c>
      <c r="R3918">
        <v>22.6</v>
      </c>
      <c r="S3918">
        <v>0</v>
      </c>
    </row>
    <row r="3919" spans="17:19" x14ac:dyDescent="0.2">
      <c r="Q3919" s="140">
        <v>43790</v>
      </c>
      <c r="R3919">
        <v>15.7</v>
      </c>
      <c r="S3919">
        <v>0</v>
      </c>
    </row>
    <row r="3920" spans="17:19" x14ac:dyDescent="0.2">
      <c r="Q3920" s="140">
        <v>43791</v>
      </c>
      <c r="R3920">
        <v>31.9</v>
      </c>
      <c r="S3920">
        <v>0</v>
      </c>
    </row>
    <row r="3921" spans="17:19" x14ac:dyDescent="0.2">
      <c r="Q3921" s="140">
        <v>43792</v>
      </c>
      <c r="R3921">
        <v>30</v>
      </c>
      <c r="S3921">
        <v>0</v>
      </c>
    </row>
    <row r="3922" spans="17:19" x14ac:dyDescent="0.2">
      <c r="Q3922" s="140">
        <v>43793</v>
      </c>
      <c r="R3922">
        <v>22.6</v>
      </c>
      <c r="S3922">
        <v>0</v>
      </c>
    </row>
    <row r="3923" spans="17:19" x14ac:dyDescent="0.2">
      <c r="Q3923" s="140">
        <v>43794</v>
      </c>
      <c r="R3923">
        <v>17.2</v>
      </c>
      <c r="S3923">
        <v>0</v>
      </c>
    </row>
    <row r="3924" spans="17:19" x14ac:dyDescent="0.2">
      <c r="Q3924" s="140">
        <v>43795</v>
      </c>
      <c r="R3924">
        <v>18.2</v>
      </c>
      <c r="S3924">
        <v>0</v>
      </c>
    </row>
    <row r="3925" spans="17:19" x14ac:dyDescent="0.2">
      <c r="Q3925" s="140">
        <v>43796</v>
      </c>
      <c r="R3925">
        <v>23.7</v>
      </c>
      <c r="S3925">
        <v>0</v>
      </c>
    </row>
    <row r="3926" spans="17:19" x14ac:dyDescent="0.2">
      <c r="Q3926" s="140">
        <v>43797</v>
      </c>
      <c r="R3926">
        <v>30.7</v>
      </c>
      <c r="S3926">
        <v>0</v>
      </c>
    </row>
    <row r="3927" spans="17:19" x14ac:dyDescent="0.2">
      <c r="Q3927" s="140">
        <v>43798</v>
      </c>
      <c r="R3927">
        <v>27.2</v>
      </c>
      <c r="S3927">
        <v>0</v>
      </c>
    </row>
    <row r="3928" spans="17:19" x14ac:dyDescent="0.2">
      <c r="Q3928" s="140">
        <v>43799</v>
      </c>
      <c r="R3928">
        <v>20.7</v>
      </c>
      <c r="S3928">
        <v>0</v>
      </c>
    </row>
    <row r="3929" spans="17:19" x14ac:dyDescent="0.2">
      <c r="Q3929" s="140">
        <v>43800</v>
      </c>
      <c r="R3929">
        <v>28</v>
      </c>
      <c r="S3929">
        <v>0</v>
      </c>
    </row>
    <row r="3930" spans="17:19" x14ac:dyDescent="0.2">
      <c r="Q3930" s="140">
        <v>43801</v>
      </c>
      <c r="R3930">
        <v>34.1</v>
      </c>
      <c r="S3930">
        <v>0</v>
      </c>
    </row>
    <row r="3931" spans="17:19" x14ac:dyDescent="0.2">
      <c r="Q3931" s="140">
        <v>43802</v>
      </c>
      <c r="R3931">
        <v>31</v>
      </c>
      <c r="S3931">
        <v>0</v>
      </c>
    </row>
    <row r="3932" spans="17:19" x14ac:dyDescent="0.2">
      <c r="Q3932" s="140">
        <v>43803</v>
      </c>
      <c r="R3932">
        <v>25.1</v>
      </c>
      <c r="S3932">
        <v>0</v>
      </c>
    </row>
    <row r="3933" spans="17:19" x14ac:dyDescent="0.2">
      <c r="Q3933" s="140">
        <v>43804</v>
      </c>
      <c r="R3933">
        <v>22.7</v>
      </c>
      <c r="S3933">
        <v>0</v>
      </c>
    </row>
    <row r="3934" spans="17:19" x14ac:dyDescent="0.2">
      <c r="Q3934" s="140">
        <v>43805</v>
      </c>
      <c r="R3934">
        <v>27.1</v>
      </c>
      <c r="S3934">
        <v>0</v>
      </c>
    </row>
    <row r="3935" spans="17:19" x14ac:dyDescent="0.2">
      <c r="Q3935" s="140">
        <v>43806</v>
      </c>
      <c r="R3935">
        <v>32.1</v>
      </c>
      <c r="S3935">
        <v>0</v>
      </c>
    </row>
    <row r="3936" spans="17:19" x14ac:dyDescent="0.2">
      <c r="Q3936" s="140">
        <v>43807</v>
      </c>
      <c r="R3936">
        <v>21.2</v>
      </c>
      <c r="S3936">
        <v>0</v>
      </c>
    </row>
    <row r="3937" spans="17:19" x14ac:dyDescent="0.2">
      <c r="Q3937" s="140">
        <v>43808</v>
      </c>
      <c r="R3937">
        <v>23.1</v>
      </c>
      <c r="S3937">
        <v>0</v>
      </c>
    </row>
    <row r="3938" spans="17:19" x14ac:dyDescent="0.2">
      <c r="Q3938" s="140">
        <v>43809</v>
      </c>
      <c r="R3938">
        <v>41.8</v>
      </c>
      <c r="S3938">
        <v>0</v>
      </c>
    </row>
    <row r="3939" spans="17:19" x14ac:dyDescent="0.2">
      <c r="Q3939" s="140">
        <v>43810</v>
      </c>
      <c r="R3939">
        <v>38.9</v>
      </c>
      <c r="S3939">
        <v>0</v>
      </c>
    </row>
    <row r="3940" spans="17:19" x14ac:dyDescent="0.2">
      <c r="Q3940" s="140">
        <v>43811</v>
      </c>
      <c r="R3940">
        <v>26.2</v>
      </c>
      <c r="S3940">
        <v>0</v>
      </c>
    </row>
    <row r="3941" spans="17:19" x14ac:dyDescent="0.2">
      <c r="Q3941" s="140">
        <v>43812</v>
      </c>
      <c r="R3941">
        <v>22.4</v>
      </c>
      <c r="S3941">
        <v>0</v>
      </c>
    </row>
    <row r="3942" spans="17:19" x14ac:dyDescent="0.2">
      <c r="Q3942" s="140">
        <v>43813</v>
      </c>
      <c r="R3942">
        <v>34</v>
      </c>
      <c r="S3942">
        <v>0</v>
      </c>
    </row>
    <row r="3943" spans="17:19" x14ac:dyDescent="0.2">
      <c r="Q3943" s="140">
        <v>43814</v>
      </c>
      <c r="R3943">
        <v>43.1</v>
      </c>
      <c r="S3943">
        <v>0</v>
      </c>
    </row>
    <row r="3944" spans="17:19" x14ac:dyDescent="0.2">
      <c r="Q3944" s="140">
        <v>43815</v>
      </c>
      <c r="R3944">
        <v>38.1</v>
      </c>
      <c r="S3944">
        <v>0</v>
      </c>
    </row>
    <row r="3945" spans="17:19" x14ac:dyDescent="0.2">
      <c r="Q3945" s="140">
        <v>43816</v>
      </c>
      <c r="R3945">
        <v>43.8</v>
      </c>
      <c r="S3945">
        <v>0</v>
      </c>
    </row>
    <row r="3946" spans="17:19" x14ac:dyDescent="0.2">
      <c r="Q3946" s="140">
        <v>43817</v>
      </c>
      <c r="R3946">
        <v>47.6</v>
      </c>
      <c r="S3946">
        <v>0</v>
      </c>
    </row>
    <row r="3947" spans="17:19" x14ac:dyDescent="0.2">
      <c r="Q3947" s="140">
        <v>43818</v>
      </c>
      <c r="R3947">
        <v>36.799999999999997</v>
      </c>
      <c r="S3947">
        <v>0</v>
      </c>
    </row>
    <row r="3948" spans="17:19" x14ac:dyDescent="0.2">
      <c r="Q3948" s="140">
        <v>43819</v>
      </c>
      <c r="R3948">
        <v>31.2</v>
      </c>
      <c r="S3948">
        <v>0</v>
      </c>
    </row>
    <row r="3949" spans="17:19" x14ac:dyDescent="0.2">
      <c r="Q3949" s="140">
        <v>43820</v>
      </c>
      <c r="R3949">
        <v>28.6</v>
      </c>
      <c r="S3949">
        <v>0</v>
      </c>
    </row>
    <row r="3950" spans="17:19" x14ac:dyDescent="0.2">
      <c r="Q3950" s="140">
        <v>43821</v>
      </c>
      <c r="R3950">
        <v>26.1</v>
      </c>
      <c r="S3950">
        <v>0</v>
      </c>
    </row>
    <row r="3951" spans="17:19" x14ac:dyDescent="0.2">
      <c r="Q3951" s="140">
        <v>43822</v>
      </c>
      <c r="R3951">
        <v>23.3</v>
      </c>
      <c r="S3951">
        <v>0</v>
      </c>
    </row>
    <row r="3952" spans="17:19" x14ac:dyDescent="0.2">
      <c r="Q3952" s="140">
        <v>43823</v>
      </c>
      <c r="R3952">
        <v>18.7</v>
      </c>
      <c r="S3952">
        <v>0</v>
      </c>
    </row>
    <row r="3953" spans="17:19" x14ac:dyDescent="0.2">
      <c r="Q3953" s="140">
        <v>43824</v>
      </c>
      <c r="R3953">
        <v>12.7</v>
      </c>
      <c r="S3953">
        <v>0</v>
      </c>
    </row>
    <row r="3954" spans="17:19" x14ac:dyDescent="0.2">
      <c r="Q3954" s="140">
        <v>43825</v>
      </c>
      <c r="R3954">
        <v>10.9</v>
      </c>
      <c r="S3954">
        <v>0</v>
      </c>
    </row>
    <row r="3955" spans="17:19" x14ac:dyDescent="0.2">
      <c r="Q3955" s="140">
        <v>43826</v>
      </c>
      <c r="R3955">
        <v>26.5</v>
      </c>
      <c r="S3955">
        <v>0</v>
      </c>
    </row>
    <row r="3956" spans="17:19" x14ac:dyDescent="0.2">
      <c r="Q3956" s="140">
        <v>43827</v>
      </c>
      <c r="R3956">
        <v>16.600000000000001</v>
      </c>
      <c r="S3956">
        <v>0</v>
      </c>
    </row>
    <row r="3957" spans="17:19" x14ac:dyDescent="0.2">
      <c r="Q3957" s="140">
        <v>43828</v>
      </c>
      <c r="R3957">
        <v>12.2</v>
      </c>
      <c r="S3957">
        <v>0</v>
      </c>
    </row>
    <row r="3958" spans="17:19" x14ac:dyDescent="0.2">
      <c r="Q3958" s="140">
        <v>43829</v>
      </c>
      <c r="R3958">
        <v>31.3</v>
      </c>
      <c r="S3958">
        <v>0</v>
      </c>
    </row>
    <row r="3959" spans="17:19" x14ac:dyDescent="0.2">
      <c r="Q3959" s="140">
        <v>43830</v>
      </c>
      <c r="R3959">
        <v>32.299999999999997</v>
      </c>
      <c r="S3959">
        <v>0</v>
      </c>
    </row>
    <row r="3960" spans="17:19" x14ac:dyDescent="0.2">
      <c r="Q3960" s="140">
        <v>43831</v>
      </c>
      <c r="R3960">
        <v>26.8</v>
      </c>
      <c r="S3960">
        <v>0</v>
      </c>
    </row>
    <row r="3961" spans="17:19" x14ac:dyDescent="0.2">
      <c r="Q3961" s="140">
        <v>43832</v>
      </c>
      <c r="R3961">
        <v>21.3</v>
      </c>
      <c r="S3961">
        <v>0</v>
      </c>
    </row>
    <row r="3962" spans="17:19" x14ac:dyDescent="0.2">
      <c r="Q3962" s="140">
        <v>43833</v>
      </c>
      <c r="R3962">
        <v>27.6</v>
      </c>
      <c r="S3962">
        <v>0</v>
      </c>
    </row>
    <row r="3963" spans="17:19" x14ac:dyDescent="0.2">
      <c r="Q3963" s="140">
        <v>43834</v>
      </c>
      <c r="R3963">
        <v>33.9</v>
      </c>
      <c r="S3963">
        <v>0</v>
      </c>
    </row>
    <row r="3964" spans="17:19" x14ac:dyDescent="0.2">
      <c r="Q3964" s="140">
        <v>43835</v>
      </c>
      <c r="R3964">
        <v>28</v>
      </c>
      <c r="S3964">
        <v>0</v>
      </c>
    </row>
    <row r="3965" spans="17:19" x14ac:dyDescent="0.2">
      <c r="Q3965" s="140">
        <v>43836</v>
      </c>
      <c r="R3965">
        <v>31.4</v>
      </c>
      <c r="S3965">
        <v>0</v>
      </c>
    </row>
    <row r="3966" spans="17:19" x14ac:dyDescent="0.2">
      <c r="Q3966" s="140">
        <v>43837</v>
      </c>
      <c r="R3966">
        <v>31.1</v>
      </c>
      <c r="S3966">
        <v>0</v>
      </c>
    </row>
    <row r="3967" spans="17:19" x14ac:dyDescent="0.2">
      <c r="Q3967" s="140">
        <v>43838</v>
      </c>
      <c r="R3967">
        <v>35.700000000000003</v>
      </c>
      <c r="S3967">
        <v>0</v>
      </c>
    </row>
    <row r="3968" spans="17:19" x14ac:dyDescent="0.2">
      <c r="Q3968" s="140">
        <v>43839</v>
      </c>
      <c r="R3968">
        <v>17.8</v>
      </c>
      <c r="S3968">
        <v>0</v>
      </c>
    </row>
    <row r="3969" spans="17:19" x14ac:dyDescent="0.2">
      <c r="Q3969" s="140">
        <v>43840</v>
      </c>
      <c r="R3969">
        <v>11</v>
      </c>
      <c r="S3969">
        <v>0</v>
      </c>
    </row>
    <row r="3970" spans="17:19" x14ac:dyDescent="0.2">
      <c r="Q3970" s="140">
        <v>43841</v>
      </c>
      <c r="R3970">
        <v>31.2</v>
      </c>
      <c r="S3970">
        <v>0</v>
      </c>
    </row>
    <row r="3971" spans="17:19" x14ac:dyDescent="0.2">
      <c r="Q3971" s="140">
        <v>43842</v>
      </c>
      <c r="R3971">
        <v>36.799999999999997</v>
      </c>
      <c r="S3971">
        <v>0</v>
      </c>
    </row>
    <row r="3972" spans="17:19" x14ac:dyDescent="0.2">
      <c r="Q3972" s="140">
        <v>43843</v>
      </c>
      <c r="R3972">
        <v>30.3</v>
      </c>
      <c r="S3972">
        <v>0</v>
      </c>
    </row>
    <row r="3973" spans="17:19" x14ac:dyDescent="0.2">
      <c r="Q3973" s="140">
        <v>43844</v>
      </c>
      <c r="R3973">
        <v>26.4</v>
      </c>
      <c r="S3973">
        <v>0</v>
      </c>
    </row>
    <row r="3974" spans="17:19" x14ac:dyDescent="0.2">
      <c r="Q3974" s="140">
        <v>43845</v>
      </c>
      <c r="R3974">
        <v>24.7</v>
      </c>
      <c r="S3974">
        <v>0</v>
      </c>
    </row>
    <row r="3975" spans="17:19" x14ac:dyDescent="0.2">
      <c r="Q3975" s="140">
        <v>43846</v>
      </c>
      <c r="R3975">
        <v>44.3</v>
      </c>
      <c r="S3975">
        <v>0</v>
      </c>
    </row>
    <row r="3976" spans="17:19" x14ac:dyDescent="0.2">
      <c r="Q3976" s="140">
        <v>43847</v>
      </c>
      <c r="R3976">
        <v>38.4</v>
      </c>
      <c r="S3976">
        <v>0</v>
      </c>
    </row>
    <row r="3977" spans="17:19" x14ac:dyDescent="0.2">
      <c r="Q3977" s="140">
        <v>43848</v>
      </c>
      <c r="R3977">
        <v>35.700000000000003</v>
      </c>
      <c r="S3977">
        <v>0</v>
      </c>
    </row>
    <row r="3978" spans="17:19" x14ac:dyDescent="0.2">
      <c r="Q3978" s="140">
        <v>43849</v>
      </c>
      <c r="R3978">
        <v>55.3</v>
      </c>
      <c r="S3978">
        <v>0</v>
      </c>
    </row>
    <row r="3979" spans="17:19" x14ac:dyDescent="0.2">
      <c r="Q3979" s="140">
        <v>43850</v>
      </c>
      <c r="R3979">
        <v>48.4</v>
      </c>
      <c r="S3979">
        <v>0</v>
      </c>
    </row>
    <row r="3980" spans="17:19" x14ac:dyDescent="0.2">
      <c r="Q3980" s="140">
        <v>43851</v>
      </c>
      <c r="R3980">
        <v>43.6</v>
      </c>
      <c r="S3980">
        <v>0</v>
      </c>
    </row>
    <row r="3981" spans="17:19" x14ac:dyDescent="0.2">
      <c r="Q3981" s="140">
        <v>43852</v>
      </c>
      <c r="R3981">
        <v>35.799999999999997</v>
      </c>
      <c r="S3981">
        <v>0</v>
      </c>
    </row>
    <row r="3982" spans="17:19" x14ac:dyDescent="0.2">
      <c r="Q3982" s="140">
        <v>43853</v>
      </c>
      <c r="R3982">
        <v>32.4</v>
      </c>
      <c r="S3982">
        <v>0</v>
      </c>
    </row>
    <row r="3983" spans="17:19" x14ac:dyDescent="0.2">
      <c r="Q3983" s="140">
        <v>43854</v>
      </c>
      <c r="R3983">
        <v>31.7</v>
      </c>
      <c r="S3983">
        <v>0</v>
      </c>
    </row>
    <row r="3984" spans="17:19" x14ac:dyDescent="0.2">
      <c r="Q3984" s="140">
        <v>43855</v>
      </c>
      <c r="R3984">
        <v>32.5</v>
      </c>
      <c r="S3984">
        <v>0</v>
      </c>
    </row>
    <row r="3985" spans="17:19" x14ac:dyDescent="0.2">
      <c r="Q3985" s="140">
        <v>43856</v>
      </c>
      <c r="R3985">
        <v>35.1</v>
      </c>
      <c r="S3985">
        <v>0</v>
      </c>
    </row>
    <row r="3986" spans="17:19" x14ac:dyDescent="0.2">
      <c r="Q3986" s="140">
        <v>43857</v>
      </c>
      <c r="R3986">
        <v>36.799999999999997</v>
      </c>
      <c r="S3986">
        <v>0</v>
      </c>
    </row>
    <row r="3987" spans="17:19" x14ac:dyDescent="0.2">
      <c r="Q3987" s="140">
        <v>43858</v>
      </c>
      <c r="R3987">
        <v>35.9</v>
      </c>
      <c r="S3987">
        <v>0</v>
      </c>
    </row>
    <row r="3988" spans="17:19" x14ac:dyDescent="0.2">
      <c r="Q3988" s="140">
        <v>43859</v>
      </c>
      <c r="R3988">
        <v>35.4</v>
      </c>
      <c r="S3988">
        <v>0</v>
      </c>
    </row>
    <row r="3989" spans="17:19" x14ac:dyDescent="0.2">
      <c r="Q3989" s="140">
        <v>43860</v>
      </c>
      <c r="R3989">
        <v>33.299999999999997</v>
      </c>
      <c r="S3989">
        <v>0</v>
      </c>
    </row>
    <row r="3990" spans="17:19" x14ac:dyDescent="0.2">
      <c r="Q3990" s="140">
        <v>43861</v>
      </c>
      <c r="R3990">
        <v>29.3</v>
      </c>
      <c r="S3990">
        <v>0</v>
      </c>
    </row>
    <row r="3991" spans="17:19" x14ac:dyDescent="0.2">
      <c r="Q3991" s="140">
        <v>43862</v>
      </c>
      <c r="R3991">
        <v>29</v>
      </c>
      <c r="S3991">
        <v>0</v>
      </c>
    </row>
    <row r="3992" spans="17:19" x14ac:dyDescent="0.2">
      <c r="Q3992" s="140">
        <v>43863</v>
      </c>
      <c r="R3992">
        <v>20</v>
      </c>
      <c r="S3992">
        <v>0</v>
      </c>
    </row>
    <row r="3993" spans="17:19" x14ac:dyDescent="0.2">
      <c r="Q3993" s="140">
        <v>43864</v>
      </c>
      <c r="R3993">
        <v>17</v>
      </c>
      <c r="S3993">
        <v>0</v>
      </c>
    </row>
    <row r="3994" spans="17:19" x14ac:dyDescent="0.2">
      <c r="Q3994" s="140">
        <v>43865</v>
      </c>
      <c r="R3994">
        <v>29.3</v>
      </c>
      <c r="S3994">
        <v>0</v>
      </c>
    </row>
    <row r="3995" spans="17:19" x14ac:dyDescent="0.2">
      <c r="Q3995" s="140">
        <v>43866</v>
      </c>
      <c r="R3995">
        <v>35.6</v>
      </c>
      <c r="S3995">
        <v>0</v>
      </c>
    </row>
    <row r="3996" spans="17:19" x14ac:dyDescent="0.2">
      <c r="Q3996" s="140">
        <v>43867</v>
      </c>
      <c r="R3996">
        <v>38</v>
      </c>
      <c r="S3996">
        <v>0</v>
      </c>
    </row>
    <row r="3997" spans="17:19" x14ac:dyDescent="0.2">
      <c r="Q3997" s="140">
        <v>43868</v>
      </c>
      <c r="R3997">
        <v>36.5</v>
      </c>
      <c r="S3997">
        <v>0</v>
      </c>
    </row>
    <row r="3998" spans="17:19" x14ac:dyDescent="0.2">
      <c r="Q3998" s="140">
        <v>43869</v>
      </c>
      <c r="R3998">
        <v>37.299999999999997</v>
      </c>
      <c r="S3998">
        <v>0</v>
      </c>
    </row>
    <row r="3999" spans="17:19" x14ac:dyDescent="0.2">
      <c r="Q3999" s="140">
        <v>43870</v>
      </c>
      <c r="R3999">
        <v>30.8</v>
      </c>
      <c r="S3999">
        <v>0</v>
      </c>
    </row>
    <row r="4000" spans="17:19" x14ac:dyDescent="0.2">
      <c r="Q4000" s="140">
        <v>43871</v>
      </c>
      <c r="R4000">
        <v>33.700000000000003</v>
      </c>
      <c r="S4000">
        <v>0</v>
      </c>
    </row>
    <row r="4001" spans="17:19" x14ac:dyDescent="0.2">
      <c r="Q4001" s="140">
        <v>43872</v>
      </c>
      <c r="R4001">
        <v>31.3</v>
      </c>
      <c r="S4001">
        <v>0</v>
      </c>
    </row>
    <row r="4002" spans="17:19" x14ac:dyDescent="0.2">
      <c r="Q4002" s="140">
        <v>43873</v>
      </c>
      <c r="R4002">
        <v>33.4</v>
      </c>
      <c r="S4002">
        <v>0</v>
      </c>
    </row>
    <row r="4003" spans="17:19" x14ac:dyDescent="0.2">
      <c r="Q4003" s="140">
        <v>43874</v>
      </c>
      <c r="R4003">
        <v>52</v>
      </c>
      <c r="S4003">
        <v>0</v>
      </c>
    </row>
    <row r="4004" spans="17:19" x14ac:dyDescent="0.2">
      <c r="Q4004" s="140">
        <v>43875</v>
      </c>
      <c r="R4004">
        <v>59.3</v>
      </c>
      <c r="S4004">
        <v>0</v>
      </c>
    </row>
    <row r="4005" spans="17:19" x14ac:dyDescent="0.2">
      <c r="Q4005" s="140">
        <v>43876</v>
      </c>
      <c r="R4005">
        <v>36</v>
      </c>
      <c r="S4005">
        <v>0</v>
      </c>
    </row>
    <row r="4006" spans="17:19" x14ac:dyDescent="0.2">
      <c r="Q4006" s="140">
        <v>43877</v>
      </c>
      <c r="R4006">
        <v>33.4</v>
      </c>
      <c r="S4006">
        <v>0</v>
      </c>
    </row>
    <row r="4007" spans="17:19" x14ac:dyDescent="0.2">
      <c r="Q4007" s="140">
        <v>43878</v>
      </c>
      <c r="R4007">
        <v>26.9</v>
      </c>
      <c r="S4007">
        <v>0</v>
      </c>
    </row>
    <row r="4008" spans="17:19" x14ac:dyDescent="0.2">
      <c r="Q4008" s="140">
        <v>43879</v>
      </c>
      <c r="R4008">
        <v>29.8</v>
      </c>
      <c r="S4008">
        <v>0</v>
      </c>
    </row>
    <row r="4009" spans="17:19" x14ac:dyDescent="0.2">
      <c r="Q4009" s="140">
        <v>43880</v>
      </c>
      <c r="R4009">
        <v>36.4</v>
      </c>
      <c r="S4009">
        <v>0</v>
      </c>
    </row>
    <row r="4010" spans="17:19" x14ac:dyDescent="0.2">
      <c r="Q4010" s="140">
        <v>43881</v>
      </c>
      <c r="R4010">
        <v>42.1</v>
      </c>
      <c r="S4010">
        <v>0</v>
      </c>
    </row>
    <row r="4011" spans="17:19" x14ac:dyDescent="0.2">
      <c r="Q4011" s="140">
        <v>43882</v>
      </c>
      <c r="R4011">
        <v>39.299999999999997</v>
      </c>
      <c r="S4011">
        <v>0</v>
      </c>
    </row>
    <row r="4012" spans="17:19" x14ac:dyDescent="0.2">
      <c r="Q4012" s="140">
        <v>43883</v>
      </c>
      <c r="R4012">
        <v>27.7</v>
      </c>
      <c r="S4012">
        <v>0</v>
      </c>
    </row>
    <row r="4013" spans="17:19" x14ac:dyDescent="0.2">
      <c r="Q4013" s="140">
        <v>43884</v>
      </c>
      <c r="R4013">
        <v>19.600000000000001</v>
      </c>
      <c r="S4013">
        <v>0</v>
      </c>
    </row>
    <row r="4014" spans="17:19" x14ac:dyDescent="0.2">
      <c r="Q4014" s="140">
        <v>43885</v>
      </c>
      <c r="R4014">
        <v>22.6</v>
      </c>
      <c r="S4014">
        <v>0</v>
      </c>
    </row>
    <row r="4015" spans="17:19" x14ac:dyDescent="0.2">
      <c r="Q4015" s="140">
        <v>43886</v>
      </c>
      <c r="R4015">
        <v>30.2</v>
      </c>
      <c r="S4015">
        <v>0</v>
      </c>
    </row>
    <row r="4016" spans="17:19" x14ac:dyDescent="0.2">
      <c r="Q4016" s="140">
        <v>43887</v>
      </c>
      <c r="R4016">
        <v>34.9</v>
      </c>
      <c r="S4016">
        <v>0</v>
      </c>
    </row>
    <row r="4017" spans="17:19" x14ac:dyDescent="0.2">
      <c r="Q4017" s="140">
        <v>43888</v>
      </c>
      <c r="R4017">
        <v>34.299999999999997</v>
      </c>
      <c r="S4017">
        <v>0</v>
      </c>
    </row>
    <row r="4018" spans="17:19" x14ac:dyDescent="0.2">
      <c r="Q4018" s="140">
        <v>43889</v>
      </c>
      <c r="R4018">
        <v>35.1</v>
      </c>
      <c r="S4018">
        <v>0</v>
      </c>
    </row>
    <row r="4019" spans="17:19" x14ac:dyDescent="0.2">
      <c r="Q4019" s="140">
        <v>43890</v>
      </c>
      <c r="R4019">
        <v>34.700000000000003</v>
      </c>
      <c r="S4019">
        <v>0</v>
      </c>
    </row>
    <row r="4020" spans="17:19" x14ac:dyDescent="0.2">
      <c r="Q4020" s="140">
        <v>43891</v>
      </c>
      <c r="R4020">
        <v>14.4</v>
      </c>
      <c r="S4020">
        <v>0</v>
      </c>
    </row>
    <row r="4021" spans="17:19" x14ac:dyDescent="0.2">
      <c r="Q4021" s="140">
        <v>43892</v>
      </c>
      <c r="R4021">
        <v>20.3</v>
      </c>
      <c r="S4021">
        <v>0</v>
      </c>
    </row>
    <row r="4022" spans="17:19" x14ac:dyDescent="0.2">
      <c r="Q4022" s="140">
        <v>43893</v>
      </c>
      <c r="R4022">
        <v>21.3</v>
      </c>
      <c r="S4022">
        <v>0</v>
      </c>
    </row>
    <row r="4023" spans="17:19" x14ac:dyDescent="0.2">
      <c r="Q4023" s="140">
        <v>43894</v>
      </c>
      <c r="R4023">
        <v>20.399999999999999</v>
      </c>
      <c r="S4023">
        <v>0</v>
      </c>
    </row>
    <row r="4024" spans="17:19" x14ac:dyDescent="0.2">
      <c r="Q4024" s="140">
        <v>43895</v>
      </c>
      <c r="R4024">
        <v>19.8</v>
      </c>
      <c r="S4024">
        <v>0</v>
      </c>
    </row>
    <row r="4025" spans="17:19" x14ac:dyDescent="0.2">
      <c r="Q4025" s="140">
        <v>43896</v>
      </c>
      <c r="R4025">
        <v>26</v>
      </c>
      <c r="S4025">
        <v>0</v>
      </c>
    </row>
    <row r="4026" spans="17:19" x14ac:dyDescent="0.2">
      <c r="Q4026" s="140">
        <v>43897</v>
      </c>
      <c r="R4026">
        <v>23.7</v>
      </c>
      <c r="S4026">
        <v>0</v>
      </c>
    </row>
    <row r="4027" spans="17:19" x14ac:dyDescent="0.2">
      <c r="Q4027" s="140">
        <v>43898</v>
      </c>
      <c r="R4027">
        <v>11.5</v>
      </c>
      <c r="S4027">
        <v>0.2</v>
      </c>
    </row>
    <row r="4028" spans="17:19" x14ac:dyDescent="0.2">
      <c r="Q4028" s="140">
        <v>43899</v>
      </c>
      <c r="R4028">
        <v>10.6</v>
      </c>
      <c r="S4028">
        <v>0</v>
      </c>
    </row>
    <row r="4029" spans="17:19" x14ac:dyDescent="0.2">
      <c r="Q4029" s="140">
        <v>43900</v>
      </c>
      <c r="R4029">
        <v>24.8</v>
      </c>
      <c r="S4029">
        <v>0</v>
      </c>
    </row>
    <row r="4030" spans="17:19" x14ac:dyDescent="0.2">
      <c r="Q4030" s="140">
        <v>43901</v>
      </c>
      <c r="R4030">
        <v>22.6</v>
      </c>
      <c r="S4030">
        <v>0</v>
      </c>
    </row>
    <row r="4031" spans="17:19" x14ac:dyDescent="0.2">
      <c r="Q4031" s="140">
        <v>43902</v>
      </c>
      <c r="R4031">
        <v>17.2</v>
      </c>
      <c r="S4031">
        <v>0</v>
      </c>
    </row>
    <row r="4032" spans="17:19" x14ac:dyDescent="0.2">
      <c r="Q4032" s="140">
        <v>43903</v>
      </c>
      <c r="R4032">
        <v>22.1</v>
      </c>
      <c r="S4032">
        <v>0</v>
      </c>
    </row>
    <row r="4033" spans="17:19" x14ac:dyDescent="0.2">
      <c r="Q4033" s="140">
        <v>43904</v>
      </c>
      <c r="R4033">
        <v>28.4</v>
      </c>
      <c r="S4033">
        <v>0</v>
      </c>
    </row>
    <row r="4034" spans="17:19" x14ac:dyDescent="0.2">
      <c r="Q4034" s="140">
        <v>43905</v>
      </c>
      <c r="R4034">
        <v>27.4</v>
      </c>
      <c r="S4034">
        <v>0</v>
      </c>
    </row>
    <row r="4035" spans="17:19" x14ac:dyDescent="0.2">
      <c r="Q4035" s="140">
        <v>43906</v>
      </c>
      <c r="R4035">
        <v>25.4</v>
      </c>
      <c r="S4035">
        <v>0</v>
      </c>
    </row>
    <row r="4036" spans="17:19" x14ac:dyDescent="0.2">
      <c r="Q4036" s="140">
        <v>43907</v>
      </c>
      <c r="R4036">
        <v>20.9</v>
      </c>
      <c r="S4036">
        <v>0</v>
      </c>
    </row>
    <row r="4037" spans="17:19" x14ac:dyDescent="0.2">
      <c r="Q4037" s="140">
        <v>43908</v>
      </c>
      <c r="R4037">
        <v>18.399999999999999</v>
      </c>
      <c r="S4037">
        <v>0</v>
      </c>
    </row>
    <row r="4038" spans="17:19" x14ac:dyDescent="0.2">
      <c r="Q4038" s="140">
        <v>43909</v>
      </c>
      <c r="R4038">
        <v>8.6</v>
      </c>
      <c r="S4038">
        <v>0.2</v>
      </c>
    </row>
    <row r="4039" spans="17:19" x14ac:dyDescent="0.2">
      <c r="Q4039" s="140">
        <v>43910</v>
      </c>
      <c r="R4039">
        <v>19.7</v>
      </c>
      <c r="S4039">
        <v>0</v>
      </c>
    </row>
    <row r="4040" spans="17:19" x14ac:dyDescent="0.2">
      <c r="Q4040" s="140">
        <v>43911</v>
      </c>
      <c r="R4040">
        <v>30.8</v>
      </c>
      <c r="S4040">
        <v>0</v>
      </c>
    </row>
    <row r="4041" spans="17:19" x14ac:dyDescent="0.2">
      <c r="Q4041" s="140">
        <v>43912</v>
      </c>
      <c r="R4041">
        <v>33.6</v>
      </c>
      <c r="S4041">
        <v>0</v>
      </c>
    </row>
    <row r="4042" spans="17:19" x14ac:dyDescent="0.2">
      <c r="Q4042" s="140">
        <v>43913</v>
      </c>
      <c r="R4042">
        <v>29.1</v>
      </c>
      <c r="S4042">
        <v>0</v>
      </c>
    </row>
    <row r="4043" spans="17:19" x14ac:dyDescent="0.2">
      <c r="Q4043" s="140">
        <v>43914</v>
      </c>
      <c r="R4043">
        <v>24.3</v>
      </c>
      <c r="S4043">
        <v>0</v>
      </c>
    </row>
    <row r="4044" spans="17:19" x14ac:dyDescent="0.2">
      <c r="Q4044" s="140">
        <v>43915</v>
      </c>
      <c r="R4044">
        <v>18</v>
      </c>
      <c r="S4044">
        <v>0</v>
      </c>
    </row>
    <row r="4045" spans="17:19" x14ac:dyDescent="0.2">
      <c r="Q4045" s="140">
        <v>43916</v>
      </c>
      <c r="R4045">
        <v>13.4</v>
      </c>
      <c r="S4045">
        <v>0</v>
      </c>
    </row>
    <row r="4046" spans="17:19" x14ac:dyDescent="0.2">
      <c r="Q4046" s="140">
        <v>43917</v>
      </c>
      <c r="R4046">
        <v>10.6</v>
      </c>
      <c r="S4046">
        <v>0</v>
      </c>
    </row>
    <row r="4047" spans="17:19" x14ac:dyDescent="0.2">
      <c r="Q4047" s="140">
        <v>43918</v>
      </c>
      <c r="R4047">
        <v>0.7</v>
      </c>
      <c r="S4047">
        <v>1.9</v>
      </c>
    </row>
    <row r="4048" spans="17:19" x14ac:dyDescent="0.2">
      <c r="Q4048" s="140">
        <v>43919</v>
      </c>
      <c r="R4048">
        <v>10.6</v>
      </c>
      <c r="S4048">
        <v>0</v>
      </c>
    </row>
    <row r="4049" spans="17:19" x14ac:dyDescent="0.2">
      <c r="Q4049" s="140">
        <v>43920</v>
      </c>
      <c r="R4049">
        <v>13.6</v>
      </c>
      <c r="S4049">
        <v>0</v>
      </c>
    </row>
    <row r="4050" spans="17:19" x14ac:dyDescent="0.2">
      <c r="Q4050" s="140">
        <v>43921</v>
      </c>
      <c r="R4050">
        <v>20.2</v>
      </c>
      <c r="S4050">
        <v>0</v>
      </c>
    </row>
    <row r="4051" spans="17:19" x14ac:dyDescent="0.2">
      <c r="Q4051" s="140">
        <v>43922</v>
      </c>
      <c r="R4051">
        <v>19</v>
      </c>
      <c r="S4051">
        <v>0</v>
      </c>
    </row>
    <row r="4052" spans="17:19" x14ac:dyDescent="0.2">
      <c r="Q4052" s="140">
        <v>43923</v>
      </c>
      <c r="R4052">
        <v>11.5</v>
      </c>
      <c r="S4052">
        <v>0</v>
      </c>
    </row>
    <row r="4053" spans="17:19" x14ac:dyDescent="0.2">
      <c r="Q4053" s="140">
        <v>43924</v>
      </c>
      <c r="R4053">
        <v>8.1999999999999993</v>
      </c>
      <c r="S4053">
        <v>0.9</v>
      </c>
    </row>
    <row r="4054" spans="17:19" x14ac:dyDescent="0.2">
      <c r="Q4054" s="140">
        <v>43925</v>
      </c>
      <c r="R4054">
        <v>25.1</v>
      </c>
      <c r="S4054">
        <v>0</v>
      </c>
    </row>
    <row r="4055" spans="17:19" x14ac:dyDescent="0.2">
      <c r="Q4055" s="140">
        <v>43926</v>
      </c>
      <c r="R4055">
        <v>17.3</v>
      </c>
      <c r="S4055">
        <v>0</v>
      </c>
    </row>
    <row r="4056" spans="17:19" x14ac:dyDescent="0.2">
      <c r="Q4056" s="140">
        <v>43927</v>
      </c>
      <c r="R4056">
        <v>9.9</v>
      </c>
      <c r="S4056">
        <v>0.7</v>
      </c>
    </row>
    <row r="4057" spans="17:19" x14ac:dyDescent="0.2">
      <c r="Q4057" s="140">
        <v>43928</v>
      </c>
      <c r="R4057">
        <v>0.6</v>
      </c>
      <c r="S4057">
        <v>6.1</v>
      </c>
    </row>
    <row r="4058" spans="17:19" x14ac:dyDescent="0.2">
      <c r="Q4058" s="140">
        <v>43929</v>
      </c>
      <c r="R4058">
        <v>4.2</v>
      </c>
      <c r="S4058">
        <v>4.9000000000000004</v>
      </c>
    </row>
    <row r="4059" spans="17:19" x14ac:dyDescent="0.2">
      <c r="Q4059" s="140">
        <v>43930</v>
      </c>
      <c r="R4059">
        <v>18.399999999999999</v>
      </c>
      <c r="S4059">
        <v>0</v>
      </c>
    </row>
    <row r="4060" spans="17:19" x14ac:dyDescent="0.2">
      <c r="Q4060" s="140">
        <v>43931</v>
      </c>
      <c r="R4060">
        <v>21.6</v>
      </c>
      <c r="S4060">
        <v>0</v>
      </c>
    </row>
    <row r="4061" spans="17:19" x14ac:dyDescent="0.2">
      <c r="Q4061" s="140">
        <v>43932</v>
      </c>
      <c r="R4061">
        <v>11.1</v>
      </c>
      <c r="S4061">
        <v>0</v>
      </c>
    </row>
    <row r="4062" spans="17:19" x14ac:dyDescent="0.2">
      <c r="Q4062" s="140">
        <v>43933</v>
      </c>
      <c r="R4062">
        <v>9</v>
      </c>
      <c r="S4062">
        <v>0</v>
      </c>
    </row>
    <row r="4063" spans="17:19" x14ac:dyDescent="0.2">
      <c r="Q4063" s="140">
        <v>43934</v>
      </c>
      <c r="R4063">
        <v>25.9</v>
      </c>
      <c r="S4063">
        <v>0</v>
      </c>
    </row>
    <row r="4064" spans="17:19" x14ac:dyDescent="0.2">
      <c r="Q4064" s="140">
        <v>43935</v>
      </c>
      <c r="R4064">
        <v>26.2</v>
      </c>
      <c r="S4064">
        <v>0</v>
      </c>
    </row>
    <row r="4065" spans="17:19" x14ac:dyDescent="0.2">
      <c r="Q4065" s="140">
        <v>43936</v>
      </c>
      <c r="R4065">
        <v>26.7</v>
      </c>
      <c r="S4065">
        <v>0</v>
      </c>
    </row>
    <row r="4066" spans="17:19" x14ac:dyDescent="0.2">
      <c r="Q4066" s="140">
        <v>43937</v>
      </c>
      <c r="R4066">
        <v>30.5</v>
      </c>
      <c r="S4066">
        <v>0</v>
      </c>
    </row>
    <row r="4067" spans="17:19" x14ac:dyDescent="0.2">
      <c r="Q4067" s="140">
        <v>43938</v>
      </c>
      <c r="R4067">
        <v>27.2</v>
      </c>
      <c r="S4067">
        <v>0</v>
      </c>
    </row>
    <row r="4068" spans="17:19" x14ac:dyDescent="0.2">
      <c r="Q4068" s="140">
        <v>43939</v>
      </c>
      <c r="R4068">
        <v>20.2</v>
      </c>
      <c r="S4068">
        <v>0</v>
      </c>
    </row>
    <row r="4069" spans="17:19" x14ac:dyDescent="0.2">
      <c r="Q4069" s="140">
        <v>43940</v>
      </c>
      <c r="R4069">
        <v>10.4</v>
      </c>
      <c r="S4069">
        <v>0.2</v>
      </c>
    </row>
    <row r="4070" spans="17:19" x14ac:dyDescent="0.2">
      <c r="Q4070" s="140">
        <v>43941</v>
      </c>
      <c r="R4070">
        <v>12</v>
      </c>
      <c r="S4070">
        <v>0</v>
      </c>
    </row>
    <row r="4071" spans="17:19" x14ac:dyDescent="0.2">
      <c r="Q4071" s="140">
        <v>43942</v>
      </c>
      <c r="R4071">
        <v>13.5</v>
      </c>
      <c r="S4071">
        <v>0</v>
      </c>
    </row>
    <row r="4072" spans="17:19" x14ac:dyDescent="0.2">
      <c r="Q4072" s="140">
        <v>43943</v>
      </c>
      <c r="R4072">
        <v>7.7</v>
      </c>
      <c r="S4072">
        <v>3.2</v>
      </c>
    </row>
    <row r="4073" spans="17:19" x14ac:dyDescent="0.2">
      <c r="Q4073" s="140">
        <v>43944</v>
      </c>
      <c r="R4073">
        <v>8.6</v>
      </c>
      <c r="S4073">
        <v>0</v>
      </c>
    </row>
    <row r="4074" spans="17:19" x14ac:dyDescent="0.2">
      <c r="Q4074" s="140">
        <v>43945</v>
      </c>
      <c r="R4074">
        <v>10.3</v>
      </c>
      <c r="S4074">
        <v>0.2</v>
      </c>
    </row>
    <row r="4075" spans="17:19" x14ac:dyDescent="0.2">
      <c r="Q4075" s="140">
        <v>43946</v>
      </c>
      <c r="R4075">
        <v>18</v>
      </c>
      <c r="S4075">
        <v>0</v>
      </c>
    </row>
    <row r="4076" spans="17:19" x14ac:dyDescent="0.2">
      <c r="Q4076" s="140">
        <v>43947</v>
      </c>
      <c r="R4076">
        <v>11.5</v>
      </c>
      <c r="S4076">
        <v>0</v>
      </c>
    </row>
    <row r="4077" spans="17:19" x14ac:dyDescent="0.2">
      <c r="Q4077" s="140">
        <v>43948</v>
      </c>
      <c r="R4077">
        <v>7.1</v>
      </c>
      <c r="S4077">
        <v>0.5</v>
      </c>
    </row>
    <row r="4078" spans="17:19" x14ac:dyDescent="0.2">
      <c r="Q4078" s="140">
        <v>43949</v>
      </c>
      <c r="R4078">
        <v>3.5</v>
      </c>
      <c r="S4078">
        <v>3.5</v>
      </c>
    </row>
    <row r="4079" spans="17:19" x14ac:dyDescent="0.2">
      <c r="Q4079" s="140">
        <v>43950</v>
      </c>
      <c r="R4079">
        <v>13</v>
      </c>
      <c r="S4079">
        <v>0</v>
      </c>
    </row>
    <row r="4080" spans="17:19" x14ac:dyDescent="0.2">
      <c r="Q4080" s="140">
        <v>43951</v>
      </c>
      <c r="R4080">
        <v>8.8000000000000007</v>
      </c>
      <c r="S4080">
        <v>0.1</v>
      </c>
    </row>
    <row r="4081" spans="17:19" x14ac:dyDescent="0.2">
      <c r="Q4081" s="140">
        <v>43952</v>
      </c>
      <c r="R4081">
        <v>7.4</v>
      </c>
      <c r="S4081">
        <v>2</v>
      </c>
    </row>
    <row r="4082" spans="17:19" x14ac:dyDescent="0.2">
      <c r="Q4082" s="140">
        <v>43953</v>
      </c>
      <c r="R4082">
        <v>1.4</v>
      </c>
      <c r="S4082">
        <v>7.2</v>
      </c>
    </row>
    <row r="4083" spans="17:19" x14ac:dyDescent="0.2">
      <c r="Q4083" s="140">
        <v>43954</v>
      </c>
      <c r="R4083">
        <v>3.5</v>
      </c>
      <c r="S4083">
        <v>0.2</v>
      </c>
    </row>
    <row r="4084" spans="17:19" x14ac:dyDescent="0.2">
      <c r="Q4084" s="140">
        <v>43955</v>
      </c>
      <c r="R4084">
        <v>11.9</v>
      </c>
      <c r="S4084">
        <v>0</v>
      </c>
    </row>
    <row r="4085" spans="17:19" x14ac:dyDescent="0.2">
      <c r="Q4085" s="140">
        <v>43956</v>
      </c>
      <c r="R4085">
        <v>18</v>
      </c>
      <c r="S4085">
        <v>0</v>
      </c>
    </row>
    <row r="4086" spans="17:19" x14ac:dyDescent="0.2">
      <c r="Q4086" s="140">
        <v>43957</v>
      </c>
      <c r="R4086">
        <v>14</v>
      </c>
      <c r="S4086">
        <v>0</v>
      </c>
    </row>
    <row r="4087" spans="17:19" x14ac:dyDescent="0.2">
      <c r="Q4087" s="140">
        <v>43958</v>
      </c>
      <c r="R4087">
        <v>8.6999999999999993</v>
      </c>
      <c r="S4087">
        <v>0.2</v>
      </c>
    </row>
    <row r="4088" spans="17:19" x14ac:dyDescent="0.2">
      <c r="Q4088" s="140">
        <v>43959</v>
      </c>
      <c r="R4088">
        <v>14.6</v>
      </c>
      <c r="S4088">
        <v>0</v>
      </c>
    </row>
    <row r="4089" spans="17:19" x14ac:dyDescent="0.2">
      <c r="Q4089" s="140">
        <v>43960</v>
      </c>
      <c r="R4089">
        <v>15.7</v>
      </c>
      <c r="S4089">
        <v>0</v>
      </c>
    </row>
    <row r="4090" spans="17:19" x14ac:dyDescent="0.2">
      <c r="Q4090" s="140">
        <v>43961</v>
      </c>
      <c r="R4090">
        <v>14.9</v>
      </c>
      <c r="S4090">
        <v>0</v>
      </c>
    </row>
    <row r="4091" spans="17:19" x14ac:dyDescent="0.2">
      <c r="Q4091" s="140">
        <v>43962</v>
      </c>
      <c r="R4091">
        <v>16</v>
      </c>
      <c r="S4091">
        <v>0</v>
      </c>
    </row>
    <row r="4092" spans="17:19" x14ac:dyDescent="0.2">
      <c r="Q4092" s="140">
        <v>43963</v>
      </c>
      <c r="R4092">
        <v>15.1</v>
      </c>
      <c r="S4092">
        <v>0</v>
      </c>
    </row>
    <row r="4093" spans="17:19" x14ac:dyDescent="0.2">
      <c r="Q4093" s="140">
        <v>43964</v>
      </c>
      <c r="R4093">
        <v>13.6</v>
      </c>
      <c r="S4093">
        <v>0</v>
      </c>
    </row>
    <row r="4094" spans="17:19" x14ac:dyDescent="0.2">
      <c r="Q4094" s="140">
        <v>43965</v>
      </c>
      <c r="R4094">
        <v>2.9</v>
      </c>
      <c r="S4094">
        <v>4.8</v>
      </c>
    </row>
    <row r="4095" spans="17:19" x14ac:dyDescent="0.2">
      <c r="Q4095" s="140">
        <v>43966</v>
      </c>
      <c r="R4095">
        <v>1.5</v>
      </c>
      <c r="S4095">
        <v>1.5</v>
      </c>
    </row>
    <row r="4096" spans="17:19" x14ac:dyDescent="0.2">
      <c r="Q4096" s="140">
        <v>43967</v>
      </c>
      <c r="R4096">
        <v>2.6</v>
      </c>
      <c r="S4096">
        <v>3.4</v>
      </c>
    </row>
    <row r="4097" spans="17:19" x14ac:dyDescent="0.2">
      <c r="Q4097" s="140">
        <v>43968</v>
      </c>
      <c r="R4097">
        <v>0.8</v>
      </c>
      <c r="S4097">
        <v>1</v>
      </c>
    </row>
    <row r="4098" spans="17:19" x14ac:dyDescent="0.2">
      <c r="Q4098" s="140">
        <v>43969</v>
      </c>
      <c r="R4098">
        <v>7.3</v>
      </c>
      <c r="S4098">
        <v>0</v>
      </c>
    </row>
    <row r="4099" spans="17:19" x14ac:dyDescent="0.2">
      <c r="Q4099" s="140">
        <v>43970</v>
      </c>
      <c r="R4099">
        <v>6.9</v>
      </c>
      <c r="S4099">
        <v>0</v>
      </c>
    </row>
    <row r="4100" spans="17:19" x14ac:dyDescent="0.2">
      <c r="Q4100" s="140">
        <v>43971</v>
      </c>
      <c r="R4100">
        <v>5.0999999999999996</v>
      </c>
      <c r="S4100">
        <v>0</v>
      </c>
    </row>
    <row r="4101" spans="17:19" x14ac:dyDescent="0.2">
      <c r="Q4101" s="140">
        <v>43972</v>
      </c>
      <c r="R4101">
        <v>4.5</v>
      </c>
      <c r="S4101">
        <v>0.1</v>
      </c>
    </row>
    <row r="4102" spans="17:19" x14ac:dyDescent="0.2">
      <c r="Q4102" s="140">
        <v>43973</v>
      </c>
      <c r="R4102">
        <v>2</v>
      </c>
      <c r="S4102">
        <v>3.8</v>
      </c>
    </row>
    <row r="4103" spans="17:19" x14ac:dyDescent="0.2">
      <c r="Q4103" s="140">
        <v>43974</v>
      </c>
      <c r="R4103">
        <v>0.1</v>
      </c>
      <c r="S4103">
        <v>8.1999999999999993</v>
      </c>
    </row>
    <row r="4104" spans="17:19" x14ac:dyDescent="0.2">
      <c r="Q4104" s="140">
        <v>43975</v>
      </c>
      <c r="R4104">
        <v>0</v>
      </c>
      <c r="S4104">
        <v>11.9</v>
      </c>
    </row>
    <row r="4105" spans="17:19" x14ac:dyDescent="0.2">
      <c r="Q4105" s="140">
        <v>43976</v>
      </c>
      <c r="R4105">
        <v>0</v>
      </c>
      <c r="S4105">
        <v>10.8</v>
      </c>
    </row>
    <row r="4106" spans="17:19" x14ac:dyDescent="0.2">
      <c r="Q4106" s="140">
        <v>43977</v>
      </c>
      <c r="R4106">
        <v>0</v>
      </c>
      <c r="S4106">
        <v>10.6</v>
      </c>
    </row>
    <row r="4107" spans="17:19" x14ac:dyDescent="0.2">
      <c r="Q4107" s="140">
        <v>43978</v>
      </c>
      <c r="R4107">
        <v>0</v>
      </c>
      <c r="S4107">
        <v>6.8</v>
      </c>
    </row>
    <row r="4108" spans="17:19" x14ac:dyDescent="0.2">
      <c r="Q4108" s="140">
        <v>43979</v>
      </c>
      <c r="R4108">
        <v>0</v>
      </c>
      <c r="S4108">
        <v>6.8</v>
      </c>
    </row>
    <row r="4109" spans="17:19" x14ac:dyDescent="0.2">
      <c r="Q4109" s="140">
        <v>43980</v>
      </c>
      <c r="R4109">
        <v>0.6</v>
      </c>
      <c r="S4109">
        <v>4.5999999999999996</v>
      </c>
    </row>
    <row r="4110" spans="17:19" x14ac:dyDescent="0.2">
      <c r="Q4110" s="140">
        <v>43981</v>
      </c>
      <c r="R4110">
        <v>3.9</v>
      </c>
      <c r="S4110">
        <v>3.8</v>
      </c>
    </row>
    <row r="4111" spans="17:19" x14ac:dyDescent="0.2">
      <c r="Q4111" s="140">
        <v>43982</v>
      </c>
      <c r="R4111">
        <v>3.2</v>
      </c>
      <c r="S4111">
        <v>4.0999999999999996</v>
      </c>
    </row>
    <row r="4112" spans="17:19" x14ac:dyDescent="0.2">
      <c r="Q4112" s="140">
        <v>43983</v>
      </c>
      <c r="R4112">
        <v>0.8</v>
      </c>
      <c r="S4112">
        <v>5.5</v>
      </c>
    </row>
    <row r="4113" spans="17:19" x14ac:dyDescent="0.2">
      <c r="Q4113" s="140">
        <v>43984</v>
      </c>
      <c r="R4113">
        <v>0</v>
      </c>
      <c r="S4113">
        <v>13.9</v>
      </c>
    </row>
    <row r="4114" spans="17:19" x14ac:dyDescent="0.2">
      <c r="Q4114" s="140">
        <v>43985</v>
      </c>
      <c r="R4114">
        <v>0</v>
      </c>
      <c r="S4114">
        <v>14.9</v>
      </c>
    </row>
    <row r="4115" spans="17:19" x14ac:dyDescent="0.2">
      <c r="Q4115" s="140">
        <v>43986</v>
      </c>
      <c r="R4115">
        <v>0</v>
      </c>
      <c r="S4115">
        <v>10.8</v>
      </c>
    </row>
    <row r="4116" spans="17:19" x14ac:dyDescent="0.2">
      <c r="Q4116" s="140">
        <v>43987</v>
      </c>
      <c r="R4116">
        <v>0</v>
      </c>
      <c r="S4116">
        <v>12.2</v>
      </c>
    </row>
    <row r="4117" spans="17:19" x14ac:dyDescent="0.2">
      <c r="Q4117" s="140">
        <v>43988</v>
      </c>
      <c r="R4117">
        <v>0</v>
      </c>
      <c r="S4117">
        <v>15.8</v>
      </c>
    </row>
    <row r="4118" spans="17:19" x14ac:dyDescent="0.2">
      <c r="Q4118" s="140">
        <v>43989</v>
      </c>
      <c r="R4118">
        <v>0.1</v>
      </c>
      <c r="S4118">
        <v>13.6</v>
      </c>
    </row>
    <row r="4119" spans="17:19" x14ac:dyDescent="0.2">
      <c r="Q4119" s="140">
        <v>43990</v>
      </c>
      <c r="R4119">
        <v>0</v>
      </c>
      <c r="S4119">
        <v>15.5</v>
      </c>
    </row>
    <row r="4120" spans="17:19" x14ac:dyDescent="0.2">
      <c r="Q4120" s="140">
        <v>43991</v>
      </c>
      <c r="R4120">
        <v>0</v>
      </c>
      <c r="S4120">
        <v>14.4</v>
      </c>
    </row>
    <row r="4121" spans="17:19" x14ac:dyDescent="0.2">
      <c r="Q4121" s="140">
        <v>43992</v>
      </c>
      <c r="R4121">
        <v>0.2</v>
      </c>
      <c r="S4121">
        <v>6.2</v>
      </c>
    </row>
    <row r="4122" spans="17:19" x14ac:dyDescent="0.2">
      <c r="Q4122" s="140">
        <v>43993</v>
      </c>
      <c r="R4122">
        <v>1.9</v>
      </c>
      <c r="S4122">
        <v>8.8000000000000007</v>
      </c>
    </row>
    <row r="4123" spans="17:19" x14ac:dyDescent="0.2">
      <c r="Q4123" s="140">
        <v>43994</v>
      </c>
      <c r="R4123">
        <v>0.6</v>
      </c>
      <c r="S4123">
        <v>11</v>
      </c>
    </row>
    <row r="4124" spans="17:19" x14ac:dyDescent="0.2">
      <c r="Q4124" s="140">
        <v>43995</v>
      </c>
      <c r="R4124">
        <v>1.4</v>
      </c>
      <c r="S4124">
        <v>7.7</v>
      </c>
    </row>
    <row r="4125" spans="17:19" x14ac:dyDescent="0.2">
      <c r="Q4125" s="140">
        <v>43996</v>
      </c>
      <c r="R4125">
        <v>1.6</v>
      </c>
      <c r="S4125">
        <v>4.4000000000000004</v>
      </c>
    </row>
    <row r="4126" spans="17:19" x14ac:dyDescent="0.2">
      <c r="Q4126" s="140">
        <v>43997</v>
      </c>
      <c r="R4126">
        <v>2.7</v>
      </c>
      <c r="S4126">
        <v>6.2</v>
      </c>
    </row>
    <row r="4127" spans="17:19" x14ac:dyDescent="0.2">
      <c r="Q4127" s="140">
        <v>43998</v>
      </c>
      <c r="R4127">
        <v>2.2999999999999998</v>
      </c>
      <c r="S4127">
        <v>8.9</v>
      </c>
    </row>
    <row r="4128" spans="17:19" x14ac:dyDescent="0.2">
      <c r="Q4128" s="140">
        <v>43999</v>
      </c>
      <c r="R4128">
        <v>0.3</v>
      </c>
      <c r="S4128">
        <v>10.1</v>
      </c>
    </row>
    <row r="4129" spans="17:19" x14ac:dyDescent="0.2">
      <c r="Q4129" s="140">
        <v>44000</v>
      </c>
      <c r="R4129">
        <v>0.4</v>
      </c>
      <c r="S4129">
        <v>11.9</v>
      </c>
    </row>
    <row r="4130" spans="17:19" x14ac:dyDescent="0.2">
      <c r="Q4130" s="140">
        <v>44001</v>
      </c>
      <c r="R4130">
        <v>0</v>
      </c>
      <c r="S4130">
        <v>15.5</v>
      </c>
    </row>
    <row r="4131" spans="17:19" x14ac:dyDescent="0.2">
      <c r="Q4131" s="140">
        <v>44002</v>
      </c>
      <c r="R4131">
        <v>0</v>
      </c>
      <c r="S4131">
        <v>10.3</v>
      </c>
    </row>
    <row r="4132" spans="17:19" x14ac:dyDescent="0.2">
      <c r="Q4132" s="140">
        <v>44003</v>
      </c>
      <c r="R4132">
        <v>0</v>
      </c>
      <c r="S4132">
        <v>10.7</v>
      </c>
    </row>
    <row r="4133" spans="17:19" x14ac:dyDescent="0.2">
      <c r="Q4133" s="140">
        <v>44004</v>
      </c>
      <c r="R4133">
        <v>0</v>
      </c>
      <c r="S4133">
        <v>10.1</v>
      </c>
    </row>
  </sheetData>
  <mergeCells count="1">
    <mergeCell ref="U6:V7"/>
  </mergeCells>
  <phoneticPr fontId="13" type="noConversion"/>
  <conditionalFormatting sqref="U3">
    <cfRule type="expression" dxfId="1" priority="1">
      <formula>TODAY()-$U$3&gt;35</formula>
    </cfRule>
  </conditionalFormatting>
  <hyperlinks>
    <hyperlink ref="U6" r:id="rId1" display="FROM www.degreedays.net" xr:uid="{00000000-0004-0000-0600-000000000000}"/>
  </hyperlinks>
  <pageMargins left="0.75" right="0.75" top="1" bottom="1" header="0.5" footer="0.5"/>
  <pageSetup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I29"/>
  <sheetViews>
    <sheetView zoomScale="110" zoomScaleNormal="110" workbookViewId="0"/>
  </sheetViews>
  <sheetFormatPr defaultRowHeight="12.75" x14ac:dyDescent="0.2"/>
  <cols>
    <col min="1" max="1" width="13.28515625" customWidth="1"/>
    <col min="2" max="2" width="15.140625" customWidth="1"/>
    <col min="3" max="3" width="19.28515625" bestFit="1" customWidth="1"/>
    <col min="4" max="4" width="18.7109375" bestFit="1" customWidth="1"/>
    <col min="5" max="5" width="7.5703125" customWidth="1"/>
    <col min="6" max="6" width="13.28515625" customWidth="1"/>
    <col min="7" max="7" width="15.140625" customWidth="1"/>
    <col min="8" max="8" width="18.5703125" customWidth="1"/>
    <col min="9" max="9" width="15.42578125" customWidth="1"/>
  </cols>
  <sheetData>
    <row r="1" spans="1:9" ht="15.75" customHeight="1" x14ac:dyDescent="0.2">
      <c r="A1" s="107"/>
      <c r="B1" s="83" t="s">
        <v>156</v>
      </c>
      <c r="C1" s="78">
        <f ca="1">+SUM(C5:C28)*3.414/((B5-A28)/365)/IF(A1,A1,1)</f>
        <v>1637354.4000000001</v>
      </c>
      <c r="D1" s="148" t="str">
        <f>IF(A1," kBTU/sf/yr"," kBTU/yr")</f>
        <v xml:space="preserve"> kBTU/yr</v>
      </c>
      <c r="E1" s="226" t="str">
        <f>+Electric!B3&amp;" - "&amp;Electric!B4</f>
        <v>HANSON PROFESSIONAL SRVC INC - 1525 S 6TH ST</v>
      </c>
      <c r="F1" s="226"/>
      <c r="G1" s="226"/>
      <c r="H1" s="226"/>
    </row>
    <row r="2" spans="1:9" ht="27.75" customHeight="1" x14ac:dyDescent="0.2">
      <c r="A2" s="225" t="s">
        <v>151</v>
      </c>
      <c r="B2" s="225"/>
      <c r="C2" s="225"/>
      <c r="D2" s="225"/>
      <c r="E2" s="225"/>
      <c r="F2" s="225"/>
      <c r="G2" s="225"/>
      <c r="H2" s="225"/>
      <c r="I2" s="225"/>
    </row>
    <row r="3" spans="1:9" ht="23.25" customHeight="1" x14ac:dyDescent="0.25">
      <c r="A3" s="224" t="str">
        <f ca="1">+"Electric Usage - Meter #"&amp;Electric!C6</f>
        <v>Electric Usage - Meter #189669</v>
      </c>
      <c r="B3" s="224"/>
      <c r="C3" s="224"/>
      <c r="D3" s="224"/>
      <c r="E3" s="95"/>
      <c r="F3" s="224" t="e">
        <f ca="1">+"Water Usage - Meter #"&amp;Water!C6</f>
        <v>#N/A</v>
      </c>
      <c r="G3" s="224"/>
      <c r="H3" s="224"/>
      <c r="I3" s="224"/>
    </row>
    <row r="4" spans="1:9" ht="45" x14ac:dyDescent="0.25">
      <c r="A4" s="96" t="s">
        <v>145</v>
      </c>
      <c r="B4" s="96" t="s">
        <v>146</v>
      </c>
      <c r="C4" s="97" t="s">
        <v>147</v>
      </c>
      <c r="D4" s="97" t="s">
        <v>148</v>
      </c>
      <c r="E4" s="98"/>
      <c r="F4" s="96" t="s">
        <v>145</v>
      </c>
      <c r="G4" s="96" t="s">
        <v>146</v>
      </c>
      <c r="H4" s="97" t="s">
        <v>149</v>
      </c>
      <c r="I4" s="97" t="s">
        <v>150</v>
      </c>
    </row>
    <row r="5" spans="1:9" ht="18" customHeight="1" x14ac:dyDescent="0.2">
      <c r="A5" s="99">
        <f ca="1">+Electric!B13+1</f>
        <v>43955</v>
      </c>
      <c r="B5" s="99">
        <f ca="1">+Electric!B12</f>
        <v>43985</v>
      </c>
      <c r="C5" s="100">
        <f ca="1">+Electric!F12</f>
        <v>36400</v>
      </c>
      <c r="D5" s="101">
        <f ca="1">+Electric!M12</f>
        <v>5002.2299999999996</v>
      </c>
      <c r="E5" s="101"/>
      <c r="F5" s="99" t="e">
        <f ca="1">+Water!B13+1</f>
        <v>#N/A</v>
      </c>
      <c r="G5" s="99" t="e">
        <f ca="1">+Water!B12</f>
        <v>#N/A</v>
      </c>
      <c r="H5" s="100" t="e">
        <f ca="1">+Water!E12</f>
        <v>#N/A</v>
      </c>
      <c r="I5" s="101" t="e">
        <f ca="1">Water!G12+IF(Water!H12="",0,Water!H12)+IF(Water!I12="",0,Water!I12)</f>
        <v>#N/A</v>
      </c>
    </row>
    <row r="6" spans="1:9" ht="18" customHeight="1" x14ac:dyDescent="0.2">
      <c r="A6" s="99">
        <f ca="1">+Electric!B14+1</f>
        <v>43925</v>
      </c>
      <c r="B6" s="99">
        <f ca="1">+Electric!B13</f>
        <v>43954</v>
      </c>
      <c r="C6" s="100">
        <f ca="1">+Electric!F13</f>
        <v>31800</v>
      </c>
      <c r="D6" s="101">
        <f ca="1">+Electric!M13</f>
        <v>4225.7700000000004</v>
      </c>
      <c r="E6" s="101"/>
      <c r="F6" s="99" t="e">
        <f ca="1">+Water!B14+1</f>
        <v>#N/A</v>
      </c>
      <c r="G6" s="99" t="e">
        <f ca="1">+Water!B13</f>
        <v>#N/A</v>
      </c>
      <c r="H6" s="100" t="e">
        <f ca="1">+Water!E13</f>
        <v>#N/A</v>
      </c>
      <c r="I6" s="101" t="e">
        <f ca="1">Water!G13+IF(Water!H13="",0,Water!H13)+IF(Water!I13="",0,Water!I13)</f>
        <v>#N/A</v>
      </c>
    </row>
    <row r="7" spans="1:9" ht="18" customHeight="1" x14ac:dyDescent="0.2">
      <c r="A7" s="99">
        <f ca="1">+Electric!B15+1</f>
        <v>43894</v>
      </c>
      <c r="B7" s="99">
        <f ca="1">+Electric!B14</f>
        <v>43924</v>
      </c>
      <c r="C7" s="100">
        <f ca="1">+Electric!F14</f>
        <v>35600</v>
      </c>
      <c r="D7" s="101">
        <f ca="1">+Electric!M14</f>
        <v>4673.68</v>
      </c>
      <c r="E7" s="101"/>
      <c r="F7" s="99" t="e">
        <f ca="1">+Water!B15+1</f>
        <v>#N/A</v>
      </c>
      <c r="G7" s="99" t="e">
        <f ca="1">+Water!B14</f>
        <v>#N/A</v>
      </c>
      <c r="H7" s="100" t="e">
        <f ca="1">+Water!E14</f>
        <v>#N/A</v>
      </c>
      <c r="I7" s="101" t="e">
        <f ca="1">Water!G14+IF(Water!H14="",0,Water!H14)+IF(Water!I14="",0,Water!I14)</f>
        <v>#N/A</v>
      </c>
    </row>
    <row r="8" spans="1:9" ht="18" customHeight="1" x14ac:dyDescent="0.2">
      <c r="A8" s="99">
        <f ca="1">+Electric!B16+1</f>
        <v>43865</v>
      </c>
      <c r="B8" s="99">
        <f ca="1">+Electric!B15</f>
        <v>43893</v>
      </c>
      <c r="C8" s="100">
        <f ca="1">+Electric!F15</f>
        <v>37400</v>
      </c>
      <c r="D8" s="101">
        <f ca="1">+Electric!M15</f>
        <v>4674.03</v>
      </c>
      <c r="E8" s="101"/>
      <c r="F8" s="99" t="e">
        <f ca="1">+Water!B16+1</f>
        <v>#N/A</v>
      </c>
      <c r="G8" s="99" t="e">
        <f ca="1">+Water!B15</f>
        <v>#N/A</v>
      </c>
      <c r="H8" s="100" t="e">
        <f ca="1">+Water!E15</f>
        <v>#N/A</v>
      </c>
      <c r="I8" s="101" t="e">
        <f ca="1">Water!G15+IF(Water!H15="",0,Water!H15)+IF(Water!I15="",0,Water!I15)</f>
        <v>#N/A</v>
      </c>
    </row>
    <row r="9" spans="1:9" ht="18" customHeight="1" x14ac:dyDescent="0.2">
      <c r="A9" s="99">
        <f ca="1">+Electric!B17+1</f>
        <v>43834</v>
      </c>
      <c r="B9" s="99">
        <f ca="1">+Electric!B16</f>
        <v>43864</v>
      </c>
      <c r="C9" s="100">
        <f ca="1">+Electric!F16</f>
        <v>36800</v>
      </c>
      <c r="D9" s="101">
        <f ca="1">+Electric!M16</f>
        <v>4659.33</v>
      </c>
      <c r="E9" s="101"/>
      <c r="F9" s="99" t="e">
        <f ca="1">+Water!B17+1</f>
        <v>#N/A</v>
      </c>
      <c r="G9" s="99" t="e">
        <f ca="1">+Water!B16</f>
        <v>#N/A</v>
      </c>
      <c r="H9" s="100" t="e">
        <f ca="1">+Water!E16</f>
        <v>#N/A</v>
      </c>
      <c r="I9" s="101" t="e">
        <f ca="1">Water!G16+IF(Water!H16="",0,Water!H16)+IF(Water!I16="",0,Water!I16)</f>
        <v>#N/A</v>
      </c>
    </row>
    <row r="10" spans="1:9" ht="18" customHeight="1" x14ac:dyDescent="0.2">
      <c r="A10" s="99">
        <f ca="1">+Electric!B18+1</f>
        <v>43803</v>
      </c>
      <c r="B10" s="99">
        <f ca="1">+Electric!B17</f>
        <v>43833</v>
      </c>
      <c r="C10" s="100">
        <f ca="1">+Electric!F17</f>
        <v>36000</v>
      </c>
      <c r="D10" s="101">
        <f ca="1">+Electric!M17</f>
        <v>4671.78</v>
      </c>
      <c r="E10" s="101"/>
      <c r="F10" s="99" t="e">
        <f ca="1">+Water!B18+1</f>
        <v>#N/A</v>
      </c>
      <c r="G10" s="99" t="e">
        <f ca="1">+Water!B17</f>
        <v>#N/A</v>
      </c>
      <c r="H10" s="100" t="e">
        <f ca="1">+Water!E17</f>
        <v>#N/A</v>
      </c>
      <c r="I10" s="101" t="e">
        <f ca="1">Water!G17+IF(Water!H17="",0,Water!H17)+IF(Water!I17="",0,Water!I17)</f>
        <v>#N/A</v>
      </c>
    </row>
    <row r="11" spans="1:9" ht="18" customHeight="1" x14ac:dyDescent="0.2">
      <c r="A11" s="99">
        <f ca="1">+Electric!B19+1</f>
        <v>43773</v>
      </c>
      <c r="B11" s="99">
        <f ca="1">+Electric!B18</f>
        <v>43802</v>
      </c>
      <c r="C11" s="100">
        <f ca="1">+Electric!F18</f>
        <v>34400</v>
      </c>
      <c r="D11" s="101">
        <f ca="1">+Electric!M18</f>
        <v>4596.58</v>
      </c>
      <c r="E11" s="101"/>
      <c r="F11" s="99" t="e">
        <f ca="1">+Water!B19+1</f>
        <v>#N/A</v>
      </c>
      <c r="G11" s="99" t="e">
        <f ca="1">+Water!B18</f>
        <v>#N/A</v>
      </c>
      <c r="H11" s="100" t="e">
        <f ca="1">+Water!E18</f>
        <v>#N/A</v>
      </c>
      <c r="I11" s="101" t="e">
        <f ca="1">Water!G18+IF(Water!H18="",0,Water!H18)+IF(Water!I18="",0,Water!I18)</f>
        <v>#N/A</v>
      </c>
    </row>
    <row r="12" spans="1:9" ht="18" customHeight="1" x14ac:dyDescent="0.2">
      <c r="A12" s="99">
        <f ca="1">+Electric!B20+1</f>
        <v>43742</v>
      </c>
      <c r="B12" s="99">
        <f ca="1">+Electric!B19</f>
        <v>43772</v>
      </c>
      <c r="C12" s="100">
        <f ca="1">+Electric!F19</f>
        <v>37200</v>
      </c>
      <c r="D12" s="101">
        <f ca="1">+Electric!M19</f>
        <v>4970.59</v>
      </c>
      <c r="E12" s="101"/>
      <c r="F12" s="99" t="e">
        <f ca="1">+Water!B20+1</f>
        <v>#N/A</v>
      </c>
      <c r="G12" s="99" t="e">
        <f ca="1">+Water!B19</f>
        <v>#N/A</v>
      </c>
      <c r="H12" s="100" t="e">
        <f ca="1">+Water!E19</f>
        <v>#N/A</v>
      </c>
      <c r="I12" s="101" t="e">
        <f ca="1">Water!G19+IF(Water!H19="",0,Water!H19)+IF(Water!I19="",0,Water!I19)</f>
        <v>#N/A</v>
      </c>
    </row>
    <row r="13" spans="1:9" ht="18" customHeight="1" x14ac:dyDescent="0.2">
      <c r="A13" s="99">
        <f ca="1">+Electric!B21+1</f>
        <v>43712</v>
      </c>
      <c r="B13" s="99">
        <f ca="1">+Electric!B20</f>
        <v>43741</v>
      </c>
      <c r="C13" s="100">
        <f ca="1">+Electric!F20</f>
        <v>46000</v>
      </c>
      <c r="D13" s="101">
        <f ca="1">+Electric!M20</f>
        <v>6307.56</v>
      </c>
      <c r="E13" s="101"/>
      <c r="F13" s="99" t="e">
        <f ca="1">+Water!B21+1</f>
        <v>#N/A</v>
      </c>
      <c r="G13" s="99" t="e">
        <f ca="1">+Water!B20</f>
        <v>#N/A</v>
      </c>
      <c r="H13" s="100" t="e">
        <f ca="1">+Water!E20</f>
        <v>#N/A</v>
      </c>
      <c r="I13" s="101" t="e">
        <f ca="1">Water!G20+IF(Water!H20="",0,Water!H20)+IF(Water!I20="",0,Water!I20)</f>
        <v>#N/A</v>
      </c>
    </row>
    <row r="14" spans="1:9" ht="18" customHeight="1" x14ac:dyDescent="0.2">
      <c r="A14" s="99">
        <f ca="1">+Electric!B22+1</f>
        <v>43681</v>
      </c>
      <c r="B14" s="99">
        <f ca="1">+Electric!B21</f>
        <v>43711</v>
      </c>
      <c r="C14" s="100">
        <f ca="1">+Electric!F21</f>
        <v>45800</v>
      </c>
      <c r="D14" s="101">
        <f ca="1">+Electric!M21</f>
        <v>6690.85</v>
      </c>
      <c r="E14" s="101"/>
      <c r="F14" s="99" t="e">
        <f ca="1">+Water!B22+1</f>
        <v>#N/A</v>
      </c>
      <c r="G14" s="99" t="e">
        <f ca="1">+Water!B21</f>
        <v>#N/A</v>
      </c>
      <c r="H14" s="100" t="e">
        <f ca="1">+Water!E21</f>
        <v>#N/A</v>
      </c>
      <c r="I14" s="101" t="e">
        <f ca="1">Water!G21+IF(Water!H21="",0,Water!H21)+IF(Water!I21="",0,Water!I21)</f>
        <v>#N/A</v>
      </c>
    </row>
    <row r="15" spans="1:9" ht="18" customHeight="1" x14ac:dyDescent="0.2">
      <c r="A15" s="99">
        <f ca="1">+Electric!B23+1</f>
        <v>43650</v>
      </c>
      <c r="B15" s="99">
        <f ca="1">+Electric!B22</f>
        <v>43680</v>
      </c>
      <c r="C15" s="100">
        <f ca="1">+Electric!F22</f>
        <v>51400</v>
      </c>
      <c r="D15" s="101">
        <f ca="1">+Electric!M22</f>
        <v>7400.24</v>
      </c>
      <c r="E15" s="101"/>
      <c r="F15" s="99" t="e">
        <f ca="1">+Water!B23+1</f>
        <v>#N/A</v>
      </c>
      <c r="G15" s="99" t="e">
        <f ca="1">+Water!B22</f>
        <v>#N/A</v>
      </c>
      <c r="H15" s="100" t="e">
        <f ca="1">+Water!E22</f>
        <v>#N/A</v>
      </c>
      <c r="I15" s="101" t="e">
        <f ca="1">Water!G22+IF(Water!H22="",0,Water!H22)+IF(Water!I22="",0,Water!I22)</f>
        <v>#N/A</v>
      </c>
    </row>
    <row r="16" spans="1:9" ht="18" customHeight="1" x14ac:dyDescent="0.2">
      <c r="A16" s="99">
        <f ca="1">+Electric!B24+1</f>
        <v>43620</v>
      </c>
      <c r="B16" s="99">
        <f ca="1">+Electric!B23</f>
        <v>43649</v>
      </c>
      <c r="C16" s="100">
        <f ca="1">+Electric!F23</f>
        <v>46000</v>
      </c>
      <c r="D16" s="101">
        <f ca="1">+Electric!M23</f>
        <v>6911.88</v>
      </c>
      <c r="E16" s="101"/>
      <c r="F16" s="99" t="e">
        <f ca="1">+Water!B24+1</f>
        <v>#N/A</v>
      </c>
      <c r="G16" s="99" t="e">
        <f ca="1">+Water!B23</f>
        <v>#N/A</v>
      </c>
      <c r="H16" s="100" t="e">
        <f ca="1">+Water!E23</f>
        <v>#N/A</v>
      </c>
      <c r="I16" s="101" t="e">
        <f ca="1">Water!G23+IF(Water!H23="",0,Water!H23)+IF(Water!I23="",0,Water!I23)</f>
        <v>#N/A</v>
      </c>
    </row>
    <row r="17" spans="1:9" ht="18" customHeight="1" x14ac:dyDescent="0.2">
      <c r="A17" s="99">
        <f ca="1">+Electric!B25+1</f>
        <v>43589</v>
      </c>
      <c r="B17" s="99">
        <f ca="1">+Electric!B24</f>
        <v>43619</v>
      </c>
      <c r="C17" s="100">
        <f ca="1">+Electric!F24</f>
        <v>39800</v>
      </c>
      <c r="D17" s="101">
        <f ca="1">+Electric!M24</f>
        <v>6059.95</v>
      </c>
      <c r="E17" s="101"/>
      <c r="F17" s="99" t="e">
        <f ca="1">+Water!B25+1</f>
        <v>#N/A</v>
      </c>
      <c r="G17" s="99" t="e">
        <f ca="1">+Water!B24</f>
        <v>#N/A</v>
      </c>
      <c r="H17" s="100" t="e">
        <f ca="1">+Water!E24</f>
        <v>#N/A</v>
      </c>
      <c r="I17" s="101" t="e">
        <f ca="1">Water!G24+IF(Water!H24="",0,Water!H24)+IF(Water!I24="",0,Water!I24)</f>
        <v>#N/A</v>
      </c>
    </row>
    <row r="18" spans="1:9" ht="18" customHeight="1" x14ac:dyDescent="0.2">
      <c r="A18" s="99">
        <f ca="1">+Electric!B26+1</f>
        <v>43559</v>
      </c>
      <c r="B18" s="99">
        <f ca="1">+Electric!B25</f>
        <v>43588</v>
      </c>
      <c r="C18" s="100">
        <f ca="1">+Electric!F25</f>
        <v>37400</v>
      </c>
      <c r="D18" s="101">
        <f ca="1">+Electric!M25</f>
        <v>5176.3999999999996</v>
      </c>
      <c r="E18" s="101"/>
      <c r="F18" s="99" t="e">
        <f ca="1">+Water!B26+1</f>
        <v>#N/A</v>
      </c>
      <c r="G18" s="99" t="e">
        <f ca="1">+Water!B25</f>
        <v>#N/A</v>
      </c>
      <c r="H18" s="100" t="e">
        <f ca="1">+Water!E25</f>
        <v>#N/A</v>
      </c>
      <c r="I18" s="101" t="e">
        <f ca="1">Water!G25+IF(Water!H25="",0,Water!H25)+IF(Water!I25="",0,Water!I25)</f>
        <v>#N/A</v>
      </c>
    </row>
    <row r="19" spans="1:9" ht="18" customHeight="1" x14ac:dyDescent="0.2">
      <c r="A19" s="99">
        <f ca="1">+Electric!B27+1</f>
        <v>43528</v>
      </c>
      <c r="B19" s="99">
        <f ca="1">+Electric!B26</f>
        <v>43558</v>
      </c>
      <c r="C19" s="100">
        <f ca="1">+Electric!F26</f>
        <v>37800</v>
      </c>
      <c r="D19" s="101">
        <f ca="1">+Electric!M26</f>
        <v>5186.21</v>
      </c>
      <c r="E19" s="101"/>
      <c r="F19" s="99" t="e">
        <f ca="1">+Water!B27+1</f>
        <v>#N/A</v>
      </c>
      <c r="G19" s="99" t="e">
        <f ca="1">+Water!B26</f>
        <v>#N/A</v>
      </c>
      <c r="H19" s="100" t="e">
        <f ca="1">+Water!E26</f>
        <v>#N/A</v>
      </c>
      <c r="I19" s="101" t="e">
        <f ca="1">Water!G26+IF(Water!H26="",0,Water!H26)+IF(Water!I26="",0,Water!I26)</f>
        <v>#N/A</v>
      </c>
    </row>
    <row r="20" spans="1:9" ht="18" customHeight="1" x14ac:dyDescent="0.2">
      <c r="A20" s="99">
        <f ca="1">+Electric!B28+1</f>
        <v>43500</v>
      </c>
      <c r="B20" s="99">
        <f ca="1">+Electric!B27</f>
        <v>43527</v>
      </c>
      <c r="C20" s="100">
        <f ca="1">+Electric!F27</f>
        <v>34400</v>
      </c>
      <c r="D20" s="101">
        <f ca="1">+Electric!M27</f>
        <v>4495.79</v>
      </c>
      <c r="E20" s="101"/>
      <c r="F20" s="99" t="e">
        <f ca="1">+Water!B28+1</f>
        <v>#N/A</v>
      </c>
      <c r="G20" s="99" t="e">
        <f ca="1">+Water!B27</f>
        <v>#N/A</v>
      </c>
      <c r="H20" s="100" t="e">
        <f ca="1">+Water!E27</f>
        <v>#N/A</v>
      </c>
      <c r="I20" s="101" t="e">
        <f ca="1">Water!G27+IF(Water!H27="",0,Water!H27)+IF(Water!I27="",0,Water!I27)</f>
        <v>#N/A</v>
      </c>
    </row>
    <row r="21" spans="1:9" ht="18" customHeight="1" x14ac:dyDescent="0.2">
      <c r="A21" s="99">
        <f ca="1">+Electric!B29+1</f>
        <v>43469</v>
      </c>
      <c r="B21" s="99">
        <f ca="1">+Electric!B28</f>
        <v>43499</v>
      </c>
      <c r="C21" s="100">
        <f ca="1">+Electric!F28</f>
        <v>39000</v>
      </c>
      <c r="D21" s="101">
        <f ca="1">+Electric!M28</f>
        <v>5014.18</v>
      </c>
      <c r="E21" s="101"/>
      <c r="F21" s="99" t="e">
        <f ca="1">+Water!B29+1</f>
        <v>#N/A</v>
      </c>
      <c r="G21" s="99" t="e">
        <f ca="1">+Water!B28</f>
        <v>#N/A</v>
      </c>
      <c r="H21" s="100" t="e">
        <f ca="1">+Water!E28</f>
        <v>#N/A</v>
      </c>
      <c r="I21" s="101" t="e">
        <f ca="1">Water!G28+IF(Water!H28="",0,Water!H28)+IF(Water!I28="",0,Water!I28)</f>
        <v>#N/A</v>
      </c>
    </row>
    <row r="22" spans="1:9" ht="18" customHeight="1" x14ac:dyDescent="0.2">
      <c r="A22" s="99">
        <f ca="1">+Electric!B30+1</f>
        <v>43438</v>
      </c>
      <c r="B22" s="99">
        <f ca="1">+Electric!B29</f>
        <v>43468</v>
      </c>
      <c r="C22" s="100">
        <f ca="1">+Electric!F29</f>
        <v>35600</v>
      </c>
      <c r="D22" s="101">
        <f ca="1">+Electric!M29</f>
        <v>4771.79</v>
      </c>
      <c r="E22" s="101"/>
      <c r="F22" s="99" t="e">
        <f ca="1">+Water!B30+1</f>
        <v>#N/A</v>
      </c>
      <c r="G22" s="99" t="e">
        <f ca="1">+Water!B29</f>
        <v>#N/A</v>
      </c>
      <c r="H22" s="100" t="e">
        <f ca="1">+Water!E29</f>
        <v>#N/A</v>
      </c>
      <c r="I22" s="101" t="e">
        <f ca="1">Water!G29+IF(Water!H29="",0,Water!H29)+IF(Water!I29="",0,Water!I29)</f>
        <v>#N/A</v>
      </c>
    </row>
    <row r="23" spans="1:9" ht="18" customHeight="1" x14ac:dyDescent="0.2">
      <c r="A23" s="99">
        <f ca="1">+Electric!B31+1</f>
        <v>43408</v>
      </c>
      <c r="B23" s="99">
        <f ca="1">+Electric!B30</f>
        <v>43437</v>
      </c>
      <c r="C23" s="100">
        <f ca="1">+Electric!F30</f>
        <v>34600</v>
      </c>
      <c r="D23" s="101">
        <f ca="1">+Electric!M30</f>
        <v>4983.66</v>
      </c>
      <c r="E23" s="101"/>
      <c r="F23" s="99" t="e">
        <f ca="1">+Water!B31+1</f>
        <v>#N/A</v>
      </c>
      <c r="G23" s="99" t="e">
        <f ca="1">+Water!B30</f>
        <v>#N/A</v>
      </c>
      <c r="H23" s="100" t="e">
        <f ca="1">+Water!E30</f>
        <v>#N/A</v>
      </c>
      <c r="I23" s="101" t="e">
        <f ca="1">Water!G30+IF(Water!H30="",0,Water!H30)+IF(Water!I30="",0,Water!I30)</f>
        <v>#N/A</v>
      </c>
    </row>
    <row r="24" spans="1:9" ht="18" customHeight="1" x14ac:dyDescent="0.2">
      <c r="A24" s="99">
        <f ca="1">+Electric!B32+1</f>
        <v>43377</v>
      </c>
      <c r="B24" s="99">
        <f ca="1">+Electric!B31</f>
        <v>43407</v>
      </c>
      <c r="C24" s="100">
        <f ca="1">+Electric!F31</f>
        <v>39000</v>
      </c>
      <c r="D24" s="101">
        <f ca="1">+Electric!M31</f>
        <v>5426.94</v>
      </c>
      <c r="E24" s="101"/>
      <c r="F24" s="99" t="e">
        <f ca="1">+Water!B32+1</f>
        <v>#N/A</v>
      </c>
      <c r="G24" s="99" t="e">
        <f ca="1">+Water!B31</f>
        <v>#N/A</v>
      </c>
      <c r="H24" s="100" t="e">
        <f ca="1">+Water!E31</f>
        <v>#N/A</v>
      </c>
      <c r="I24" s="101" t="e">
        <f ca="1">Water!G31+IF(Water!H31="",0,Water!H31)+IF(Water!I31="",0,Water!I31)</f>
        <v>#N/A</v>
      </c>
    </row>
    <row r="25" spans="1:9" ht="18" customHeight="1" x14ac:dyDescent="0.2">
      <c r="A25" s="99">
        <f ca="1">+Electric!B33+1</f>
        <v>43347</v>
      </c>
      <c r="B25" s="99">
        <f ca="1">+Electric!B32</f>
        <v>43376</v>
      </c>
      <c r="C25" s="100">
        <f ca="1">+Electric!F32</f>
        <v>44200</v>
      </c>
      <c r="D25" s="101">
        <f ca="1">+Electric!M32</f>
        <v>5804.61</v>
      </c>
      <c r="E25" s="101"/>
      <c r="F25" s="99" t="e">
        <f ca="1">+Water!B33+1</f>
        <v>#N/A</v>
      </c>
      <c r="G25" s="99" t="e">
        <f ca="1">+Water!B32</f>
        <v>#N/A</v>
      </c>
      <c r="H25" s="100" t="e">
        <f ca="1">+Water!E32</f>
        <v>#N/A</v>
      </c>
      <c r="I25" s="101" t="e">
        <f ca="1">Water!G32+IF(Water!H32="",0,Water!H32)+IF(Water!I32="",0,Water!I32)</f>
        <v>#N/A</v>
      </c>
    </row>
    <row r="26" spans="1:9" ht="18" customHeight="1" x14ac:dyDescent="0.2">
      <c r="A26" s="99">
        <f ca="1">+Electric!B34+1</f>
        <v>43316</v>
      </c>
      <c r="B26" s="99">
        <f ca="1">+Electric!B33</f>
        <v>43346</v>
      </c>
      <c r="C26" s="100">
        <f ca="1">+Electric!F33</f>
        <v>47000</v>
      </c>
      <c r="D26" s="101">
        <f ca="1">+Electric!M33</f>
        <v>6729.15</v>
      </c>
      <c r="E26" s="101"/>
      <c r="F26" s="99" t="e">
        <f ca="1">+Water!B34+1</f>
        <v>#N/A</v>
      </c>
      <c r="G26" s="99" t="e">
        <f ca="1">+Water!B33</f>
        <v>#N/A</v>
      </c>
      <c r="H26" s="100" t="e">
        <f ca="1">+Water!E33</f>
        <v>#N/A</v>
      </c>
      <c r="I26" s="101" t="e">
        <f ca="1">Water!G33+IF(Water!H33="",0,Water!H33)+IF(Water!I33="",0,Water!I33)</f>
        <v>#N/A</v>
      </c>
    </row>
    <row r="27" spans="1:9" ht="18" customHeight="1" x14ac:dyDescent="0.2">
      <c r="A27" s="99">
        <f ca="1">+Electric!B35+1</f>
        <v>43285</v>
      </c>
      <c r="B27" s="99">
        <f ca="1">+Electric!B34</f>
        <v>43315</v>
      </c>
      <c r="C27" s="100">
        <f ca="1">+Electric!F34</f>
        <v>48600</v>
      </c>
      <c r="D27" s="101">
        <f ca="1">+Electric!M34</f>
        <v>7170.3</v>
      </c>
      <c r="E27" s="101"/>
      <c r="F27" s="99" t="e">
        <f ca="1">+Water!B35+1</f>
        <v>#N/A</v>
      </c>
      <c r="G27" s="99" t="e">
        <f ca="1">+Water!B34</f>
        <v>#N/A</v>
      </c>
      <c r="H27" s="100" t="e">
        <f ca="1">+Water!E34</f>
        <v>#N/A</v>
      </c>
      <c r="I27" s="101" t="e">
        <f ca="1">Water!G34+IF(Water!H34="",0,Water!H34)+IF(Water!I34="",0,Water!I34)</f>
        <v>#N/A</v>
      </c>
    </row>
    <row r="28" spans="1:9" ht="18" customHeight="1" x14ac:dyDescent="0.2">
      <c r="A28" s="99">
        <f ca="1">+Electric!B36+1</f>
        <v>43255</v>
      </c>
      <c r="B28" s="99">
        <f ca="1">+Electric!B35</f>
        <v>43284</v>
      </c>
      <c r="C28" s="100">
        <f ca="1">+Electric!F35</f>
        <v>47000</v>
      </c>
      <c r="D28" s="101">
        <f ca="1">+Electric!M35</f>
        <v>7307.14</v>
      </c>
      <c r="E28" s="101"/>
      <c r="F28" s="99" t="e">
        <f ca="1">+Water!B36+1</f>
        <v>#N/A</v>
      </c>
      <c r="G28" s="99" t="e">
        <f ca="1">+Water!B35</f>
        <v>#N/A</v>
      </c>
      <c r="H28" s="100" t="e">
        <f ca="1">+Water!E35</f>
        <v>#N/A</v>
      </c>
      <c r="I28" s="101" t="e">
        <f ca="1">Water!G35+IF(Water!H35="",0,Water!H35)+IF(Water!I35="",0,Water!I35)</f>
        <v>#N/A</v>
      </c>
    </row>
    <row r="29" spans="1:9" x14ac:dyDescent="0.2">
      <c r="A29" s="99"/>
      <c r="C29" s="100"/>
      <c r="D29" s="101"/>
      <c r="E29" s="101"/>
      <c r="F29" s="99"/>
      <c r="G29" s="99"/>
      <c r="H29" s="100"/>
      <c r="I29" s="101"/>
    </row>
  </sheetData>
  <mergeCells count="4">
    <mergeCell ref="A3:D3"/>
    <mergeCell ref="F3:I3"/>
    <mergeCell ref="A2:I2"/>
    <mergeCell ref="E1:H1"/>
  </mergeCells>
  <conditionalFormatting sqref="C1">
    <cfRule type="expression" dxfId="0" priority="1">
      <formula>$C$1&gt;1000</formula>
    </cfRule>
  </conditionalFormatting>
  <pageMargins left="0.5" right="0.5" top="0.75" bottom="0.75" header="0.3" footer="0.3"/>
  <pageSetup scale="95" orientation="landscape" r:id="rId1"/>
  <headerFooter>
    <oddFooter>&amp;L&amp;8&amp;F&amp;R&amp;8printed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Reading History</vt:lpstr>
      <vt:lpstr>Residential</vt:lpstr>
      <vt:lpstr>Electric</vt:lpstr>
      <vt:lpstr>Water</vt:lpstr>
      <vt:lpstr>Charts</vt:lpstr>
      <vt:lpstr>Rates</vt:lpstr>
      <vt:lpstr>FAF &amp; DDs</vt:lpstr>
      <vt:lpstr>PM</vt:lpstr>
      <vt:lpstr>_WaterRateTables</vt:lpstr>
      <vt:lpstr>AMRReadDates</vt:lpstr>
      <vt:lpstr>BillWeather</vt:lpstr>
      <vt:lpstr>Commercial</vt:lpstr>
      <vt:lpstr>MonthWeather</vt:lpstr>
      <vt:lpstr>Electric!Print_Area</vt:lpstr>
      <vt:lpstr>PM!Print_Area</vt:lpstr>
      <vt:lpstr>Rates!Print_Area</vt:lpstr>
      <vt:lpstr>Residential!Print_Area</vt:lpstr>
      <vt:lpstr>Water!Print_Area</vt:lpstr>
      <vt:lpstr>Electric!Print_Titles</vt:lpstr>
      <vt:lpstr>Residential!Print_Titles</vt:lpstr>
      <vt:lpstr>Water!Print_Titles</vt:lpstr>
      <vt:lpstr>Residential</vt:lpstr>
      <vt:lpstr>ServiceType</vt:lpstr>
      <vt:lpstr>Sewer</vt:lpstr>
      <vt:lpstr>Water</vt:lpstr>
      <vt:lpstr>WattsvsWeather</vt:lpstr>
    </vt:vector>
  </TitlesOfParts>
  <Company>City of Springfield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SHanauer</dc:creator>
  <cp:lastModifiedBy>Mathew Coalson</cp:lastModifiedBy>
  <cp:lastPrinted>2019-09-25T13:26:19Z</cp:lastPrinted>
  <dcterms:created xsi:type="dcterms:W3CDTF">2003-06-03T18:10:24Z</dcterms:created>
  <dcterms:modified xsi:type="dcterms:W3CDTF">2020-09-30T16:44:46Z</dcterms:modified>
</cp:coreProperties>
</file>