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Overview" sheetId="2" r:id="rId5"/>
    <sheet state="hidden" name="Flight Breakdowns" sheetId="3" r:id="rId6"/>
    <sheet state="visible" name="Team Contact Info" sheetId="4" r:id="rId7"/>
    <sheet state="hidden" name="Master Sheet" sheetId="5" r:id="rId8"/>
    <sheet state="visible" name="Roster" sheetId="6" r:id="rId9"/>
    <sheet state="visible" name="Best Lifts" sheetId="7" r:id="rId10"/>
    <sheet state="visible" name="Rankings-Women" sheetId="8" r:id="rId11"/>
    <sheet state="hidden" name="Team Scoring-Women" sheetId="9" r:id="rId12"/>
    <sheet state="visible" name="Rankings-Men" sheetId="10" r:id="rId13"/>
    <sheet state="hidden" name="Team Scoring-Men" sheetId="11" r:id="rId14"/>
    <sheet state="hidden" name="Womens Meet Plans" sheetId="12" r:id="rId15"/>
    <sheet state="hidden" name="Womens Warmups" sheetId="13" r:id="rId16"/>
    <sheet state="hidden" name="Mens Meet Plans" sheetId="14" r:id="rId17"/>
    <sheet state="hidden" name="Mens Warmups" sheetId="15" r:id="rId18"/>
    <sheet state="hidden" name="Results" sheetId="16" r:id="rId19"/>
  </sheets>
  <definedNames>
    <definedName name="ullwact">'Team Scoring-Women'!$BG$2</definedName>
    <definedName name="longhornwpot">'Team Scoring-Women'!$BZ$2</definedName>
    <definedName name="Ottawaact">'Team Scoring-Men'!$EQ$2</definedName>
    <definedName name="usnavwact">'Team Scoring-Women'!$DU$2</definedName>
    <definedName name="shsuwpot">'Team Scoring-Women'!$CK$2</definedName>
    <definedName name="USnavwpot">'Team Scoring-Women'!$DR$2</definedName>
    <definedName localSheetId="10" name="ullwpot">'Team Scoring-Men'!$BH$2</definedName>
    <definedName localSheetId="10" name="usnavwact">'Team Scoring-Men'!$EE$2</definedName>
    <definedName localSheetId="10" name="utsawpot">'Team Scoring-Men'!$DD$2</definedName>
    <definedName name="nuwpot">'Team Scoring-Women'!$L$2</definedName>
    <definedName localSheetId="10" name="LtechwPot">'Team Scoring-Men'!$X$2</definedName>
    <definedName name="nuwact">'Team Scoring-Women'!$O$2</definedName>
    <definedName localSheetId="10" name="amwact">'Team Scoring-Men'!$BW$2</definedName>
    <definedName name="LTechwact">'Team Scoring-Women'!$Z$2</definedName>
    <definedName name="amwpot">'Team Scoring-Women'!$BO$2</definedName>
    <definedName name="bluemtwpot">'Team Scoring-Women'!$AS$2</definedName>
    <definedName localSheetId="10" name="utsawact">'Team Scoring-Men'!$DG$2</definedName>
    <definedName name="utsawact">'Team Scoring-Women'!$CY$2</definedName>
    <definedName name="midlandwactual">'Team Scoring-Women'!$AK$2</definedName>
    <definedName localSheetId="10" name="LSUwpot">'Team Scoring-Men'!$DP$2</definedName>
    <definedName name="midlandpotbests">'Team Scoring-Women'!$AI$2</definedName>
    <definedName localSheetId="10" name="shsuwact">'Team Scoring-Men'!$CU$2</definedName>
    <definedName name="shsuwact">'Team Scoring-Women'!$CN$2</definedName>
    <definedName name="midlandwpot">'Team Scoring-Women'!$AH$2</definedName>
    <definedName localSheetId="10" name="LSUwact">'Team Scoring-Men'!$DS$2</definedName>
    <definedName name="longhornwact">'Team Scoring-Women'!$CC$2</definedName>
    <definedName name="ltechwpotbest">'Team Scoring-Women'!$P$1:$Z$1</definedName>
    <definedName name="LSUwact">'Team Scoring-Women'!$DJ$2</definedName>
    <definedName name="LSUwpot">'Team Scoring-Women'!$DG$2</definedName>
    <definedName localSheetId="10" name="longhornwact">'Team Scoring-Men'!$CI$2</definedName>
    <definedName name="utsawpot">'Team Scoring-Women'!$CV$2</definedName>
    <definedName localSheetId="10" name="bluemtwact">'Team Scoring-Men'!$AY$2</definedName>
    <definedName localSheetId="10" name="shsuwpot">'Team Scoring-Men'!$CR$2</definedName>
    <definedName localSheetId="10" name="ullwact">'Team Scoring-Men'!$BK$2</definedName>
    <definedName localSheetId="10" name="bluemtwpot">'Team Scoring-Men'!$AV$2</definedName>
    <definedName name="bluemtwact">'Team Scoring-Women'!$AV$2</definedName>
    <definedName localSheetId="10" name="midlandwactual">'Team Scoring-Men'!$AM$2</definedName>
    <definedName name="amwact">'Team Scoring-Women'!$BR$2</definedName>
    <definedName name="northeasternpotbest">'Team Scoring-Women'!$M$2</definedName>
    <definedName localSheetId="10" name="LTechwact">'Team Scoring-Men'!$AA$2</definedName>
    <definedName name="Ottawapot">'Team Scoring-Men'!$EN$2</definedName>
    <definedName name="ullwpot">'Team Scoring-Women'!$BD$2</definedName>
    <definedName localSheetId="10" name="USnavwpot">'Team Scoring-Men'!$EB$2</definedName>
    <definedName localSheetId="10" name="nuwact">'Team Scoring-Men'!$O$2</definedName>
    <definedName name="LtechwPot">'Team Scoring-Women'!$W$2</definedName>
    <definedName localSheetId="10" name="longhornwpot">'Team Scoring-Men'!$CF$2</definedName>
    <definedName localSheetId="10" name="amwpot">'Team Scoring-Men'!$BT$2</definedName>
    <definedName localSheetId="10" name="nuwpot">'Team Scoring-Men'!$L$2</definedName>
    <definedName localSheetId="10" name="midlandwpot">'Team Scoring-Men'!$AJ$2</definedName>
    <definedName hidden="1" localSheetId="1" name="_xlnm._FilterDatabase">Overview!$A$1:$J$52</definedName>
    <definedName hidden="1" localSheetId="5" name="_xlnm._FilterDatabase">Roster!$A$1:$P$300</definedName>
    <definedName hidden="1" localSheetId="8" name="_xlnm._FilterDatabase">'Team Scoring-Women'!$A$4:$D$15</definedName>
    <definedName hidden="1" localSheetId="9" name="_xlnm._FilterDatabase">'Rankings-Men'!$D$2:$X$175</definedName>
    <definedName hidden="1" localSheetId="10" name="_xlnm._FilterDatabase">'Team Scoring-Men'!$A$4:$C$16</definedName>
    <definedName hidden="1" localSheetId="15" name="_xlnm._FilterDatabase">Results!$A$1:$R$37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10">
      <text>
        <t xml:space="preserve">107?</t>
      </text>
    </comment>
    <comment authorId="0" ref="S18">
      <text>
        <t xml:space="preserve">100?
</t>
      </text>
    </comment>
    <comment authorId="0" ref="M23">
      <text>
        <t xml:space="preserve">126 is record; 137.5</t>
      </text>
    </comment>
    <comment authorId="0" ref="V26">
      <text>
        <t xml:space="preserve">150</t>
      </text>
    </comment>
    <comment authorId="0" ref="H31">
      <text>
        <t xml:space="preserve">193 is record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0">
      <text>
        <t xml:space="preserve">raw</t>
      </text>
    </comment>
    <comment authorId="0" ref="S19">
      <text>
        <t xml:space="preserve">raw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9">
      <text>
        <t xml:space="preserve">raw</t>
      </text>
    </comment>
    <comment authorId="0" ref="S17">
      <text>
        <t xml:space="preserve">raw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depth</t>
      </text>
    </comment>
    <comment authorId="0" ref="B19">
      <text>
        <t xml:space="preserve">fell over</t>
      </text>
    </comment>
    <comment authorId="0" ref="B21">
      <text>
        <t xml:space="preserve">depth</t>
      </text>
    </comment>
    <comment authorId="0" ref="B32">
      <text>
        <t xml:space="preserve">fell over</t>
      </text>
    </comment>
    <comment authorId="0" ref="B34">
      <text>
        <t xml:space="preserve">depth</t>
      </text>
    </comment>
  </commentList>
</comments>
</file>

<file path=xl/sharedStrings.xml><?xml version="1.0" encoding="utf-8"?>
<sst xmlns="http://schemas.openxmlformats.org/spreadsheetml/2006/main" count="5616" uniqueCount="1030">
  <si>
    <t>Registration</t>
  </si>
  <si>
    <t>Early Equipment Check</t>
  </si>
  <si>
    <t>Collegiate Body Meeting</t>
  </si>
  <si>
    <t>Session 1</t>
  </si>
  <si>
    <t>Equipment Check</t>
  </si>
  <si>
    <t>Weigh In</t>
  </si>
  <si>
    <t>Start</t>
  </si>
  <si>
    <t>Women, Raw, 44kg - 56kg</t>
  </si>
  <si>
    <t>Women, Equipped, 44kg - 48kg</t>
  </si>
  <si>
    <t>Session 2</t>
  </si>
  <si>
    <t>Men, Raw and Equipped, 52kg - 67.5kg</t>
  </si>
  <si>
    <t>Women, Equipped, 52kg - 60kg</t>
  </si>
  <si>
    <t>Women, Raw, 60kg</t>
  </si>
  <si>
    <t>Women, Equipped, 67.5kg - 75kg</t>
  </si>
  <si>
    <t>Men, Raw, 75kg</t>
  </si>
  <si>
    <t>Session 3</t>
  </si>
  <si>
    <t>Men, Equipped, 75kg</t>
  </si>
  <si>
    <t>Men, Raw, 82.5kg</t>
  </si>
  <si>
    <t>Women, Raw, 67.5kg</t>
  </si>
  <si>
    <t>Men, Equipped, 82.5kg</t>
  </si>
  <si>
    <t>Women, Raw, 75kg</t>
  </si>
  <si>
    <t>Men, Raw, 90kg</t>
  </si>
  <si>
    <t>Men, Equipped, 90kg - 100kg</t>
  </si>
  <si>
    <t>Men, Raw, 100kg</t>
  </si>
  <si>
    <t>Women, Raw and Equipped, 82.5kg - 100+kg</t>
  </si>
  <si>
    <t>Men, Raw and Equipped, 110kg - 140+kg</t>
  </si>
  <si>
    <t>First</t>
  </si>
  <si>
    <t>Last</t>
  </si>
  <si>
    <t>T</t>
  </si>
  <si>
    <t>Wt Class</t>
  </si>
  <si>
    <t>Qualified?</t>
  </si>
  <si>
    <t>Day</t>
  </si>
  <si>
    <t>Session</t>
  </si>
  <si>
    <t>Flight</t>
  </si>
  <si>
    <t>Platform</t>
  </si>
  <si>
    <t>Handler</t>
  </si>
  <si>
    <t>QT</t>
  </si>
  <si>
    <t>Scoring?</t>
  </si>
  <si>
    <t>Current</t>
  </si>
  <si>
    <t>Max</t>
  </si>
  <si>
    <t>Raven</t>
  </si>
  <si>
    <t>Mathews</t>
  </si>
  <si>
    <t>W</t>
  </si>
  <si>
    <t>Y</t>
  </si>
  <si>
    <t>X</t>
  </si>
  <si>
    <t>Women's Scoring</t>
  </si>
  <si>
    <t>Mihiro</t>
  </si>
  <si>
    <t>Shimano</t>
  </si>
  <si>
    <t>Men's Scoring</t>
  </si>
  <si>
    <t>Alexis</t>
  </si>
  <si>
    <t>Canzanese</t>
  </si>
  <si>
    <t>N</t>
  </si>
  <si>
    <t>Megan</t>
  </si>
  <si>
    <t>Schroeder</t>
  </si>
  <si>
    <t># of NUPLers</t>
  </si>
  <si>
    <t>Women's</t>
  </si>
  <si>
    <t>Men's</t>
  </si>
  <si>
    <t>Isabelle</t>
  </si>
  <si>
    <t>Hou</t>
  </si>
  <si>
    <t>1-Thur</t>
  </si>
  <si>
    <t>Amanda</t>
  </si>
  <si>
    <t>O'Brien</t>
  </si>
  <si>
    <t>Allison</t>
  </si>
  <si>
    <t>Shupp</t>
  </si>
  <si>
    <t>2 - Fri</t>
  </si>
  <si>
    <t>Jennie</t>
  </si>
  <si>
    <t>Wang</t>
  </si>
  <si>
    <t>Jaya</t>
  </si>
  <si>
    <t>Mandala</t>
  </si>
  <si>
    <t>Madison</t>
  </si>
  <si>
    <t>Anton</t>
  </si>
  <si>
    <t>3 - Sat</t>
  </si>
  <si>
    <t>Julie</t>
  </si>
  <si>
    <t>Buchbinder</t>
  </si>
  <si>
    <t>Miriam</t>
  </si>
  <si>
    <t>Bloom</t>
  </si>
  <si>
    <t>Mel</t>
  </si>
  <si>
    <t>Ea</t>
  </si>
  <si>
    <t>4 - Sun</t>
  </si>
  <si>
    <t>Janani</t>
  </si>
  <si>
    <t>Ilangovan</t>
  </si>
  <si>
    <t>Jaime</t>
  </si>
  <si>
    <t>Hall</t>
  </si>
  <si>
    <t>Total</t>
  </si>
  <si>
    <t>O'Neil</t>
  </si>
  <si>
    <t>Angelly</t>
  </si>
  <si>
    <t>Pallazhco</t>
  </si>
  <si>
    <t>Isabella</t>
  </si>
  <si>
    <t>Stone</t>
  </si>
  <si>
    <t>Tansey</t>
  </si>
  <si>
    <t>Vordonis</t>
  </si>
  <si>
    <t>Celia</t>
  </si>
  <si>
    <t>White</t>
  </si>
  <si>
    <t>Caroline</t>
  </si>
  <si>
    <t>Lommer</t>
  </si>
  <si>
    <t>Elizabeth</t>
  </si>
  <si>
    <t>Yarde</t>
  </si>
  <si>
    <t>Lauren</t>
  </si>
  <si>
    <t>Flynn</t>
  </si>
  <si>
    <t>Joy</t>
  </si>
  <si>
    <t>Li</t>
  </si>
  <si>
    <t>Anna</t>
  </si>
  <si>
    <t>Mueller</t>
  </si>
  <si>
    <t>Darya</t>
  </si>
  <si>
    <t>Bernard</t>
  </si>
  <si>
    <t>Kaitlyn</t>
  </si>
  <si>
    <t>Gagnon</t>
  </si>
  <si>
    <t>Piatkowski</t>
  </si>
  <si>
    <t>Thomas</t>
  </si>
  <si>
    <t>Zuccarello</t>
  </si>
  <si>
    <t>M</t>
  </si>
  <si>
    <t>Zachary</t>
  </si>
  <si>
    <t>Fowler</t>
  </si>
  <si>
    <t>Brendan</t>
  </si>
  <si>
    <t>Witts</t>
  </si>
  <si>
    <t>John</t>
  </si>
  <si>
    <t>Licata</t>
  </si>
  <si>
    <t>Samuel</t>
  </si>
  <si>
    <t>Cohen</t>
  </si>
  <si>
    <t>Jason</t>
  </si>
  <si>
    <t>Stimeling</t>
  </si>
  <si>
    <t>Charlie</t>
  </si>
  <si>
    <t>Pepin-Woods</t>
  </si>
  <si>
    <t>Helpers</t>
  </si>
  <si>
    <t>A</t>
  </si>
  <si>
    <t>E-52-F &amp; E-52-M</t>
  </si>
  <si>
    <t>R-52-F</t>
  </si>
  <si>
    <t>E-M-60 &amp;  R-52-F</t>
  </si>
  <si>
    <t>R-F-44 &amp; E-F-44 &amp; R-56-M</t>
  </si>
  <si>
    <t>Raven &amp; Mish</t>
  </si>
  <si>
    <t>Kayla</t>
  </si>
  <si>
    <t>B</t>
  </si>
  <si>
    <t>R-48-F</t>
  </si>
  <si>
    <t>R-60-M</t>
  </si>
  <si>
    <t>E-F-48 &amp; R-F-48 &amp; E-56-M &amp; R-60-M</t>
  </si>
  <si>
    <t>C</t>
  </si>
  <si>
    <t>R-67.5-M</t>
  </si>
  <si>
    <t>D</t>
  </si>
  <si>
    <t>R-56-F</t>
  </si>
  <si>
    <t>E-56-F &amp; E-67.5-M  (2)</t>
  </si>
  <si>
    <t>E-67.5-M</t>
  </si>
  <si>
    <t>Nick</t>
  </si>
  <si>
    <t>E</t>
  </si>
  <si>
    <t>E-60-F (bottom 9)</t>
  </si>
  <si>
    <t>R-60-F</t>
  </si>
  <si>
    <t>R-75-M</t>
  </si>
  <si>
    <t>Amanda &amp; Emily</t>
  </si>
  <si>
    <t>F</t>
  </si>
  <si>
    <t>E-60-F (top 9)</t>
  </si>
  <si>
    <t>Meg, Isabelle &amp; Allison</t>
  </si>
  <si>
    <t>G</t>
  </si>
  <si>
    <t>E-75-M</t>
  </si>
  <si>
    <t>R-F-67.5</t>
  </si>
  <si>
    <t>E-F-67.5 (top 13)</t>
  </si>
  <si>
    <t>E-F-67.5 (bottom 13)</t>
  </si>
  <si>
    <t>E-M-82.5 (top 12)</t>
  </si>
  <si>
    <t>E-M-82.5 (bottom 12)</t>
  </si>
  <si>
    <t>Megan, Caroline, Daniela &amp; Melissa</t>
  </si>
  <si>
    <t>Asees &amp; Rohin</t>
  </si>
  <si>
    <t>E-F-75 (bottom 9)</t>
  </si>
  <si>
    <t>E-F-75 (top 9)</t>
  </si>
  <si>
    <t>R-F-75</t>
  </si>
  <si>
    <t>Celia, Bella, 
Maddie &amp; Tansey</t>
  </si>
  <si>
    <t>R-M-82.5</t>
  </si>
  <si>
    <t>R-M-90</t>
  </si>
  <si>
    <t>H</t>
  </si>
  <si>
    <t>R-M-100</t>
  </si>
  <si>
    <t>I</t>
  </si>
  <si>
    <t>E-M-90 (bottom 9)</t>
  </si>
  <si>
    <t>E-M-90 (top 9)</t>
  </si>
  <si>
    <t>E-M-100 (bottom 7)</t>
  </si>
  <si>
    <t>E-M-100 (top 8)</t>
  </si>
  <si>
    <t>Zach, Dan &amp; Mario</t>
  </si>
  <si>
    <t>Andy &amp; Sam</t>
  </si>
  <si>
    <t>R-F-90</t>
  </si>
  <si>
    <t>R-F-82.5</t>
  </si>
  <si>
    <t>E-F-82.5 &amp; E-F-90</t>
  </si>
  <si>
    <t>R-M-110</t>
  </si>
  <si>
    <t>Lauren, Emilie &amp; Anna</t>
  </si>
  <si>
    <t>E-F-100</t>
  </si>
  <si>
    <t>R-F-100</t>
  </si>
  <si>
    <t>E-F-100+</t>
  </si>
  <si>
    <t>Darya &amp; Liz</t>
  </si>
  <si>
    <t>R-F-100+</t>
  </si>
  <si>
    <t>E-M-110 (top 8)</t>
  </si>
  <si>
    <t>E-M-110 (bottom 8)</t>
  </si>
  <si>
    <t>Jason &amp; Alex</t>
  </si>
  <si>
    <t>R-M-125</t>
  </si>
  <si>
    <t>E-M-140 &amp; E-M-140+</t>
  </si>
  <si>
    <t xml:space="preserve">E-M-125 </t>
  </si>
  <si>
    <t>R-M-140</t>
  </si>
  <si>
    <t>Joe</t>
  </si>
  <si>
    <t>Name</t>
  </si>
  <si>
    <t>Email</t>
  </si>
  <si>
    <t>Phone #</t>
  </si>
  <si>
    <t>USAPL #</t>
  </si>
  <si>
    <t>Allison Shupp</t>
  </si>
  <si>
    <t>shupp.a@husky.neu.edu</t>
  </si>
  <si>
    <t>703-715-7573</t>
  </si>
  <si>
    <t>Amanda O'Brien</t>
  </si>
  <si>
    <t>obrien.ama@husky.neu.edu</t>
  </si>
  <si>
    <t>617-777-3541</t>
  </si>
  <si>
    <t>Anna Mueller</t>
  </si>
  <si>
    <t>mueller.a@husky.neu.edu</t>
  </si>
  <si>
    <t>952-454-4142</t>
  </si>
  <si>
    <t>Caroline Lommer</t>
  </si>
  <si>
    <t>lommer.c@husky.neu.edu</t>
  </si>
  <si>
    <t>646-209-0024</t>
  </si>
  <si>
    <t>Celia White</t>
  </si>
  <si>
    <t>white.c@husky.neu.edu</t>
  </si>
  <si>
    <t>973-902-7804</t>
  </si>
  <si>
    <t>Darya Bernard</t>
  </si>
  <si>
    <t>bernard.da@husky.neu.edu</t>
  </si>
  <si>
    <t>704-789-3492</t>
  </si>
  <si>
    <t>Liz Piatkowski</t>
  </si>
  <si>
    <t>piatkowski.e@husky.neu.edu</t>
  </si>
  <si>
    <t>732-773-3616</t>
  </si>
  <si>
    <t>Bella Stone</t>
  </si>
  <si>
    <t>stone.i@husky.neu.edu</t>
  </si>
  <si>
    <t>860-309-3353</t>
  </si>
  <si>
    <t>Julie Buchbinder</t>
  </si>
  <si>
    <t>buchbinder.j@husky.neu.edu</t>
  </si>
  <si>
    <t>609-480-2678</t>
  </si>
  <si>
    <t>Maddie Anton</t>
  </si>
  <si>
    <t>anton.m@husky.neu.edu</t>
  </si>
  <si>
    <t>845-274-1591</t>
  </si>
  <si>
    <t>Maddie O'Neil</t>
  </si>
  <si>
    <t>oneil.mad@husky.neu.edu</t>
  </si>
  <si>
    <t>401-595-2080</t>
  </si>
  <si>
    <t>Mish Shimano</t>
  </si>
  <si>
    <t>shimano.m@husky.neu.edu</t>
  </si>
  <si>
    <t>857-287-0778</t>
  </si>
  <si>
    <t>Tansey Vordonis</t>
  </si>
  <si>
    <t>vordonis.t@husky.neu.edu</t>
  </si>
  <si>
    <t>585-451-9964</t>
  </si>
  <si>
    <t>Isabelle Hou</t>
  </si>
  <si>
    <t>hou.is@husky.neu.edu</t>
  </si>
  <si>
    <t>917-391-6789</t>
  </si>
  <si>
    <t>Lauren Flynn</t>
  </si>
  <si>
    <t>flynn.lau@husky.neu.edu</t>
  </si>
  <si>
    <t>978-826-4744</t>
  </si>
  <si>
    <t>Meg Schroeder</t>
  </si>
  <si>
    <t>schroeder.me@husky.neu.edu</t>
  </si>
  <si>
    <t>720-277-1182</t>
  </si>
  <si>
    <t>Raven Mathews</t>
  </si>
  <si>
    <t>mathews.ra@husky.neu.edu</t>
  </si>
  <si>
    <t>203-939-3333</t>
  </si>
  <si>
    <t>Day 1</t>
  </si>
  <si>
    <t>Day 2</t>
  </si>
  <si>
    <t>Day 3</t>
  </si>
  <si>
    <t>Lifters</t>
  </si>
  <si>
    <t># Allowed in Warmups</t>
  </si>
  <si>
    <t># Currently Allotted</t>
  </si>
  <si>
    <t>Last Name</t>
  </si>
  <si>
    <t>First Name</t>
  </si>
  <si>
    <t>Lot</t>
  </si>
  <si>
    <t>Sex</t>
  </si>
  <si>
    <t>Equipment</t>
  </si>
  <si>
    <t>WClass</t>
  </si>
  <si>
    <t>Division</t>
  </si>
  <si>
    <t>2nd Division</t>
  </si>
  <si>
    <t>Team</t>
  </si>
  <si>
    <t>Country</t>
  </si>
  <si>
    <t>State</t>
  </si>
  <si>
    <t>Badeaux</t>
  </si>
  <si>
    <t>Jessie</t>
  </si>
  <si>
    <t>United States</t>
  </si>
  <si>
    <t>LA</t>
  </si>
  <si>
    <t>Ruff</t>
  </si>
  <si>
    <t>Seth</t>
  </si>
  <si>
    <t>TX</t>
  </si>
  <si>
    <t>Huerta</t>
  </si>
  <si>
    <t>Vincent</t>
  </si>
  <si>
    <t>NE</t>
  </si>
  <si>
    <t>Bowring</t>
  </si>
  <si>
    <t>Ray</t>
  </si>
  <si>
    <t>140+</t>
  </si>
  <si>
    <t>United Kingdom</t>
  </si>
  <si>
    <t>NH</t>
  </si>
  <si>
    <t>Belgard</t>
  </si>
  <si>
    <t>Corbyn</t>
  </si>
  <si>
    <t>Jennings</t>
  </si>
  <si>
    <t>Camron</t>
  </si>
  <si>
    <t>MS</t>
  </si>
  <si>
    <t>Herod</t>
  </si>
  <si>
    <t>Xavian</t>
  </si>
  <si>
    <t>Rios</t>
  </si>
  <si>
    <t>Henke</t>
  </si>
  <si>
    <t>Landon</t>
  </si>
  <si>
    <t>Juarez</t>
  </si>
  <si>
    <t>Yovanni</t>
  </si>
  <si>
    <t>Guevara</t>
  </si>
  <si>
    <t>Bartol</t>
  </si>
  <si>
    <t>Mitties</t>
  </si>
  <si>
    <t>Peyton</t>
  </si>
  <si>
    <t>Uhl</t>
  </si>
  <si>
    <t>Francisco</t>
  </si>
  <si>
    <t>Quinn</t>
  </si>
  <si>
    <t>Sam</t>
  </si>
  <si>
    <t>Aguilera</t>
  </si>
  <si>
    <t>Raul</t>
  </si>
  <si>
    <t>Hernandez</t>
  </si>
  <si>
    <t>Obed</t>
  </si>
  <si>
    <t>Loop</t>
  </si>
  <si>
    <t>Micaiah</t>
  </si>
  <si>
    <t>Shuford</t>
  </si>
  <si>
    <t>CJ</t>
  </si>
  <si>
    <t>1 - Thu</t>
  </si>
  <si>
    <t>Metzger</t>
  </si>
  <si>
    <t>Hunter</t>
  </si>
  <si>
    <t>Strickland</t>
  </si>
  <si>
    <t>Larry</t>
  </si>
  <si>
    <t>Saunders</t>
  </si>
  <si>
    <t>David</t>
  </si>
  <si>
    <t>Reffner</t>
  </si>
  <si>
    <t>Michael</t>
  </si>
  <si>
    <t>KS</t>
  </si>
  <si>
    <t>Self</t>
  </si>
  <si>
    <t>Baxter</t>
  </si>
  <si>
    <t>Chavez</t>
  </si>
  <si>
    <t>Peter</t>
  </si>
  <si>
    <t>Hodge</t>
  </si>
  <si>
    <t>Gibson-Todd</t>
  </si>
  <si>
    <t>Pellegrin</t>
  </si>
  <si>
    <t>Jayce</t>
  </si>
  <si>
    <t>Taylor</t>
  </si>
  <si>
    <t>Joshua</t>
  </si>
  <si>
    <t>Alpha</t>
  </si>
  <si>
    <t>Logan</t>
  </si>
  <si>
    <t>Galvan</t>
  </si>
  <si>
    <t>Roan</t>
  </si>
  <si>
    <t>Gaspard</t>
  </si>
  <si>
    <t>Addison</t>
  </si>
  <si>
    <t>Amaro</t>
  </si>
  <si>
    <t>Moises</t>
  </si>
  <si>
    <t>Green</t>
  </si>
  <si>
    <t>William</t>
  </si>
  <si>
    <t>Hartner</t>
  </si>
  <si>
    <t>Tillman</t>
  </si>
  <si>
    <t>VA</t>
  </si>
  <si>
    <t>CA</t>
  </si>
  <si>
    <t>NY</t>
  </si>
  <si>
    <t>Bowman</t>
  </si>
  <si>
    <t>Nicholas</t>
  </si>
  <si>
    <t>Parham</t>
  </si>
  <si>
    <t>Cabe</t>
  </si>
  <si>
    <t>Keegan</t>
  </si>
  <si>
    <t>Bijeaux</t>
  </si>
  <si>
    <t>Trey</t>
  </si>
  <si>
    <t>Boutte</t>
  </si>
  <si>
    <t>Mason</t>
  </si>
  <si>
    <t>Estopinal</t>
  </si>
  <si>
    <t>Joseph</t>
  </si>
  <si>
    <t>McIntyre</t>
  </si>
  <si>
    <t>Hadyn</t>
  </si>
  <si>
    <t>Nguyen</t>
  </si>
  <si>
    <t>Mabile</t>
  </si>
  <si>
    <t>Jaxon</t>
  </si>
  <si>
    <t>Montanez</t>
  </si>
  <si>
    <t>Leo</t>
  </si>
  <si>
    <t>Rees</t>
  </si>
  <si>
    <t>Mitchell</t>
  </si>
  <si>
    <t>Jenkins</t>
  </si>
  <si>
    <t>Kobe</t>
  </si>
  <si>
    <t>Launey</t>
  </si>
  <si>
    <t>Wesley</t>
  </si>
  <si>
    <t>Jackson</t>
  </si>
  <si>
    <t>Tyrell</t>
  </si>
  <si>
    <t>Gil</t>
  </si>
  <si>
    <t>Daniel</t>
  </si>
  <si>
    <t>Harris</t>
  </si>
  <si>
    <t>Elijah</t>
  </si>
  <si>
    <t>Lutz</t>
  </si>
  <si>
    <t>Andrew</t>
  </si>
  <si>
    <t>Torres</t>
  </si>
  <si>
    <t>Diego</t>
  </si>
  <si>
    <t>Lyman</t>
  </si>
  <si>
    <t>AZ</t>
  </si>
  <si>
    <t>Scott</t>
  </si>
  <si>
    <t>Damon</t>
  </si>
  <si>
    <t>MA</t>
  </si>
  <si>
    <t>Robinson</t>
  </si>
  <si>
    <t>Bobby</t>
  </si>
  <si>
    <t>Domian</t>
  </si>
  <si>
    <t>Garza</t>
  </si>
  <si>
    <t>AhSang</t>
  </si>
  <si>
    <t>Lagi Marina</t>
  </si>
  <si>
    <t>100+</t>
  </si>
  <si>
    <t>Gomez</t>
  </si>
  <si>
    <t>Juan</t>
  </si>
  <si>
    <t>Esparza</t>
  </si>
  <si>
    <t>Caleb</t>
  </si>
  <si>
    <t>Felder</t>
  </si>
  <si>
    <t>Dominique</t>
  </si>
  <si>
    <t>Jose</t>
  </si>
  <si>
    <t>WI</t>
  </si>
  <si>
    <t>Mensinger</t>
  </si>
  <si>
    <t>Kim</t>
  </si>
  <si>
    <t>Polanco pinto</t>
  </si>
  <si>
    <t>Kaleth</t>
  </si>
  <si>
    <t>Fant</t>
  </si>
  <si>
    <t>Clay</t>
  </si>
  <si>
    <t>Caballero</t>
  </si>
  <si>
    <t>Ricardo</t>
  </si>
  <si>
    <t>FL</t>
  </si>
  <si>
    <t>Griffin</t>
  </si>
  <si>
    <t>Drew</t>
  </si>
  <si>
    <t>Perez</t>
  </si>
  <si>
    <t>Jesse</t>
  </si>
  <si>
    <t>Gallegos III</t>
  </si>
  <si>
    <t>Arturo</t>
  </si>
  <si>
    <t>Hathaway</t>
  </si>
  <si>
    <t>Reyes</t>
  </si>
  <si>
    <t>Jerry</t>
  </si>
  <si>
    <t>Brown</t>
  </si>
  <si>
    <t>Jaeden</t>
  </si>
  <si>
    <t>Cabrera</t>
  </si>
  <si>
    <t>Aiden</t>
  </si>
  <si>
    <t>Gala</t>
  </si>
  <si>
    <t>Kain</t>
  </si>
  <si>
    <t>Hicks</t>
  </si>
  <si>
    <t>Christopher</t>
  </si>
  <si>
    <t>Sumers</t>
  </si>
  <si>
    <t>Trent</t>
  </si>
  <si>
    <t>Chavarria</t>
  </si>
  <si>
    <t>Xavier</t>
  </si>
  <si>
    <t>Syllah</t>
  </si>
  <si>
    <t>Edgard</t>
  </si>
  <si>
    <t>Wheeler</t>
  </si>
  <si>
    <t>Shawn</t>
  </si>
  <si>
    <t>TN</t>
  </si>
  <si>
    <t>Sullivan</t>
  </si>
  <si>
    <t>AL</t>
  </si>
  <si>
    <t>Cordarius</t>
  </si>
  <si>
    <t>Richard</t>
  </si>
  <si>
    <t>Kashami</t>
  </si>
  <si>
    <t>Yanez III</t>
  </si>
  <si>
    <t>Ramiro</t>
  </si>
  <si>
    <t>Medina</t>
  </si>
  <si>
    <t>Rayburn</t>
  </si>
  <si>
    <t>Hamilton</t>
  </si>
  <si>
    <t>Chen</t>
  </si>
  <si>
    <t>Junji</t>
  </si>
  <si>
    <t>Trejo</t>
  </si>
  <si>
    <t>NJ</t>
  </si>
  <si>
    <t>Portier</t>
  </si>
  <si>
    <t>Jacob</t>
  </si>
  <si>
    <t>Diaz</t>
  </si>
  <si>
    <t>Ethan</t>
  </si>
  <si>
    <t>Trevino</t>
  </si>
  <si>
    <t>Ellis III</t>
  </si>
  <si>
    <t>Robert</t>
  </si>
  <si>
    <t>Eckford</t>
  </si>
  <si>
    <t>Will</t>
  </si>
  <si>
    <t>Garrett</t>
  </si>
  <si>
    <t>Lawson</t>
  </si>
  <si>
    <t>Lloyd</t>
  </si>
  <si>
    <t>James</t>
  </si>
  <si>
    <t>Fredrickson</t>
  </si>
  <si>
    <t>Geri</t>
  </si>
  <si>
    <t>Delgado</t>
  </si>
  <si>
    <t>Gorczyca</t>
  </si>
  <si>
    <t>Alexander</t>
  </si>
  <si>
    <t>Abraham</t>
  </si>
  <si>
    <t>Money</t>
  </si>
  <si>
    <t>Koby</t>
  </si>
  <si>
    <t>Morris</t>
  </si>
  <si>
    <t>Slemmons</t>
  </si>
  <si>
    <t>Marissa</t>
  </si>
  <si>
    <t>Bonner</t>
  </si>
  <si>
    <t>Kaylee</t>
  </si>
  <si>
    <t>Garcia</t>
  </si>
  <si>
    <t>Aisha</t>
  </si>
  <si>
    <t>Oliver</t>
  </si>
  <si>
    <t>Pimentel</t>
  </si>
  <si>
    <t>Dittman</t>
  </si>
  <si>
    <t>Margaret</t>
  </si>
  <si>
    <t>Medina Jr.</t>
  </si>
  <si>
    <t>Smylie</t>
  </si>
  <si>
    <t>Cole</t>
  </si>
  <si>
    <t>Natividad</t>
  </si>
  <si>
    <t>Cody</t>
  </si>
  <si>
    <t>Morales</t>
  </si>
  <si>
    <t>Rudy</t>
  </si>
  <si>
    <t>Sears</t>
  </si>
  <si>
    <t>Skyleigh</t>
  </si>
  <si>
    <t>Weaver</t>
  </si>
  <si>
    <t>Mackenzie</t>
  </si>
  <si>
    <t>Saludo</t>
  </si>
  <si>
    <t>Marshall</t>
  </si>
  <si>
    <t>Yan</t>
  </si>
  <si>
    <t>Brian</t>
  </si>
  <si>
    <t>Patton</t>
  </si>
  <si>
    <t>Bethany</t>
  </si>
  <si>
    <t>Echazarreta</t>
  </si>
  <si>
    <t>Alyssa</t>
  </si>
  <si>
    <t>Patterson</t>
  </si>
  <si>
    <t>Zariah</t>
  </si>
  <si>
    <t>Benavidez</t>
  </si>
  <si>
    <t>Jennifer</t>
  </si>
  <si>
    <t>Florez</t>
  </si>
  <si>
    <t>Zaniel</t>
  </si>
  <si>
    <t>Macias</t>
  </si>
  <si>
    <t>Karina</t>
  </si>
  <si>
    <t>McCarthy</t>
  </si>
  <si>
    <t>Abigail</t>
  </si>
  <si>
    <t>Facundo</t>
  </si>
  <si>
    <t>Criselda</t>
  </si>
  <si>
    <t>Gabriel</t>
  </si>
  <si>
    <t>Felipe</t>
  </si>
  <si>
    <t>Gracia</t>
  </si>
  <si>
    <t>Jonathan</t>
  </si>
  <si>
    <t>Price</t>
  </si>
  <si>
    <t>Chelsea</t>
  </si>
  <si>
    <t>Butcher</t>
  </si>
  <si>
    <t>Kennedi</t>
  </si>
  <si>
    <t>Busteed</t>
  </si>
  <si>
    <t>Amelia</t>
  </si>
  <si>
    <t>Ramirez</t>
  </si>
  <si>
    <t>Varnado</t>
  </si>
  <si>
    <t>Fernandez</t>
  </si>
  <si>
    <t>Patrick</t>
  </si>
  <si>
    <t>Estrella</t>
  </si>
  <si>
    <t>Erick</t>
  </si>
  <si>
    <t>Cara</t>
  </si>
  <si>
    <t>Ruiz</t>
  </si>
  <si>
    <t>Trinity</t>
  </si>
  <si>
    <t>Welch</t>
  </si>
  <si>
    <t>Bennett</t>
  </si>
  <si>
    <t>Andrews</t>
  </si>
  <si>
    <t>Thelma</t>
  </si>
  <si>
    <t>Barrera</t>
  </si>
  <si>
    <t>Danielle</t>
  </si>
  <si>
    <t>Bush</t>
  </si>
  <si>
    <t>Lozano</t>
  </si>
  <si>
    <t>Devanhi</t>
  </si>
  <si>
    <t>Eva</t>
  </si>
  <si>
    <t>Olvera</t>
  </si>
  <si>
    <t>Clark</t>
  </si>
  <si>
    <t>Xacaria</t>
  </si>
  <si>
    <t>MN</t>
  </si>
  <si>
    <t>Acosta</t>
  </si>
  <si>
    <t>John Paul</t>
  </si>
  <si>
    <t>Cantu</t>
  </si>
  <si>
    <t>Gabriela</t>
  </si>
  <si>
    <t>Alford</t>
  </si>
  <si>
    <t>Kovacs</t>
  </si>
  <si>
    <t>Janee</t>
  </si>
  <si>
    <t>Sanders</t>
  </si>
  <si>
    <t>Alexandra</t>
  </si>
  <si>
    <t>Leah</t>
  </si>
  <si>
    <t>Edwards</t>
  </si>
  <si>
    <t>Jiya</t>
  </si>
  <si>
    <t>York</t>
  </si>
  <si>
    <t>Savannah</t>
  </si>
  <si>
    <t>McDougall</t>
  </si>
  <si>
    <t>Sabril</t>
  </si>
  <si>
    <t>Stephanny</t>
  </si>
  <si>
    <t>Villanueva</t>
  </si>
  <si>
    <t>Ashley</t>
  </si>
  <si>
    <t>Collins</t>
  </si>
  <si>
    <t>Joscelyn</t>
  </si>
  <si>
    <t>Fuentes</t>
  </si>
  <si>
    <t>Jessilyn</t>
  </si>
  <si>
    <t>Angela</t>
  </si>
  <si>
    <t>Jacqueline</t>
  </si>
  <si>
    <t>Ashlee</t>
  </si>
  <si>
    <t>IL</t>
  </si>
  <si>
    <t>Johnson</t>
  </si>
  <si>
    <t>Latino</t>
  </si>
  <si>
    <t>Toby</t>
  </si>
  <si>
    <t>Aragon-Marcial</t>
  </si>
  <si>
    <t>Victoria</t>
  </si>
  <si>
    <t>Carrico</t>
  </si>
  <si>
    <t>Zoey</t>
  </si>
  <si>
    <t>Massey</t>
  </si>
  <si>
    <t>Breana</t>
  </si>
  <si>
    <t>Pender</t>
  </si>
  <si>
    <t>Lacey</t>
  </si>
  <si>
    <t>Wyatt</t>
  </si>
  <si>
    <t>Zakiya</t>
  </si>
  <si>
    <t>Mercedes</t>
  </si>
  <si>
    <t>Valdez</t>
  </si>
  <si>
    <t>Daniela</t>
  </si>
  <si>
    <t>Caminita</t>
  </si>
  <si>
    <t>Cameron</t>
  </si>
  <si>
    <t>Robertson</t>
  </si>
  <si>
    <t>Shaye</t>
  </si>
  <si>
    <t>Naomi</t>
  </si>
  <si>
    <t>Ledesma</t>
  </si>
  <si>
    <t>Kristal</t>
  </si>
  <si>
    <t>Tan</t>
  </si>
  <si>
    <t>Dennis</t>
  </si>
  <si>
    <t>Aguirre</t>
  </si>
  <si>
    <t>Frazier</t>
  </si>
  <si>
    <t>Kendal</t>
  </si>
  <si>
    <t>Galarza</t>
  </si>
  <si>
    <t>MD</t>
  </si>
  <si>
    <t>Tafolla</t>
  </si>
  <si>
    <t>Geraldine</t>
  </si>
  <si>
    <t>Quintanilla</t>
  </si>
  <si>
    <t>Karli</t>
  </si>
  <si>
    <t>Reed</t>
  </si>
  <si>
    <t>Dominguez</t>
  </si>
  <si>
    <t>Natali</t>
  </si>
  <si>
    <t>Davenport</t>
  </si>
  <si>
    <t>Brooke</t>
  </si>
  <si>
    <t>Delarosa</t>
  </si>
  <si>
    <t>Nejtek</t>
  </si>
  <si>
    <t>CT</t>
  </si>
  <si>
    <t>Brooklyn</t>
  </si>
  <si>
    <t>Camarillo</t>
  </si>
  <si>
    <t>Ariana</t>
  </si>
  <si>
    <t>Gonzalez</t>
  </si>
  <si>
    <t>Cenia</t>
  </si>
  <si>
    <t>Longoria</t>
  </si>
  <si>
    <t>Iglesias</t>
  </si>
  <si>
    <t>Sally</t>
  </si>
  <si>
    <t>Licea</t>
  </si>
  <si>
    <t>Alexandria</t>
  </si>
  <si>
    <t>Mixon</t>
  </si>
  <si>
    <t>Cassandra</t>
  </si>
  <si>
    <t>RI</t>
  </si>
  <si>
    <t>Rojas</t>
  </si>
  <si>
    <t>Sofia</t>
  </si>
  <si>
    <t>Tekiyah</t>
  </si>
  <si>
    <t>Ortega</t>
  </si>
  <si>
    <t>jackson</t>
  </si>
  <si>
    <t>zoe</t>
  </si>
  <si>
    <t>Nyman</t>
  </si>
  <si>
    <t>Saleen</t>
  </si>
  <si>
    <t>Recendez</t>
  </si>
  <si>
    <t>Andrea</t>
  </si>
  <si>
    <t>smith</t>
  </si>
  <si>
    <t>mia</t>
  </si>
  <si>
    <t>Lopez</t>
  </si>
  <si>
    <t>Steinmann</t>
  </si>
  <si>
    <t>Lexi</t>
  </si>
  <si>
    <t>Schorsch</t>
  </si>
  <si>
    <t>Jalesca</t>
  </si>
  <si>
    <t>Abshire</t>
  </si>
  <si>
    <t>Landace</t>
  </si>
  <si>
    <t>Boyett</t>
  </si>
  <si>
    <t>Bailee</t>
  </si>
  <si>
    <t>Moore</t>
  </si>
  <si>
    <t>Kamren</t>
  </si>
  <si>
    <t>Scarborough-Diaz</t>
  </si>
  <si>
    <t>Crooks</t>
  </si>
  <si>
    <t>Jasmine</t>
  </si>
  <si>
    <t>Hull</t>
  </si>
  <si>
    <t>Leanna Grace</t>
  </si>
  <si>
    <t>Alia</t>
  </si>
  <si>
    <t>Tomko</t>
  </si>
  <si>
    <t>Emily</t>
  </si>
  <si>
    <t>Lee</t>
  </si>
  <si>
    <t>Hyobin</t>
  </si>
  <si>
    <t>Djokic</t>
  </si>
  <si>
    <t>Olivia</t>
  </si>
  <si>
    <t>Grider</t>
  </si>
  <si>
    <t>Meagan</t>
  </si>
  <si>
    <t>Campbell</t>
  </si>
  <si>
    <t>Chloe</t>
  </si>
  <si>
    <t>PA</t>
  </si>
  <si>
    <t>Marmolejo</t>
  </si>
  <si>
    <t>Brianna</t>
  </si>
  <si>
    <t>Payne</t>
  </si>
  <si>
    <t>Kailey</t>
  </si>
  <si>
    <t>Amado</t>
  </si>
  <si>
    <t>Penelope</t>
  </si>
  <si>
    <t>Bourque</t>
  </si>
  <si>
    <t>Jonah</t>
  </si>
  <si>
    <t>Choudhry</t>
  </si>
  <si>
    <t>Bisma</t>
  </si>
  <si>
    <t>Jalen</t>
  </si>
  <si>
    <t>Davison</t>
  </si>
  <si>
    <t>Earwood</t>
  </si>
  <si>
    <t>Tyler</t>
  </si>
  <si>
    <t>Echavarria</t>
  </si>
  <si>
    <t>Escalona</t>
  </si>
  <si>
    <t>Isaiah</t>
  </si>
  <si>
    <t>Grevey</t>
  </si>
  <si>
    <t>Ceyth</t>
  </si>
  <si>
    <t>Ha</t>
  </si>
  <si>
    <t>Renee</t>
  </si>
  <si>
    <t>Lauritzen</t>
  </si>
  <si>
    <t>Hanna</t>
  </si>
  <si>
    <t>Pulido</t>
  </si>
  <si>
    <t>Jon</t>
  </si>
  <si>
    <t>Riklan</t>
  </si>
  <si>
    <t>Sanchez</t>
  </si>
  <si>
    <t>Valeria</t>
  </si>
  <si>
    <t>Serna</t>
  </si>
  <si>
    <t>Christian</t>
  </si>
  <si>
    <t>Open Powerlifting Sheet</t>
  </si>
  <si>
    <t>Instagram</t>
  </si>
  <si>
    <t>Raw Squat</t>
  </si>
  <si>
    <t>Raw Bench</t>
  </si>
  <si>
    <t>Raw DL</t>
  </si>
  <si>
    <t>Raw Total</t>
  </si>
  <si>
    <t>Eq Squat</t>
  </si>
  <si>
    <t>Eq Bench</t>
  </si>
  <si>
    <t>Eq Dl</t>
  </si>
  <si>
    <t>Eq Total</t>
  </si>
  <si>
    <t>Notes</t>
  </si>
  <si>
    <t>http://openpowerlifting.org/u/JessieBadeaux</t>
  </si>
  <si>
    <t>http://openpowerlifting.org/u/SethRuff</t>
  </si>
  <si>
    <t>http://openpowerlifting.org/u/VincentHuerta</t>
  </si>
  <si>
    <t>http://openpowerlifting.org/u/RayBowring</t>
  </si>
  <si>
    <t>http://openpowerlifting.org/u/CorbynBelgard</t>
  </si>
  <si>
    <t>http://openpowerlifting.org/u/CamronJennings</t>
  </si>
  <si>
    <t>http://openpowerlifting.org/u/XavianHerod</t>
  </si>
  <si>
    <t>https://www.openpowerlifting.org/u/jaimerios3</t>
  </si>
  <si>
    <t>http://openpowerlifting.org/u/LandonHenke</t>
  </si>
  <si>
    <t>http://openpowerlifting.org/u/YovanniJuarez</t>
  </si>
  <si>
    <t>http://openpowerlifting.org/u/BartolGuevara</t>
  </si>
  <si>
    <t>http://openpowerlifting.org/u/PeytonMitties</t>
  </si>
  <si>
    <t>http://openpowerlifting.org/u/FranciscoUhl</t>
  </si>
  <si>
    <t>http://openpowerlifting.org/u/SamQuinn</t>
  </si>
  <si>
    <t>http://openpowerlifting.org/u/RaulAguilera</t>
  </si>
  <si>
    <t>http://openpowerlifting.org/u/ObedHernandez</t>
  </si>
  <si>
    <t>http://openpowerlifting.org/u/MicaiahLoop</t>
  </si>
  <si>
    <t>http://openpowerlifting.org/u/CJShuford</t>
  </si>
  <si>
    <t>http://openpowerlifting.org/u/HunterMetzger</t>
  </si>
  <si>
    <t>http://openpowerlifting.org/u/LarryStrickland</t>
  </si>
  <si>
    <t>http://openpowerlifting.org/u/DavidSaunders</t>
  </si>
  <si>
    <t>http://openpowerlifting.org/u/BaxterSelf</t>
  </si>
  <si>
    <t>http://openpowerlifting.org/u/MichaelReffner</t>
  </si>
  <si>
    <t>http://openpowerlifting.org/u/JohnHodge</t>
  </si>
  <si>
    <t>http://openpowerlifting.org/u/PeterChavez</t>
  </si>
  <si>
    <t>http://openpowerlifting.org/u/SethGibsonTodd</t>
  </si>
  <si>
    <t>http://openpowerlifting.org/u/JaycePellegrin</t>
  </si>
  <si>
    <t>http://openpowerlifting.org/u/JoshuaTaylor</t>
  </si>
  <si>
    <t>http://openpowerlifting.org/u/CharliePepinWoods</t>
  </si>
  <si>
    <t>http://openpowerlifting.org/u/LagiMarinaAhSang</t>
  </si>
  <si>
    <t>http://openpowerlifting.org/u/KalethPolancopinto</t>
  </si>
  <si>
    <t>http://openpowerlifting.org/u/ArturoGallegosIII</t>
  </si>
  <si>
    <t>http://openpowerlifting.org/u/RamiroYanezIII</t>
  </si>
  <si>
    <t>http://openpowerlifting.org/u/RobertEllisIII</t>
  </si>
  <si>
    <t>http://openpowerlifting.org/u/MarissaLutz</t>
  </si>
  <si>
    <t>http://openpowerlifting.org/u/ChristopherMedinaJr</t>
  </si>
  <si>
    <t>http://openpowerlifting.org/u/VictoriaAragonMarcial</t>
  </si>
  <si>
    <t>Almost bombed last two meets</t>
  </si>
  <si>
    <t>http://openpowerlifting.org/u/AlexisIglesias1</t>
  </si>
  <si>
    <t>http://openpowerlifting.org/u/MadisonONeil</t>
  </si>
  <si>
    <t>http://openpowerlifting.org/u/MelissaEa</t>
  </si>
  <si>
    <t>http://openpowerlifting.org/u/LeannaGraceHull</t>
  </si>
  <si>
    <t>QT Place</t>
  </si>
  <si>
    <t>Bests Place</t>
  </si>
  <si>
    <t>Actual</t>
  </si>
  <si>
    <t>Gender</t>
  </si>
  <si>
    <t>Weight Class</t>
  </si>
  <si>
    <t>Best R Squat</t>
  </si>
  <si>
    <t>Best R Bench</t>
  </si>
  <si>
    <t>Best R Deadlift</t>
  </si>
  <si>
    <t>Best R Total</t>
  </si>
  <si>
    <t>Best E Squat</t>
  </si>
  <si>
    <t>Best E Bench</t>
  </si>
  <si>
    <t>Best E Deadlift</t>
  </si>
  <si>
    <t>Best E Total</t>
  </si>
  <si>
    <t>Total from Bests</t>
  </si>
  <si>
    <t>Marissa Lutz- won 82 last year, going up to 90</t>
  </si>
  <si>
    <t>Northeastern University - F-C</t>
  </si>
  <si>
    <t>Louisiana Tech Powerlifting - F-C</t>
  </si>
  <si>
    <t>Midland University - F-C</t>
  </si>
  <si>
    <t>Blue Mountain College - F-C</t>
  </si>
  <si>
    <t>UL Lafayette - F-C</t>
  </si>
  <si>
    <t>Texas A&amp;M University - F-C</t>
  </si>
  <si>
    <t>Longhorn Powerlifting - F-C</t>
  </si>
  <si>
    <t>SHSU Powerlifting - F-C</t>
  </si>
  <si>
    <t>The University of Texas at San Antonio - F-C</t>
  </si>
  <si>
    <t>LSU Powerlifting Women's Equipped Team - F-C</t>
  </si>
  <si>
    <t>United States Naval Academy - F-C</t>
  </si>
  <si>
    <t>Pot Points</t>
  </si>
  <si>
    <t>Actual Points</t>
  </si>
  <si>
    <t>Rank by QT</t>
  </si>
  <si>
    <t>Rank by Bests</t>
  </si>
  <si>
    <t># in Class</t>
  </si>
  <si>
    <t>Pot Points by Bests</t>
  </si>
  <si>
    <t>Act Place</t>
  </si>
  <si>
    <t>Act Points</t>
  </si>
  <si>
    <t>Potential</t>
  </si>
  <si>
    <t>Pot Best</t>
  </si>
  <si>
    <t>Northeastern University - M-C</t>
  </si>
  <si>
    <t>Louisiana Tech Powerlifting - M-C</t>
  </si>
  <si>
    <t>Midland University - M-C</t>
  </si>
  <si>
    <t>Blue Mountain College - M-C</t>
  </si>
  <si>
    <t>UL Lafayette - M-C</t>
  </si>
  <si>
    <t>Texas A&amp;M University - M-C</t>
  </si>
  <si>
    <t>Longhorn Powerlifting - M-C</t>
  </si>
  <si>
    <t>SHSU Powerlifting - M-C</t>
  </si>
  <si>
    <t>The University of Texas at San Antonio - M-C</t>
  </si>
  <si>
    <t>LSU Powerlifting Mens Equipped Team - M-C</t>
  </si>
  <si>
    <t>United States Naval Academy - M-C</t>
  </si>
  <si>
    <t>Ottawa University Powerlifting - M-C</t>
  </si>
  <si>
    <t>Potential Team Points</t>
  </si>
  <si>
    <t>Rank by Best</t>
  </si>
  <si>
    <t>Likely ST</t>
  </si>
  <si>
    <t>ST</t>
  </si>
  <si>
    <t>x</t>
  </si>
  <si>
    <t>LSU Powerlifting Men's Equipped Team - M-C</t>
  </si>
  <si>
    <t>Melissa</t>
  </si>
  <si>
    <t>Emilie</t>
  </si>
  <si>
    <t>Mish</t>
  </si>
  <si>
    <t>Rae</t>
  </si>
  <si>
    <t>Meg</t>
  </si>
  <si>
    <t>Bella</t>
  </si>
  <si>
    <t>Maddie</t>
  </si>
  <si>
    <t>Liz</t>
  </si>
  <si>
    <t>DAY</t>
  </si>
  <si>
    <t>SESSION</t>
  </si>
  <si>
    <t>PLATFORM</t>
  </si>
  <si>
    <t>FLIGHT</t>
  </si>
  <si>
    <t>https://docs.google.com/spreadsheets/d/1sroBgH_JibATVhQ05v-nL_kEylVWsFGF9kby7BTQXIE/edit?usp=drive_web&amp;ouid=115727255606104495103</t>
  </si>
  <si>
    <t>https://docs.google.com/spreadsheets/d/1urKCtBRTYlrsCZ2mz4MqAn83wC31EeKFPhY4eUGvXy0/edit?usp=drive_web&amp;ouid=115727255606104495103</t>
  </si>
  <si>
    <t>https://docs.google.com/spreadsheets/d/1dvMrpCN-PtGKtmWptrFixt7U6ADlS4yAmLI2LzlUdew/edit</t>
  </si>
  <si>
    <t>https://docs.google.com/spreadsheets/d/1fmLOWCbgKkfzkcAFDvzyQRKtEA1X6CdBzS--A5w6EQg/edit#gid=0</t>
  </si>
  <si>
    <t>https://docs.google.com/spreadsheets/d/1RW55iLnFS-cwLVDMy2AKJoTk8MXksnPS1gsB_JDDYrI/edit?usp=drive_web&amp;ouid=115727255606104495103</t>
  </si>
  <si>
    <t>https://docs.google.com/spreadsheets/d/1ntK9ZQIu3Tnqs474zy13UZbrWQqCM-Vi8CCHKHIQvPg/edit?usp=drive_web&amp;ouid=115727255606104495103</t>
  </si>
  <si>
    <t>https://docs.google.com/spreadsheets/d/1vssKZuk7cxm5e8tivDcN7j2lhqYe-URDu9D8LUC30UA/edit?usp=drive_web&amp;ouid=115727255606104495103</t>
  </si>
  <si>
    <t>https://docs.google.com/spreadsheets/d/1nl7rgNa36NLEPSYb061t-5rIkr1_hIp0-dgI0Y5DRPE/edit?usp=drive_web&amp;ouid=115727255606104495103</t>
  </si>
  <si>
    <t>https://docs.google.com/spreadsheets/d/12TEG3l14_6_WLQd-2XGVV1aIPITUbTZosu604zQZrwE/edit?usp=drive_web&amp;ouid=115727255606104495103</t>
  </si>
  <si>
    <t>https://docs.google.com/spreadsheets/d/1NtxkBvt6SMfOCxXDk1Y8BwKOVyAW8Hwg4dBD_MIzZPg/edit?usp=drive_web&amp;ouid=115727255606104495103</t>
  </si>
  <si>
    <t>https://docs.google.com/spreadsheets/d/1whcHiXEs7RWEpevXB0kLkTtcJX7l2AtTrXtrfZBQwaQ/edit?usp=drive_web&amp;ouid=115727255606104495103</t>
  </si>
  <si>
    <t>https://docs.google.com/spreadsheets/d/139vdncfuwWTGMVOFdP0B0yRu_v2Xh-Flm9egXkbhUYE/edit</t>
  </si>
  <si>
    <t>https://docs.google.com/spreadsheets/d/1tZ7ZWhoJO1PWgZk64cNdRj5gSMbcuNEd1eNH7elZE9I/edit?usp=drive_web&amp;ouid=115727255606104495103</t>
  </si>
  <si>
    <t>https://docs.google.com/spreadsheets/d/1h64UsKAm5Yjwqm26RQFxCZ3bQdol6AiEOBipwqTaGw0/edit?usp=drive_web&amp;ouid=115727255606104495103</t>
  </si>
  <si>
    <t>https://docs.google.com/spreadsheets/d/1R8zU3K2wSeo3QLYB2l-9GIzk2NWSS1b0dPPbQ20_o2o/edit#gid=0</t>
  </si>
  <si>
    <t>https://docs.google.com/spreadsheets/d/1EKVdP3rrWn8t47TyPx9xqC7rgN5KyWz4QpOvs8U24Ag/edit?usp=drive_web&amp;ouid=115727255606104495103</t>
  </si>
  <si>
    <t>https://docs.google.com/spreadsheets/d/12CVrLUIqE8VeTQ0R3GLRr0JUDbnernzbp10N3yjctx8/edit?usp=drive_web&amp;ouid=115727255606104495103</t>
  </si>
  <si>
    <t>https://docs.google.com/spreadsheets/d/1yMTdbBorh8tzwzWwnBC-h_gJNqYV60B6Y7CwNKAVQAQ/edit?usp=drive_web&amp;ouid=115727255606104495103</t>
  </si>
  <si>
    <t>https://docs.google.com/spreadsheets/d/1EiXfrZGBhTBHe9MjHvZT7kDqjdmKcy_pjgDkcFXt76Q/edit?usp=drive_web&amp;ouid=115727255606104495103</t>
  </si>
  <si>
    <t>https://docs.google.com/spreadsheets/d/1tLXiPVz0OxhDR5Uoj0yKvt99JKh-W9zFAeFJhnS-ZWo/edit</t>
  </si>
  <si>
    <t>https://docs.google.com/spreadsheets/d/1dg6N8uJaV8XtbqlBkQrml2Q5aStvipkmf-rmPtp17Oc/edit</t>
  </si>
  <si>
    <t>https://docs.google.com/spreadsheets/d/17KHhXWP7MHChoTJ1Y9DRRx4M49tEmZVCxExRdUZzi8k/edit?usp=drive_web&amp;ouid=115727255606104495103</t>
  </si>
  <si>
    <t>Squat 1</t>
  </si>
  <si>
    <t>Attempt sheet!F17</t>
  </si>
  <si>
    <t>Squat 2</t>
  </si>
  <si>
    <t>Attempt sheet!F20</t>
  </si>
  <si>
    <t>Squat 3</t>
  </si>
  <si>
    <t>Attempt sheet!F23</t>
  </si>
  <si>
    <t>Meet PR</t>
  </si>
  <si>
    <t>Training PR</t>
  </si>
  <si>
    <t>Goal</t>
  </si>
  <si>
    <t>142.5/145</t>
  </si>
  <si>
    <t>147.5/150</t>
  </si>
  <si>
    <t>160/170</t>
  </si>
  <si>
    <t>187.5/190</t>
  </si>
  <si>
    <t>195/200</t>
  </si>
  <si>
    <t>dnt tell</t>
  </si>
  <si>
    <t>Bench 1</t>
  </si>
  <si>
    <t>Attempt sheet!L17</t>
  </si>
  <si>
    <t>Bench 2</t>
  </si>
  <si>
    <t>Attempt sheet!L20</t>
  </si>
  <si>
    <t>Bench 3</t>
  </si>
  <si>
    <t>Attempt sheet!L23</t>
  </si>
  <si>
    <t>105/110</t>
  </si>
  <si>
    <t>Dead 1</t>
  </si>
  <si>
    <t>Attempt sheet!R17</t>
  </si>
  <si>
    <t>Dead 2</t>
  </si>
  <si>
    <t>Attempt sheet!R20</t>
  </si>
  <si>
    <t>Dead 3</t>
  </si>
  <si>
    <t>Attempt sheet!R23</t>
  </si>
  <si>
    <t>195/197.5</t>
  </si>
  <si>
    <t>157.5/160</t>
  </si>
  <si>
    <t>165/167.5</t>
  </si>
  <si>
    <t>Est Total</t>
  </si>
  <si>
    <t>Squat Warmups</t>
  </si>
  <si>
    <t>Rack Height</t>
  </si>
  <si>
    <t>Attempt Sheet!C8</t>
  </si>
  <si>
    <t>40 minute out</t>
  </si>
  <si>
    <t>raw</t>
  </si>
  <si>
    <t>x 5-8</t>
  </si>
  <si>
    <t>Attempt Sheet!C9</t>
  </si>
  <si>
    <t>35 minutes out</t>
  </si>
  <si>
    <t>x 4-5</t>
  </si>
  <si>
    <t>Attempt Sheet!C10</t>
  </si>
  <si>
    <t>30 minutes out</t>
  </si>
  <si>
    <t>x 2-3</t>
  </si>
  <si>
    <t>Attempt Sheet!C11</t>
  </si>
  <si>
    <t>25 minutes out</t>
  </si>
  <si>
    <t>x 1-2</t>
  </si>
  <si>
    <t>Attempt Sheet!C12</t>
  </si>
  <si>
    <t>15 minutes out</t>
  </si>
  <si>
    <t>Raw</t>
  </si>
  <si>
    <t>x 1</t>
  </si>
  <si>
    <t>Attempt Sheet!C13</t>
  </si>
  <si>
    <t>8-10 minutes out</t>
  </si>
  <si>
    <t>straps up w/ wraps</t>
  </si>
  <si>
    <t>Opener</t>
  </si>
  <si>
    <t>BenchWarmups</t>
  </si>
  <si>
    <t>Attempt Sheet!I8</t>
  </si>
  <si>
    <t>Attempt Sheet!I9</t>
  </si>
  <si>
    <t>Attempt Sheet!I10</t>
  </si>
  <si>
    <t>x 2</t>
  </si>
  <si>
    <t>Attempt Sheet!I11</t>
  </si>
  <si>
    <t>Attempt Sheet!I12</t>
  </si>
  <si>
    <t>shirt, 1-board</t>
  </si>
  <si>
    <t>Attempt Sheet!I13</t>
  </si>
  <si>
    <t>shirt, touch</t>
  </si>
  <si>
    <t>Deadlift Warmups</t>
  </si>
  <si>
    <t>Attempt Sheet!O8</t>
  </si>
  <si>
    <t>x 3-4</t>
  </si>
  <si>
    <t>Attempt Sheet!O9</t>
  </si>
  <si>
    <t>x 3</t>
  </si>
  <si>
    <t>Attempt Sheet!O10</t>
  </si>
  <si>
    <t>Attempt Sheet!O11</t>
  </si>
  <si>
    <t>Attempt Sheet!O12</t>
  </si>
  <si>
    <t>Attempt Sheet!O13</t>
  </si>
  <si>
    <t>straps up</t>
  </si>
  <si>
    <t>Asees</t>
  </si>
  <si>
    <t>Rohin</t>
  </si>
  <si>
    <t>Mario</t>
  </si>
  <si>
    <t>Dan</t>
  </si>
  <si>
    <t>Zach</t>
  </si>
  <si>
    <t>Andy</t>
  </si>
  <si>
    <t>Alex</t>
  </si>
  <si>
    <t>https://docs.google.com/spreadsheets/u/0/d/1u3Q_TN91EaUDHkRJjbWbdTp8qh8Zs4xi639Z74kizco/edit</t>
  </si>
  <si>
    <t>https://docs.google.com/spreadsheets/u/0/d/1BfFEDCo_ZL7SALGsv9aRtN0mDF1dXPSETlY-xLy1tVE/edit</t>
  </si>
  <si>
    <t>https://docs.google.com/spreadsheets/u/0/d/1fGFmYuUwvo_u78ScEQbhLrbFnTS85nXMsCJVd0RPpWE/edit</t>
  </si>
  <si>
    <t>https://docs.google.com/spreadsheets/d/1YzZFskrDXFLbkqLzsyBvA9JlgDtOehJqBPk7S2xzLs8/edit</t>
  </si>
  <si>
    <t>https://docs.google.com/spreadsheets/u/0/d/1B5PKTpkmpuLJJ-u8jfszxZEQ4g6tVeg7rdrLQaDZfX4/edit</t>
  </si>
  <si>
    <t>https://docs.google.com/spreadsheets/u/0/d/18PtBO3-cPG_f9C7wHMh8dJwfDcPpoeWP3ltTsgGEgz4/edit</t>
  </si>
  <si>
    <t>https://docs.google.com/spreadsheets/u/0/d/1pLoeyP0JcwE5_cddlYVBdjCcaT8aZ4N-SRiAsOtQDJU/edit</t>
  </si>
  <si>
    <t>https://docs.google.com/spreadsheets/d/1Wnb9kWMRsFByVkj_-rgajiSPr0IwuYL1sRPeZ3m1NsQ/edit</t>
  </si>
  <si>
    <t>https://docs.google.com/spreadsheets/d/1YVsk1T8a5FMQBBsySPzFcX4wiyGyntKMYz9IFSQryi4/edit</t>
  </si>
  <si>
    <t>https://docs.google.com/spreadsheets/d/1OhuuDa_vDV8hintIe1csuPuEc_6V4KoQifFQt_PiOZo/edit#gid=101494087</t>
  </si>
  <si>
    <t>https://docs.google.com/spreadsheets/u/0/d/1kJ_N6j63c5oc6-S72VnMog8Syg4H0lN985xP845mYYo/edit</t>
  </si>
  <si>
    <t>https://docs.google.com/spreadsheets/u/0/d/1hgnksOHxaOQGShAZ8foC57isPp4QFHHAL4_qd2FRlRE/edit</t>
  </si>
  <si>
    <t>https://docs.google.com/spreadsheets/d/1PfzYGWTX5eoBXOxtqaJcuH1BmBNBao-sj4WVrboBFss/edit</t>
  </si>
  <si>
    <t>https://docs.google.com/spreadsheets/u/0/d/10MavkMJ1Cdf_WjSdS_ZevOOK4w9UL7KMeuljKm-5EWM/edit</t>
  </si>
  <si>
    <t>4-Week Skills Development!C8</t>
  </si>
  <si>
    <t>4-Week Skills Development!C9</t>
  </si>
  <si>
    <t>4-Week Skills Development!C11</t>
  </si>
  <si>
    <t>4-Week Skills Development!C7</t>
  </si>
  <si>
    <t>4-Week Skills Development!C17</t>
  </si>
  <si>
    <t>4-Week Skills Development!C18</t>
  </si>
  <si>
    <t>4-Week Skills Development!C20</t>
  </si>
  <si>
    <t>4-Week Skills Development!C16</t>
  </si>
  <si>
    <t>4-Week Skills Development!C26</t>
  </si>
  <si>
    <t>4-Week Skills Development!C27</t>
  </si>
  <si>
    <t>4-Week Skills Development!C29</t>
  </si>
  <si>
    <t>4-Week Skills Development!C25</t>
  </si>
  <si>
    <t>4-Week Skills Development!F7</t>
  </si>
  <si>
    <t>x5</t>
  </si>
  <si>
    <t>4-Week Skills Development!F8</t>
  </si>
  <si>
    <t>x3</t>
  </si>
  <si>
    <t>4-Week Skills Development!F9</t>
  </si>
  <si>
    <t>x1</t>
  </si>
  <si>
    <t>4-Week Skills Development!F10</t>
  </si>
  <si>
    <t>4-Week Skills Development!F11</t>
  </si>
  <si>
    <t>equipped</t>
  </si>
  <si>
    <t>4-Week Skills Development!F12</t>
  </si>
  <si>
    <t>4-Week Skills Development!F16</t>
  </si>
  <si>
    <t>4-Week Skills Development!F17</t>
  </si>
  <si>
    <t>4-Week Skills Development!F18</t>
  </si>
  <si>
    <t>4-Week Skills Development!F19</t>
  </si>
  <si>
    <t>4-Week Skills Development!F20</t>
  </si>
  <si>
    <t>shirt, 1bd</t>
  </si>
  <si>
    <t>4-Week Skills Development!F21</t>
  </si>
  <si>
    <t>4-Week Skills Development!F25</t>
  </si>
  <si>
    <t>4-Week Skills Development!F26</t>
  </si>
  <si>
    <t>4-Week Skills Development!F27</t>
  </si>
  <si>
    <t>4-Week Skills Development!F28</t>
  </si>
  <si>
    <t>4-Week Skills Development!F29</t>
  </si>
  <si>
    <t>4-Week Skills Development!F30</t>
  </si>
  <si>
    <t>Best</t>
  </si>
  <si>
    <t>Subtotal</t>
  </si>
  <si>
    <t>DL 1</t>
  </si>
  <si>
    <t>DL 2</t>
  </si>
  <si>
    <t>DL 3</t>
  </si>
  <si>
    <t>Place</t>
  </si>
  <si>
    <t>Overall</t>
  </si>
  <si>
    <t>S1LRef</t>
  </si>
  <si>
    <t>S1HRef</t>
  </si>
  <si>
    <t>S1RRef</t>
  </si>
  <si>
    <t>S2LRef</t>
  </si>
  <si>
    <t>S2HRef</t>
  </si>
  <si>
    <t>S2RRef</t>
  </si>
  <si>
    <t>S3LRef</t>
  </si>
  <si>
    <t>S3HRef</t>
  </si>
  <si>
    <t>S3RRef</t>
  </si>
  <si>
    <t>B1LRef</t>
  </si>
  <si>
    <t>B1HRef</t>
  </si>
  <si>
    <t>B1RRef</t>
  </si>
  <si>
    <t>B2LRef</t>
  </si>
  <si>
    <t>B2HRef</t>
  </si>
  <si>
    <t>B2RRef</t>
  </si>
  <si>
    <t>B3LRef</t>
  </si>
  <si>
    <t>B3HRef</t>
  </si>
  <si>
    <t>B3RRef</t>
  </si>
  <si>
    <t>D1LRef</t>
  </si>
  <si>
    <t>D1HRef</t>
  </si>
  <si>
    <t>D1RRef</t>
  </si>
  <si>
    <t>D2LRef</t>
  </si>
  <si>
    <t>D2HRef</t>
  </si>
  <si>
    <t>D2RRef</t>
  </si>
  <si>
    <t>D3LRef</t>
  </si>
  <si>
    <t>D3HRef</t>
  </si>
  <si>
    <t>D3RRef</t>
  </si>
  <si>
    <t>bad, blue</t>
  </si>
  <si>
    <t>good</t>
  </si>
  <si>
    <t>bad, red</t>
  </si>
  <si>
    <t>Mihiro Shimano</t>
  </si>
  <si>
    <t>bad, yellow</t>
  </si>
  <si>
    <t>Emily Recchia</t>
  </si>
  <si>
    <t>Megan Schroeder</t>
  </si>
  <si>
    <t>Daniela Buchbinder</t>
  </si>
  <si>
    <t>bad, red, blue</t>
  </si>
  <si>
    <t>Margaret Moffat</t>
  </si>
  <si>
    <t>Melissa Jiang</t>
  </si>
  <si>
    <t>Nicholas Fiorito</t>
  </si>
  <si>
    <t>bad, blue, yellow</t>
  </si>
  <si>
    <t>Elizabeth Taft</t>
  </si>
  <si>
    <t>Isabella Stone</t>
  </si>
  <si>
    <t>Madison O'Neil</t>
  </si>
  <si>
    <t>Brendan Witts</t>
  </si>
  <si>
    <t>Asees Sarna</t>
  </si>
  <si>
    <t>Rohin Nguyen</t>
  </si>
  <si>
    <t>Emilie Hardel</t>
  </si>
  <si>
    <t>Daniel Belmont</t>
  </si>
  <si>
    <t>Mario Martinez</t>
  </si>
  <si>
    <t>Zachary Fowler</t>
  </si>
  <si>
    <t>Elizabeth Piatkowski</t>
  </si>
  <si>
    <t>Samuel Allegretti</t>
  </si>
  <si>
    <t>John Licata</t>
  </si>
  <si>
    <t>Andrew Korakis</t>
  </si>
  <si>
    <t>Jason Stimeling</t>
  </si>
  <si>
    <t>Charlie Pepin-Woods</t>
  </si>
  <si>
    <t>Alexander Bozwell</t>
  </si>
  <si>
    <t>Joe Lantow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</si>
</sst>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"/>
    <numFmt numFmtId="165" formatCode="h:mm am/pm"/>
    <numFmt numFmtId="166" formatCode="0.0 &quot;kg&quot;"/>
    <numFmt numFmtId="167" formatCode="m/d"/>
  </numFmts>
  <fonts count="34">
    <font>
      <sz val="10.0"/>
      <color rgb="FF000000"/>
      <name val="Arial"/>
      <scheme val="minor"/>
    </font>
    <font>
      <b/>
      <sz val="9.0"/>
      <color rgb="FFFFFFFF"/>
      <name val="Calibri"/>
    </font>
    <font>
      <sz val="9.0"/>
      <color theme="1"/>
      <name val="Calibri"/>
    </font>
    <font>
      <b/>
      <sz val="9.0"/>
      <color theme="1"/>
      <name val="Calibri"/>
    </font>
    <font>
      <b/>
      <sz val="9.0"/>
      <color theme="0"/>
      <name val="Calibri"/>
    </font>
    <font/>
    <font>
      <b/>
      <sz val="9.0"/>
      <color rgb="FF333333"/>
      <name val="Calibri"/>
    </font>
    <font>
      <sz val="9.0"/>
      <color rgb="FF333333"/>
      <name val="Calibri"/>
    </font>
    <font>
      <b/>
      <sz val="10.0"/>
      <color rgb="FFFFFFFF"/>
      <name val="Calibri"/>
    </font>
    <font>
      <b/>
      <sz val="10.0"/>
      <color theme="0"/>
      <name val="Calibri"/>
    </font>
    <font>
      <sz val="10.0"/>
      <color theme="1"/>
      <name val="Calibri"/>
    </font>
    <font>
      <color theme="1"/>
      <name val="Arial"/>
      <scheme val="minor"/>
    </font>
    <font>
      <b/>
      <sz val="10.0"/>
      <color theme="1"/>
      <name val="Calibri"/>
    </font>
    <font>
      <b/>
      <color rgb="FF000000"/>
      <name val="Docs-Calibri"/>
    </font>
    <font>
      <b/>
      <sz val="9.0"/>
      <color rgb="FF000000"/>
      <name val="Calibri"/>
    </font>
    <font>
      <sz val="10.0"/>
      <color rgb="FFFFFFFF"/>
      <name val="Calibri"/>
    </font>
    <font>
      <b/>
      <sz val="10.0"/>
      <color rgb="FF000000"/>
      <name val="Calibri"/>
    </font>
    <font>
      <b/>
      <sz val="10.0"/>
      <color theme="0"/>
      <name val="Poppins"/>
    </font>
    <font>
      <sz val="10.0"/>
      <color theme="1"/>
      <name val="Poppins"/>
    </font>
    <font>
      <sz val="10.0"/>
      <color rgb="FF000000"/>
      <name val="Poppins"/>
    </font>
    <font>
      <b/>
      <sz val="10.0"/>
      <color rgb="FFFFFFFF"/>
      <name val="Poppins"/>
    </font>
    <font>
      <u/>
      <sz val="10.0"/>
      <color rgb="FF000000"/>
      <name val="Poppins"/>
    </font>
    <font>
      <u/>
      <sz val="10.0"/>
      <color rgb="FF0000FF"/>
      <name val="Poppins"/>
    </font>
    <font>
      <sz val="10.0"/>
      <color rgb="FF000000"/>
      <name val="Calibri"/>
    </font>
    <font>
      <b/>
      <color rgb="FF000000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7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CCCCCC"/>
      </right>
      <top style="medium">
        <color rgb="FFFFFFFF"/>
      </top>
      <bottom style="medium">
        <color rgb="FFFFFFFF"/>
      </bottom>
    </border>
    <border>
      <left style="thin">
        <color rgb="FFCCCCCC"/>
      </left>
      <right style="thin">
        <color rgb="FFCCCCCC"/>
      </right>
    </border>
    <border>
      <left style="thin">
        <color rgb="FFCCCCCC"/>
      </lef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000000"/>
      </right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n">
        <color rgb="FFE5E7EB"/>
      </top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D9D9D9"/>
      </right>
    </border>
    <border>
      <left style="thick">
        <color rgb="FFD9D9D9"/>
      </left>
      <right style="thick">
        <color rgb="FFD9D9D9"/>
      </right>
    </border>
    <border>
      <left style="thick">
        <color rgb="FFD9D9D9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</border>
    <border>
      <left style="thin">
        <color rgb="FFD9D9D9"/>
      </left>
    </border>
    <border>
      <left style="thin">
        <color rgb="FFD9D9D9"/>
      </left>
      <right style="thin">
        <color rgb="FFD9D9D9"/>
      </right>
      <bottom style="thin">
        <color rgb="FFFFFFFF"/>
      </bottom>
    </border>
    <border>
      <left style="thin">
        <color rgb="FFD9D9D9"/>
      </left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FFFFFF"/>
      </top>
      <bottom style="thin">
        <color rgb="FFFFFFFF"/>
      </bottom>
    </border>
    <border>
      <left style="thin">
        <color rgb="FFD9D9D9"/>
      </lef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right style="thin">
        <color rgb="FFD9D9D9"/>
      </right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000000"/>
      </bottom>
    </border>
    <border>
      <left style="thick">
        <color rgb="FFFFFFFF"/>
      </left>
      <top style="thick">
        <color rgb="FFFFFFFF"/>
      </top>
      <bottom style="medium">
        <color rgb="FF000000"/>
      </bottom>
    </border>
    <border>
      <right style="thick">
        <color rgb="FFFFFFFF"/>
      </right>
      <top style="thick">
        <color rgb="FFFFFFFF"/>
      </top>
      <bottom style="medium">
        <color rgb="FF000000"/>
      </bottom>
    </border>
    <border>
      <left style="thin">
        <color rgb="FFFFFFFF"/>
      </left>
      <right style="thick">
        <color rgb="FF000000"/>
      </righ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000000"/>
      </bottom>
    </border>
    <border>
      <left style="thin">
        <color rgb="FFD9D9D9"/>
      </left>
      <right style="thick">
        <color rgb="FF000000"/>
      </right>
      <top style="thin">
        <color rgb="FFD9D9D9"/>
      </top>
      <bottom style="thin">
        <color rgb="FFD9D9D9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39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6" fillId="3" fontId="3" numFmtId="0" xfId="0" applyAlignment="1" applyBorder="1" applyFont="1">
      <alignment horizontal="left" readingOrder="0"/>
    </xf>
    <xf borderId="7" fillId="3" fontId="2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left" readingOrder="0"/>
    </xf>
    <xf borderId="10" fillId="3" fontId="4" numFmtId="164" xfId="0" applyAlignment="1" applyBorder="1" applyFont="1" applyNumberFormat="1">
      <alignment horizontal="left" readingOrder="0"/>
    </xf>
    <xf borderId="10" fillId="2" fontId="1" numFmtId="164" xfId="0" applyAlignment="1" applyBorder="1" applyFont="1" applyNumberFormat="1">
      <alignment horizontal="left" readingOrder="0"/>
    </xf>
    <xf borderId="11" fillId="0" fontId="5" numFmtId="0" xfId="0" applyBorder="1" applyFont="1"/>
    <xf borderId="12" fillId="0" fontId="5" numFmtId="0" xfId="0" applyBorder="1" applyFont="1"/>
    <xf borderId="10" fillId="4" fontId="6" numFmtId="0" xfId="0" applyAlignment="1" applyBorder="1" applyFill="1" applyFont="1">
      <alignment horizontal="left" readingOrder="0"/>
    </xf>
    <xf borderId="13" fillId="4" fontId="6" numFmtId="0" xfId="0" applyAlignment="1" applyBorder="1" applyFont="1">
      <alignment horizontal="left" readingOrder="0"/>
    </xf>
    <xf borderId="14" fillId="4" fontId="6" numFmtId="0" xfId="0" applyAlignment="1" applyBorder="1" applyFont="1">
      <alignment horizontal="left" readingOrder="0"/>
    </xf>
    <xf borderId="15" fillId="4" fontId="6" numFmtId="0" xfId="0" applyAlignment="1" applyBorder="1" applyFont="1">
      <alignment horizontal="left" readingOrder="0"/>
    </xf>
    <xf borderId="16" fillId="5" fontId="7" numFmtId="0" xfId="0" applyAlignment="1" applyBorder="1" applyFill="1" applyFont="1">
      <alignment horizontal="left" readingOrder="0"/>
    </xf>
    <xf borderId="16" fillId="5" fontId="7" numFmtId="165" xfId="0" applyAlignment="1" applyBorder="1" applyFont="1" applyNumberFormat="1">
      <alignment horizontal="left" readingOrder="0"/>
    </xf>
    <xf borderId="10" fillId="5" fontId="7" numFmtId="0" xfId="0" applyAlignment="1" applyBorder="1" applyFont="1">
      <alignment horizontal="left" readingOrder="0"/>
    </xf>
    <xf borderId="11" fillId="5" fontId="7" numFmtId="0" xfId="0" applyAlignment="1" applyBorder="1" applyFont="1">
      <alignment horizontal="left" readingOrder="0"/>
    </xf>
    <xf borderId="0" fillId="5" fontId="7" numFmtId="165" xfId="0" applyAlignment="1" applyFont="1" applyNumberFormat="1">
      <alignment horizontal="left" readingOrder="0"/>
    </xf>
    <xf borderId="0" fillId="5" fontId="7" numFmtId="0" xfId="0" applyAlignment="1" applyFont="1">
      <alignment horizontal="left" readingOrder="0"/>
    </xf>
    <xf borderId="17" fillId="2" fontId="8" numFmtId="0" xfId="0" applyAlignment="1" applyBorder="1" applyFont="1">
      <alignment readingOrder="0" vertical="bottom"/>
    </xf>
    <xf borderId="17" fillId="2" fontId="9" numFmtId="0" xfId="0" applyAlignment="1" applyBorder="1" applyFont="1">
      <alignment horizontal="left" vertical="bottom"/>
    </xf>
    <xf borderId="17" fillId="2" fontId="9" numFmtId="0" xfId="0" applyAlignment="1" applyBorder="1" applyFont="1">
      <alignment vertical="bottom"/>
    </xf>
    <xf borderId="17" fillId="2" fontId="9" numFmtId="0" xfId="0" applyAlignment="1" applyBorder="1" applyFont="1">
      <alignment readingOrder="0"/>
    </xf>
    <xf borderId="17" fillId="2" fontId="8" numFmtId="0" xfId="0" applyAlignment="1" applyBorder="1" applyFont="1">
      <alignment readingOrder="0"/>
    </xf>
    <xf borderId="4" fillId="3" fontId="10" numFmtId="0" xfId="0" applyBorder="1" applyFont="1"/>
    <xf borderId="5" fillId="3" fontId="10" numFmtId="0" xfId="0" applyAlignment="1" applyBorder="1" applyFont="1">
      <alignment horizontal="center"/>
    </xf>
    <xf borderId="0" fillId="3" fontId="10" numFmtId="0" xfId="0" applyAlignment="1" applyFont="1">
      <alignment horizontal="center"/>
    </xf>
    <xf borderId="18" fillId="2" fontId="8" numFmtId="0" xfId="0" applyAlignment="1" applyBorder="1" applyFont="1">
      <alignment horizontal="center" readingOrder="0"/>
    </xf>
    <xf borderId="19" fillId="0" fontId="11" numFmtId="0" xfId="0" applyAlignment="1" applyBorder="1" applyFont="1">
      <alignment horizontal="center"/>
    </xf>
    <xf borderId="5" fillId="0" fontId="10" numFmtId="0" xfId="0" applyBorder="1" applyFont="1"/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/>
    </xf>
    <xf borderId="20" fillId="0" fontId="10" numFmtId="0" xfId="0" applyAlignment="1" applyBorder="1" applyFont="1">
      <alignment readingOrder="0" vertical="bottom"/>
    </xf>
    <xf borderId="21" fillId="3" fontId="10" numFmtId="0" xfId="0" applyBorder="1" applyFont="1"/>
    <xf borderId="22" fillId="2" fontId="9" numFmtId="0" xfId="0" applyAlignment="1" applyBorder="1" applyFont="1">
      <alignment horizontal="center" readingOrder="0"/>
    </xf>
    <xf borderId="23" fillId="0" fontId="5" numFmtId="0" xfId="0" applyBorder="1" applyFont="1"/>
    <xf borderId="18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/>
    </xf>
    <xf borderId="20" fillId="0" fontId="10" numFmtId="0" xfId="0" applyAlignment="1" applyBorder="1" applyFont="1">
      <alignment vertical="bottom"/>
    </xf>
    <xf borderId="24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4" fillId="0" fontId="10" numFmtId="0" xfId="0" applyBorder="1" applyFont="1"/>
    <xf borderId="18" fillId="2" fontId="9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/>
    </xf>
    <xf borderId="5" fillId="3" fontId="10" numFmtId="0" xfId="0" applyBorder="1" applyFont="1"/>
    <xf borderId="2" fillId="3" fontId="10" numFmtId="0" xfId="0" applyAlignment="1" applyBorder="1" applyFont="1">
      <alignment horizontal="center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horizontal="left" vertical="bottom"/>
    </xf>
    <xf borderId="0" fillId="2" fontId="9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25" fillId="2" fontId="10" numFmtId="0" xfId="0" applyAlignment="1" applyBorder="1" applyFont="1">
      <alignment readingOrder="0" vertical="bottom"/>
    </xf>
    <xf borderId="25" fillId="2" fontId="10" numFmtId="0" xfId="0" applyAlignment="1" applyBorder="1" applyFont="1">
      <alignment horizontal="left" vertical="bottom"/>
    </xf>
    <xf borderId="25" fillId="2" fontId="10" numFmtId="0" xfId="0" applyAlignment="1" applyBorder="1" applyFont="1">
      <alignment vertical="bottom"/>
    </xf>
    <xf borderId="26" fillId="2" fontId="10" numFmtId="0" xfId="0" applyAlignment="1" applyBorder="1" applyFont="1">
      <alignment readingOrder="0" vertical="bottom"/>
    </xf>
    <xf borderId="0" fillId="3" fontId="10" numFmtId="0" xfId="0" applyFont="1"/>
    <xf borderId="0" fillId="5" fontId="13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Font="1"/>
    <xf borderId="10" fillId="2" fontId="4" numFmtId="164" xfId="0" applyAlignment="1" applyBorder="1" applyFont="1" applyNumberFormat="1">
      <alignment horizontal="left" readingOrder="0"/>
    </xf>
    <xf borderId="5" fillId="3" fontId="4" numFmtId="164" xfId="0" applyAlignment="1" applyBorder="1" applyFont="1" applyNumberFormat="1">
      <alignment horizontal="left" readingOrder="0"/>
    </xf>
    <xf borderId="0" fillId="4" fontId="6" numFmtId="0" xfId="0" applyAlignment="1" applyFont="1">
      <alignment horizontal="center" readingOrder="0"/>
    </xf>
    <xf borderId="5" fillId="3" fontId="6" numFmtId="0" xfId="0" applyAlignment="1" applyBorder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5" fillId="3" fontId="7" numFmtId="0" xfId="0" applyAlignment="1" applyBorder="1" applyFont="1">
      <alignment horizontal="center" readingOrder="0"/>
    </xf>
    <xf borderId="5" fillId="3" fontId="1" numFmtId="164" xfId="0" applyAlignment="1" applyBorder="1" applyFont="1" applyNumberFormat="1">
      <alignment horizontal="left" readingOrder="0"/>
    </xf>
    <xf borderId="0" fillId="5" fontId="7" numFmtId="0" xfId="0" applyAlignment="1" applyFont="1">
      <alignment horizontal="center" readingOrder="0" shrinkToFit="0" wrapText="1"/>
    </xf>
    <xf borderId="0" fillId="5" fontId="14" numFmtId="164" xfId="0" applyAlignment="1" applyFont="1" applyNumberFormat="1">
      <alignment horizontal="center" readingOrder="0"/>
    </xf>
    <xf borderId="5" fillId="3" fontId="14" numFmtId="164" xfId="0" applyAlignment="1" applyBorder="1" applyFont="1" applyNumberFormat="1">
      <alignment horizontal="center" readingOrder="0"/>
    </xf>
    <xf borderId="27" fillId="2" fontId="9" numFmtId="0" xfId="0" applyAlignment="1" applyBorder="1" applyFont="1">
      <alignment vertical="bottom"/>
    </xf>
    <xf borderId="28" fillId="2" fontId="9" numFmtId="0" xfId="0" applyAlignment="1" applyBorder="1" applyFont="1">
      <alignment vertical="bottom"/>
    </xf>
    <xf borderId="29" fillId="2" fontId="9" numFmtId="0" xfId="0" applyAlignment="1" applyBorder="1" applyFont="1">
      <alignment horizontal="left" readingOrder="0"/>
    </xf>
    <xf borderId="27" fillId="3" fontId="10" numFmtId="0" xfId="0" applyAlignment="1" applyBorder="1" applyFont="1">
      <alignment vertical="bottom"/>
    </xf>
    <xf borderId="28" fillId="3" fontId="10" numFmtId="0" xfId="0" applyAlignment="1" applyBorder="1" applyFont="1">
      <alignment vertical="bottom"/>
    </xf>
    <xf borderId="29" fillId="3" fontId="10" numFmtId="0" xfId="0" applyAlignment="1" applyBorder="1" applyFont="1">
      <alignment horizontal="left"/>
    </xf>
    <xf borderId="27" fillId="0" fontId="10" numFmtId="0" xfId="0" applyAlignment="1" applyBorder="1" applyFont="1">
      <alignment vertical="bottom"/>
    </xf>
    <xf borderId="29" fillId="3" fontId="10" numFmtId="0" xfId="0" applyAlignment="1" applyBorder="1" applyFont="1">
      <alignment horizontal="left" vertical="bottom"/>
    </xf>
    <xf borderId="29" fillId="3" fontId="10" numFmtId="0" xfId="0" applyAlignment="1" applyBorder="1" applyFont="1">
      <alignment horizontal="left" readingOrder="0"/>
    </xf>
    <xf borderId="0" fillId="0" fontId="12" numFmtId="0" xfId="0" applyAlignment="1" applyFont="1">
      <alignment horizontal="center" vertical="bottom"/>
    </xf>
    <xf borderId="0" fillId="2" fontId="9" numFmtId="0" xfId="0" applyAlignment="1" applyFont="1">
      <alignment horizontal="center" readingOrder="0"/>
    </xf>
    <xf borderId="30" fillId="2" fontId="9" numFmtId="0" xfId="0" applyAlignment="1" applyBorder="1" applyFont="1">
      <alignment horizontal="center" readingOrder="0"/>
    </xf>
    <xf borderId="31" fillId="0" fontId="5" numFmtId="0" xfId="0" applyBorder="1" applyFont="1"/>
    <xf borderId="0" fillId="2" fontId="8" numFmtId="0" xfId="0" applyAlignment="1" applyFont="1">
      <alignment horizontal="center" readingOrder="0"/>
    </xf>
    <xf borderId="31" fillId="2" fontId="9" numFmtId="0" xfId="0" applyAlignment="1" applyBorder="1" applyFont="1">
      <alignment horizontal="center" readingOrder="0"/>
    </xf>
    <xf borderId="32" fillId="3" fontId="10" numFmtId="0" xfId="0" applyAlignment="1" applyBorder="1" applyFont="1">
      <alignment readingOrder="0"/>
    </xf>
    <xf borderId="0" fillId="3" fontId="10" numFmtId="0" xfId="0" applyAlignment="1" applyFont="1">
      <alignment readingOrder="0"/>
    </xf>
    <xf borderId="33" fillId="3" fontId="10" numFmtId="0" xfId="0" applyAlignment="1" applyBorder="1" applyFont="1">
      <alignment readingOrder="0"/>
    </xf>
    <xf borderId="31" fillId="3" fontId="10" numFmtId="0" xfId="0" applyAlignment="1" applyBorder="1" applyFont="1">
      <alignment readingOrder="0"/>
    </xf>
    <xf borderId="30" fillId="3" fontId="10" numFmtId="0" xfId="0" applyAlignment="1" applyBorder="1" applyFont="1">
      <alignment readingOrder="0"/>
    </xf>
    <xf borderId="32" fillId="3" fontId="15" numFmtId="0" xfId="0" applyAlignment="1" applyBorder="1" applyFont="1">
      <alignment readingOrder="0"/>
    </xf>
    <xf borderId="33" fillId="3" fontId="15" numFmtId="0" xfId="0" applyAlignment="1" applyBorder="1" applyFont="1">
      <alignment readingOrder="0"/>
    </xf>
    <xf borderId="32" fillId="3" fontId="10" numFmtId="0" xfId="0" applyBorder="1" applyFont="1"/>
    <xf borderId="0" fillId="3" fontId="15" numFmtId="0" xfId="0" applyAlignment="1" applyFont="1">
      <alignment readingOrder="0"/>
    </xf>
    <xf borderId="33" fillId="3" fontId="10" numFmtId="0" xfId="0" applyBorder="1" applyFont="1"/>
    <xf borderId="0" fillId="3" fontId="10" numFmtId="0" xfId="0" applyAlignment="1" applyFont="1">
      <alignment readingOrder="0"/>
    </xf>
    <xf borderId="31" fillId="3" fontId="10" numFmtId="0" xfId="0" applyAlignment="1" applyBorder="1" applyFont="1">
      <alignment readingOrder="0"/>
    </xf>
    <xf borderId="30" fillId="3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32" fillId="3" fontId="10" numFmtId="0" xfId="0" applyAlignment="1" applyBorder="1" applyFont="1">
      <alignment readingOrder="0"/>
    </xf>
    <xf borderId="30" fillId="3" fontId="10" numFmtId="0" xfId="0" applyBorder="1" applyFont="1"/>
    <xf borderId="33" fillId="3" fontId="10" numFmtId="0" xfId="0" applyAlignment="1" applyBorder="1" applyFont="1">
      <alignment readingOrder="0"/>
    </xf>
    <xf borderId="31" fillId="3" fontId="10" numFmtId="0" xfId="0" applyBorder="1" applyFont="1"/>
    <xf borderId="0" fillId="0" fontId="10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2" fontId="10" numFmtId="0" xfId="0" applyAlignment="1" applyFont="1">
      <alignment readingOrder="0"/>
    </xf>
    <xf borderId="30" fillId="2" fontId="10" numFmtId="0" xfId="0" applyBorder="1" applyFont="1"/>
    <xf borderId="0" fillId="2" fontId="10" numFmtId="0" xfId="0" applyFont="1"/>
    <xf borderId="31" fillId="2" fontId="10" numFmtId="0" xfId="0" applyBorder="1" applyFont="1"/>
    <xf borderId="0" fillId="5" fontId="16" numFmtId="0" xfId="0" applyAlignment="1" applyFont="1">
      <alignment horizontal="left" readingOrder="0"/>
    </xf>
    <xf borderId="30" fillId="0" fontId="10" numFmtId="0" xfId="0" applyAlignment="1" applyBorder="1" applyFont="1">
      <alignment readingOrder="0"/>
    </xf>
    <xf borderId="30" fillId="0" fontId="10" numFmtId="0" xfId="0" applyBorder="1" applyFont="1"/>
    <xf borderId="31" fillId="0" fontId="10" numFmtId="0" xfId="0" applyBorder="1" applyFont="1"/>
    <xf borderId="31" fillId="0" fontId="10" numFmtId="0" xfId="0" applyAlignment="1" applyBorder="1" applyFont="1">
      <alignment readingOrder="0"/>
    </xf>
    <xf borderId="30" fillId="0" fontId="10" numFmtId="0" xfId="0" applyAlignment="1" applyBorder="1" applyFont="1">
      <alignment readingOrder="0"/>
    </xf>
    <xf borderId="31" fillId="0" fontId="10" numFmtId="0" xfId="0" applyAlignment="1" applyBorder="1" applyFont="1">
      <alignment readingOrder="0"/>
    </xf>
    <xf borderId="34" fillId="0" fontId="12" numFmtId="0" xfId="0" applyAlignment="1" applyBorder="1" applyFont="1">
      <alignment readingOrder="0"/>
    </xf>
    <xf borderId="34" fillId="0" fontId="10" numFmtId="0" xfId="0" applyBorder="1" applyFont="1"/>
    <xf borderId="35" fillId="0" fontId="10" numFmtId="0" xfId="0" applyBorder="1" applyFont="1"/>
    <xf borderId="0" fillId="0" fontId="12" numFmtId="0" xfId="0" applyAlignment="1" applyFont="1">
      <alignment readingOrder="0"/>
    </xf>
    <xf borderId="0" fillId="2" fontId="17" numFmtId="0" xfId="0" applyAlignment="1" applyFont="1">
      <alignment horizontal="left" vertical="bottom"/>
    </xf>
    <xf borderId="0" fillId="2" fontId="17" numFmtId="0" xfId="0" applyAlignment="1" applyFont="1">
      <alignment horizontal="left" readingOrder="0" vertical="bottom"/>
    </xf>
    <xf borderId="0" fillId="3" fontId="18" numFmtId="0" xfId="0" applyAlignment="1" applyFont="1">
      <alignment horizontal="left" readingOrder="0" vertical="bottom"/>
    </xf>
    <xf borderId="36" fillId="0" fontId="19" numFmtId="0" xfId="0" applyAlignment="1" applyBorder="1" applyFont="1">
      <alignment horizontal="left" readingOrder="0" shrinkToFit="0" wrapText="0"/>
    </xf>
    <xf borderId="36" fillId="0" fontId="19" numFmtId="0" xfId="0" applyAlignment="1" applyBorder="1" applyFont="1">
      <alignment horizontal="left" shrinkToFit="0" wrapText="0"/>
    </xf>
    <xf borderId="36" fillId="0" fontId="19" numFmtId="0" xfId="0" applyAlignment="1" applyBorder="1" applyFont="1">
      <alignment horizontal="left" shrinkToFit="0" wrapText="0"/>
    </xf>
    <xf borderId="0" fillId="3" fontId="18" numFmtId="0" xfId="0" applyAlignment="1" applyFont="1">
      <alignment horizontal="left" readingOrder="0"/>
    </xf>
    <xf borderId="0" fillId="3" fontId="19" numFmtId="0" xfId="0" applyAlignment="1" applyFont="1">
      <alignment horizontal="left" readingOrder="0" shrinkToFit="0" wrapText="0"/>
    </xf>
    <xf borderId="0" fillId="3" fontId="18" numFmtId="0" xfId="0" applyAlignment="1" applyFont="1">
      <alignment horizontal="left"/>
    </xf>
    <xf borderId="0" fillId="2" fontId="17" numFmtId="0" xfId="0" applyAlignment="1" applyFont="1">
      <alignment readingOrder="0"/>
    </xf>
    <xf borderId="37" fillId="2" fontId="17" numFmtId="0" xfId="0" applyAlignment="1" applyBorder="1" applyFont="1">
      <alignment horizontal="left" readingOrder="0" shrinkToFit="0" wrapText="0"/>
    </xf>
    <xf borderId="0" fillId="2" fontId="20" numFmtId="0" xfId="0" applyAlignment="1" applyFont="1">
      <alignment horizontal="left" readingOrder="0" shrinkToFit="0" wrapText="0"/>
    </xf>
    <xf borderId="38" fillId="2" fontId="17" numFmtId="0" xfId="0" applyAlignment="1" applyBorder="1" applyFont="1">
      <alignment readingOrder="0"/>
    </xf>
    <xf borderId="20" fillId="2" fontId="17" numFmtId="0" xfId="0" applyAlignment="1" applyBorder="1" applyFont="1">
      <alignment readingOrder="0"/>
    </xf>
    <xf borderId="0" fillId="2" fontId="20" numFmtId="0" xfId="0" applyAlignment="1" applyFont="1">
      <alignment readingOrder="0"/>
    </xf>
    <xf borderId="20" fillId="2" fontId="20" numFmtId="0" xfId="0" applyAlignment="1" applyBorder="1" applyFont="1">
      <alignment readingOrder="0"/>
    </xf>
    <xf borderId="0" fillId="0" fontId="19" numFmtId="0" xfId="0" applyAlignment="1" applyFont="1">
      <alignment horizontal="left" readingOrder="0" shrinkToFit="0" wrapText="0"/>
    </xf>
    <xf borderId="0" fillId="0" fontId="18" numFmtId="0" xfId="0" applyFont="1"/>
    <xf borderId="0" fillId="0" fontId="18" numFmtId="0" xfId="0" applyFont="1"/>
    <xf borderId="0" fillId="0" fontId="21" numFmtId="0" xfId="0" applyAlignment="1" applyFont="1">
      <alignment horizontal="left" readingOrder="0" shrinkToFit="0" wrapText="0"/>
    </xf>
    <xf borderId="0" fillId="0" fontId="22" numFmtId="0" xfId="0" applyAlignment="1" applyFont="1">
      <alignment horizontal="left" readingOrder="0" shrinkToFit="0" wrapText="0"/>
    </xf>
    <xf borderId="0" fillId="0" fontId="18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left" shrinkToFit="0" wrapText="0"/>
    </xf>
    <xf borderId="0" fillId="0" fontId="18" numFmtId="0" xfId="0" applyAlignment="1" applyFont="1">
      <alignment readingOrder="0"/>
    </xf>
    <xf borderId="0" fillId="0" fontId="11" numFmtId="0" xfId="0" applyFont="1"/>
    <xf borderId="0" fillId="3" fontId="12" numFmtId="0" xfId="0" applyAlignment="1" applyFont="1">
      <alignment horizontal="left" readingOrder="0" shrinkToFit="0" wrapText="0"/>
    </xf>
    <xf borderId="39" fillId="3" fontId="12" numFmtId="0" xfId="0" applyAlignment="1" applyBorder="1" applyFont="1">
      <alignment horizontal="left" readingOrder="0" shrinkToFit="0" wrapText="0"/>
    </xf>
    <xf borderId="40" fillId="0" fontId="5" numFmtId="0" xfId="0" applyBorder="1" applyFont="1"/>
    <xf borderId="0" fillId="3" fontId="8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0" fontId="23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vertical="bottom"/>
    </xf>
    <xf borderId="0" fillId="5" fontId="23" numFmtId="0" xfId="0" applyFont="1"/>
    <xf borderId="0" fillId="3" fontId="10" numFmtId="0" xfId="0" applyAlignment="1" applyFont="1">
      <alignment horizontal="left" readingOrder="0" shrinkToFit="0" wrapText="0"/>
    </xf>
    <xf borderId="0" fillId="5" fontId="23" numFmtId="0" xfId="0" applyAlignment="1" applyFont="1">
      <alignment readingOrder="0"/>
    </xf>
    <xf borderId="41" fillId="3" fontId="10" numFmtId="0" xfId="0" applyAlignment="1" applyBorder="1" applyFont="1">
      <alignment horizontal="left"/>
    </xf>
    <xf borderId="42" fillId="3" fontId="10" numFmtId="0" xfId="0" applyBorder="1" applyFont="1"/>
    <xf borderId="43" fillId="3" fontId="10" numFmtId="0" xfId="0" applyBorder="1" applyFont="1"/>
    <xf borderId="35" fillId="2" fontId="9" numFmtId="0" xfId="0" applyAlignment="1" applyBorder="1" applyFont="1">
      <alignment horizontal="center" readingOrder="0"/>
    </xf>
    <xf borderId="34" fillId="0" fontId="5" numFmtId="0" xfId="0" applyBorder="1" applyFont="1"/>
    <xf borderId="44" fillId="0" fontId="5" numFmtId="0" xfId="0" applyBorder="1" applyFont="1"/>
    <xf borderId="45" fillId="3" fontId="12" numFmtId="0" xfId="0" applyAlignment="1" applyBorder="1" applyFont="1">
      <alignment horizontal="left" shrinkToFit="0" wrapText="1"/>
    </xf>
    <xf borderId="46" fillId="3" fontId="12" numFmtId="0" xfId="0" applyAlignment="1" applyBorder="1" applyFont="1">
      <alignment horizontal="left" shrinkToFit="0" wrapText="1"/>
    </xf>
    <xf borderId="47" fillId="3" fontId="12" numFmtId="0" xfId="0" applyAlignment="1" applyBorder="1" applyFont="1">
      <alignment horizontal="left" readingOrder="0" shrinkToFit="0" wrapText="1"/>
    </xf>
    <xf borderId="48" fillId="3" fontId="12" numFmtId="0" xfId="0" applyAlignment="1" applyBorder="1" applyFont="1">
      <alignment horizontal="left" shrinkToFit="0" wrapText="1"/>
    </xf>
    <xf borderId="0" fillId="3" fontId="12" numFmtId="0" xfId="0" applyAlignment="1" applyFont="1">
      <alignment horizontal="left" shrinkToFit="0" wrapText="1"/>
    </xf>
    <xf borderId="49" fillId="6" fontId="12" numFmtId="0" xfId="0" applyAlignment="1" applyBorder="1" applyFill="1" applyFont="1">
      <alignment horizontal="left" shrinkToFit="0" wrapText="1"/>
    </xf>
    <xf borderId="50" fillId="6" fontId="12" numFmtId="0" xfId="0" applyAlignment="1" applyBorder="1" applyFont="1">
      <alignment horizontal="left" readingOrder="0" shrinkToFit="0" wrapText="1"/>
    </xf>
    <xf borderId="50" fillId="6" fontId="12" numFmtId="0" xfId="0" applyAlignment="1" applyBorder="1" applyFont="1">
      <alignment horizontal="left" shrinkToFit="0" wrapText="1"/>
    </xf>
    <xf borderId="51" fillId="6" fontId="12" numFmtId="0" xfId="0" applyAlignment="1" applyBorder="1" applyFont="1">
      <alignment horizontal="left" readingOrder="0" shrinkToFit="0" wrapText="1"/>
    </xf>
    <xf borderId="35" fillId="3" fontId="12" numFmtId="0" xfId="0" applyAlignment="1" applyBorder="1" applyFont="1">
      <alignment horizontal="left"/>
    </xf>
    <xf borderId="34" fillId="3" fontId="12" numFmtId="0" xfId="0" applyAlignment="1" applyBorder="1" applyFont="1">
      <alignment horizontal="left" readingOrder="0"/>
    </xf>
    <xf borderId="44" fillId="3" fontId="12" numFmtId="0" xfId="0" applyAlignment="1" applyBorder="1" applyFont="1">
      <alignment horizontal="left" readingOrder="0"/>
    </xf>
    <xf borderId="30" fillId="3" fontId="10" numFmtId="0" xfId="0" applyAlignment="1" applyBorder="1" applyFont="1">
      <alignment horizontal="left"/>
    </xf>
    <xf borderId="0" fillId="3" fontId="10" numFmtId="0" xfId="0" applyAlignment="1" applyFont="1">
      <alignment horizontal="left"/>
    </xf>
    <xf borderId="31" fillId="3" fontId="10" numFmtId="0" xfId="0" applyAlignment="1" applyBorder="1" applyFont="1">
      <alignment horizontal="left"/>
    </xf>
    <xf borderId="30" fillId="3" fontId="12" numFmtId="0" xfId="0" applyAlignment="1" applyBorder="1" applyFont="1">
      <alignment horizontal="left" readingOrder="0"/>
    </xf>
    <xf borderId="30" fillId="5" fontId="24" numFmtId="0" xfId="0" applyAlignment="1" applyBorder="1" applyFont="1">
      <alignment horizontal="left" readingOrder="0"/>
    </xf>
    <xf borderId="0" fillId="3" fontId="10" numFmtId="0" xfId="0" applyAlignment="1" applyFont="1">
      <alignment horizontal="left"/>
    </xf>
    <xf borderId="31" fillId="3" fontId="10" numFmtId="0" xfId="0" applyAlignment="1" applyBorder="1" applyFont="1">
      <alignment horizontal="left"/>
    </xf>
    <xf borderId="52" fillId="5" fontId="24" numFmtId="0" xfId="0" applyAlignment="1" applyBorder="1" applyFont="1">
      <alignment horizontal="left" readingOrder="0"/>
    </xf>
    <xf borderId="53" fillId="3" fontId="10" numFmtId="0" xfId="0" applyAlignment="1" applyBorder="1" applyFont="1">
      <alignment horizontal="left"/>
    </xf>
    <xf borderId="54" fillId="3" fontId="10" numFmtId="0" xfId="0" applyAlignment="1" applyBorder="1" applyFont="1">
      <alignment horizontal="left"/>
    </xf>
    <xf borderId="0" fillId="3" fontId="10" numFmtId="0" xfId="0" applyAlignment="1" applyFont="1">
      <alignment horizontal="left" readingOrder="0"/>
    </xf>
    <xf borderId="30" fillId="3" fontId="10" numFmtId="0" xfId="0" applyAlignment="1" applyBorder="1" applyFont="1">
      <alignment horizontal="left" readingOrder="0"/>
    </xf>
    <xf borderId="55" fillId="3" fontId="10" numFmtId="0" xfId="0" applyAlignment="1" applyBorder="1" applyFont="1">
      <alignment horizontal="left"/>
    </xf>
    <xf borderId="56" fillId="3" fontId="10" numFmtId="0" xfId="0" applyBorder="1" applyFont="1"/>
    <xf borderId="57" fillId="3" fontId="10" numFmtId="0" xfId="0" applyBorder="1" applyFont="1"/>
    <xf borderId="35" fillId="2" fontId="9" numFmtId="0" xfId="0" applyAlignment="1" applyBorder="1" applyFont="1">
      <alignment horizontal="left" readingOrder="0"/>
    </xf>
    <xf borderId="30" fillId="3" fontId="12" numFmtId="0" xfId="0" applyAlignment="1" applyBorder="1" applyFont="1">
      <alignment horizontal="left"/>
    </xf>
    <xf borderId="0" fillId="3" fontId="12" numFmtId="0" xfId="0" applyAlignment="1" applyFont="1">
      <alignment horizontal="left"/>
    </xf>
    <xf borderId="31" fillId="3" fontId="12" numFmtId="0" xfId="0" applyAlignment="1" applyBorder="1" applyFont="1">
      <alignment horizontal="left"/>
    </xf>
    <xf borderId="49" fillId="6" fontId="12" numFmtId="0" xfId="0" applyAlignment="1" applyBorder="1" applyFont="1">
      <alignment horizontal="left"/>
    </xf>
    <xf borderId="50" fillId="6" fontId="12" numFmtId="0" xfId="0" applyAlignment="1" applyBorder="1" applyFont="1">
      <alignment horizontal="left" readingOrder="0"/>
    </xf>
    <xf borderId="50" fillId="6" fontId="12" numFmtId="0" xfId="0" applyAlignment="1" applyBorder="1" applyFont="1">
      <alignment horizontal="left"/>
    </xf>
    <xf borderId="51" fillId="6" fontId="12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23" numFmtId="0" xfId="0" applyAlignment="1" applyFont="1">
      <alignment horizontal="left" shrinkToFit="0" wrapText="0"/>
    </xf>
    <xf borderId="41" fillId="3" fontId="10" numFmtId="0" xfId="0" applyAlignment="1" applyBorder="1" applyFont="1">
      <alignment horizontal="center"/>
    </xf>
    <xf borderId="42" fillId="3" fontId="10" numFmtId="0" xfId="0" applyAlignment="1" applyBorder="1" applyFont="1">
      <alignment horizontal="center"/>
    </xf>
    <xf borderId="43" fillId="3" fontId="10" numFmtId="0" xfId="0" applyAlignment="1" applyBorder="1" applyFont="1">
      <alignment horizontal="center"/>
    </xf>
    <xf borderId="8" fillId="3" fontId="9" numFmtId="0" xfId="0" applyAlignment="1" applyBorder="1" applyFont="1">
      <alignment horizontal="left" shrinkToFit="0" wrapText="1"/>
    </xf>
    <xf borderId="9" fillId="3" fontId="9" numFmtId="0" xfId="0" applyAlignment="1" applyBorder="1" applyFont="1">
      <alignment horizontal="left" shrinkToFit="0" wrapText="1"/>
    </xf>
    <xf borderId="42" fillId="3" fontId="10" numFmtId="0" xfId="0" applyAlignment="1" applyBorder="1" applyFont="1">
      <alignment horizontal="left"/>
    </xf>
    <xf borderId="43" fillId="3" fontId="10" numFmtId="0" xfId="0" applyAlignment="1" applyBorder="1" applyFont="1">
      <alignment horizontal="left"/>
    </xf>
    <xf borderId="8" fillId="3" fontId="9" numFmtId="0" xfId="0" applyAlignment="1" applyBorder="1" applyFont="1">
      <alignment horizontal="left"/>
    </xf>
    <xf borderId="56" fillId="3" fontId="10" numFmtId="0" xfId="0" applyAlignment="1" applyBorder="1" applyFont="1">
      <alignment horizontal="left"/>
    </xf>
    <xf borderId="57" fillId="3" fontId="10" numFmtId="0" xfId="0" applyAlignment="1" applyBorder="1" applyFont="1">
      <alignment horizontal="left"/>
    </xf>
    <xf borderId="58" fillId="6" fontId="10" numFmtId="0" xfId="0" applyBorder="1" applyFont="1"/>
    <xf borderId="58" fillId="6" fontId="12" numFmtId="0" xfId="0" applyAlignment="1" applyBorder="1" applyFont="1">
      <alignment horizontal="center" readingOrder="0" vertical="bottom"/>
    </xf>
    <xf borderId="58" fillId="6" fontId="12" numFmtId="0" xfId="0" applyAlignment="1" applyBorder="1" applyFont="1">
      <alignment horizontal="center" vertical="bottom"/>
    </xf>
    <xf borderId="58" fillId="6" fontId="10" numFmtId="0" xfId="0" applyAlignment="1" applyBorder="1" applyFont="1">
      <alignment horizontal="center"/>
    </xf>
    <xf borderId="59" fillId="6" fontId="10" numFmtId="0" xfId="0" applyAlignment="1" applyBorder="1" applyFont="1">
      <alignment horizontal="center"/>
    </xf>
    <xf borderId="59" fillId="6" fontId="12" numFmtId="0" xfId="0" applyAlignment="1" applyBorder="1" applyFont="1">
      <alignment horizontal="center" readingOrder="0" vertical="bottom"/>
    </xf>
    <xf borderId="60" fillId="6" fontId="12" numFmtId="0" xfId="0" applyAlignment="1" applyBorder="1" applyFont="1">
      <alignment horizontal="center" readingOrder="0" vertical="bottom"/>
    </xf>
    <xf borderId="58" fillId="6" fontId="12" numFmtId="0" xfId="0" applyAlignment="1" applyBorder="1" applyFont="1">
      <alignment readingOrder="0"/>
    </xf>
    <xf borderId="59" fillId="0" fontId="10" numFmtId="0" xfId="0" applyAlignment="1" applyBorder="1" applyFont="1">
      <alignment shrinkToFit="0" wrapText="0"/>
    </xf>
    <xf borderId="59" fillId="0" fontId="10" numFmtId="0" xfId="0" applyAlignment="1" applyBorder="1" applyFont="1">
      <alignment horizontal="center" readingOrder="0" shrinkToFit="0" wrapText="0"/>
    </xf>
    <xf borderId="59" fillId="0" fontId="10" numFmtId="0" xfId="0" applyAlignment="1" applyBorder="1" applyFont="1">
      <alignment horizontal="center" shrinkToFit="0" wrapText="0"/>
    </xf>
    <xf borderId="60" fillId="0" fontId="10" numFmtId="0" xfId="0" applyAlignment="1" applyBorder="1" applyFont="1">
      <alignment horizontal="center" shrinkToFit="0" wrapText="0"/>
    </xf>
    <xf borderId="61" fillId="0" fontId="25" numFmtId="0" xfId="0" applyAlignment="1" applyBorder="1" applyFont="1">
      <alignment horizontal="center" readingOrder="0" shrinkToFit="0" wrapText="0"/>
    </xf>
    <xf borderId="62" fillId="0" fontId="26" numFmtId="0" xfId="0" applyAlignment="1" applyBorder="1" applyFont="1">
      <alignment horizontal="center" readingOrder="0" shrinkToFit="0" wrapText="0"/>
    </xf>
    <xf borderId="61" fillId="0" fontId="10" numFmtId="0" xfId="0" applyAlignment="1" applyBorder="1" applyFont="1">
      <alignment horizontal="center" readingOrder="0" shrinkToFit="0" wrapText="0"/>
    </xf>
    <xf borderId="58" fillId="6" fontId="12" numFmtId="0" xfId="0" applyBorder="1" applyFont="1"/>
    <xf borderId="59" fillId="0" fontId="10" numFmtId="0" xfId="0" applyAlignment="1" applyBorder="1" applyFont="1">
      <alignment readingOrder="0"/>
    </xf>
    <xf borderId="63" fillId="0" fontId="10" numFmtId="0" xfId="0" applyAlignment="1" applyBorder="1" applyFont="1">
      <alignment horizontal="center"/>
    </xf>
    <xf borderId="63" fillId="0" fontId="10" numFmtId="166" xfId="0" applyAlignment="1" applyBorder="1" applyFont="1" applyNumberFormat="1">
      <alignment horizontal="center"/>
    </xf>
    <xf borderId="64" fillId="0" fontId="10" numFmtId="166" xfId="0" applyAlignment="1" applyBorder="1" applyFont="1" applyNumberFormat="1">
      <alignment horizontal="center"/>
    </xf>
    <xf borderId="63" fillId="0" fontId="10" numFmtId="0" xfId="0" applyAlignment="1" applyBorder="1" applyFont="1">
      <alignment horizontal="center" readingOrder="0"/>
    </xf>
    <xf borderId="64" fillId="0" fontId="10" numFmtId="0" xfId="0" applyAlignment="1" applyBorder="1" applyFont="1">
      <alignment horizontal="center" readingOrder="0"/>
    </xf>
    <xf borderId="64" fillId="0" fontId="10" numFmtId="0" xfId="0" applyAlignment="1" applyBorder="1" applyFont="1">
      <alignment horizontal="center"/>
    </xf>
    <xf borderId="63" fillId="0" fontId="10" numFmtId="167" xfId="0" applyAlignment="1" applyBorder="1" applyFont="1" applyNumberFormat="1">
      <alignment horizontal="center" readingOrder="0"/>
    </xf>
    <xf borderId="0" fillId="6" fontId="12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167" xfId="0" applyAlignment="1" applyFont="1" applyNumberFormat="1">
      <alignment horizontal="center" readingOrder="0"/>
    </xf>
    <xf borderId="0" fillId="0" fontId="10" numFmtId="0" xfId="0" applyAlignment="1" applyFont="1">
      <alignment horizontal="center"/>
    </xf>
    <xf borderId="0" fillId="6" fontId="12" numFmtId="0" xfId="0" applyFont="1"/>
    <xf borderId="0" fillId="0" fontId="10" numFmtId="166" xfId="0" applyAlignment="1" applyFont="1" applyNumberFormat="1">
      <alignment horizontal="center"/>
    </xf>
    <xf borderId="65" fillId="6" fontId="10" numFmtId="0" xfId="0" applyBorder="1" applyFont="1"/>
    <xf borderId="66" fillId="6" fontId="12" numFmtId="0" xfId="0" applyAlignment="1" applyBorder="1" applyFont="1">
      <alignment horizontal="center" readingOrder="0" vertical="bottom"/>
    </xf>
    <xf borderId="67" fillId="3" fontId="10" numFmtId="0" xfId="0" applyBorder="1" applyFont="1"/>
    <xf borderId="68" fillId="5" fontId="12" numFmtId="0" xfId="0" applyAlignment="1" applyBorder="1" applyFont="1">
      <alignment horizontal="right" readingOrder="0"/>
    </xf>
    <xf borderId="69" fillId="5" fontId="5" numFmtId="0" xfId="0" applyBorder="1" applyFont="1"/>
    <xf borderId="66" fillId="5" fontId="10" numFmtId="0" xfId="0" applyAlignment="1" applyBorder="1" applyFont="1">
      <alignment horizontal="center" readingOrder="0" shrinkToFit="0" wrapText="0"/>
    </xf>
    <xf borderId="59" fillId="5" fontId="10" numFmtId="0" xfId="0" applyAlignment="1" applyBorder="1" applyFont="1">
      <alignment horizontal="center" readingOrder="0" shrinkToFit="0" wrapText="0"/>
    </xf>
    <xf borderId="24" fillId="3" fontId="10" numFmtId="0" xfId="0" applyBorder="1" applyFont="1"/>
    <xf borderId="70" fillId="3" fontId="10" numFmtId="0" xfId="0" applyBorder="1" applyFont="1"/>
    <xf borderId="66" fillId="7" fontId="27" numFmtId="0" xfId="0" applyAlignment="1" applyBorder="1" applyFill="1" applyFont="1">
      <alignment horizontal="center" shrinkToFit="0" vertical="bottom" wrapText="0"/>
    </xf>
    <xf borderId="66" fillId="7" fontId="28" numFmtId="0" xfId="0" applyAlignment="1" applyBorder="1" applyFont="1">
      <alignment horizontal="center" shrinkToFit="0" vertical="bottom" wrapText="0"/>
    </xf>
    <xf borderId="0" fillId="7" fontId="29" numFmtId="0" xfId="0" applyAlignment="1" applyFont="1">
      <alignment horizontal="center" shrinkToFit="0" vertical="bottom" wrapText="0"/>
    </xf>
    <xf borderId="34" fillId="0" fontId="12" numFmtId="0" xfId="0" applyAlignment="1" applyBorder="1" applyFont="1">
      <alignment horizontal="center" readingOrder="0" textRotation="90" vertical="center"/>
    </xf>
    <xf borderId="34" fillId="5" fontId="12" numFmtId="0" xfId="0" applyBorder="1" applyFont="1"/>
    <xf borderId="34" fillId="5" fontId="10" numFmtId="0" xfId="0" applyBorder="1" applyFont="1"/>
    <xf borderId="34" fillId="5" fontId="12" numFmtId="0" xfId="0" applyAlignment="1" applyBorder="1" applyFont="1">
      <alignment horizontal="right" readingOrder="0"/>
    </xf>
    <xf borderId="44" fillId="5" fontId="5" numFmtId="0" xfId="0" applyBorder="1" applyFont="1"/>
    <xf borderId="34" fillId="5" fontId="10" numFmtId="0" xfId="0" applyAlignment="1" applyBorder="1" applyFont="1">
      <alignment readingOrder="0"/>
    </xf>
    <xf borderId="34" fillId="5" fontId="10" numFmtId="0" xfId="0" applyAlignment="1" applyBorder="1" applyFont="1">
      <alignment horizontal="center" readingOrder="0"/>
    </xf>
    <xf borderId="34" fillId="5" fontId="10" numFmtId="0" xfId="0" applyAlignment="1" applyBorder="1" applyFont="1">
      <alignment horizontal="center"/>
    </xf>
    <xf borderId="0" fillId="7" fontId="12" numFmtId="0" xfId="0" applyFont="1"/>
    <xf borderId="31" fillId="7" fontId="12" numFmtId="0" xfId="0" applyBorder="1" applyFont="1"/>
    <xf borderId="0" fillId="7" fontId="10" numFmtId="0" xfId="0" applyFont="1"/>
    <xf borderId="0" fillId="7" fontId="10" numFmtId="0" xfId="0" applyAlignment="1" applyFont="1">
      <alignment horizontal="center"/>
    </xf>
    <xf borderId="0" fillId="7" fontId="10" numFmtId="166" xfId="0" applyAlignment="1" applyFont="1" applyNumberFormat="1">
      <alignment horizontal="center"/>
    </xf>
    <xf borderId="0" fillId="5" fontId="12" numFmtId="0" xfId="0" applyFont="1"/>
    <xf borderId="31" fillId="5" fontId="12" numFmtId="0" xfId="0" applyBorder="1" applyFont="1"/>
    <xf borderId="0" fillId="5" fontId="10" numFmtId="0" xfId="0" applyFont="1"/>
    <xf borderId="0" fillId="5" fontId="10" numFmtId="0" xfId="0" applyAlignment="1" applyFont="1">
      <alignment horizontal="center"/>
    </xf>
    <xf borderId="0" fillId="5" fontId="10" numFmtId="166" xfId="0" applyAlignment="1" applyFont="1" applyNumberFormat="1">
      <alignment horizontal="center"/>
    </xf>
    <xf borderId="0" fillId="7" fontId="12" numFmtId="0" xfId="0" applyAlignment="1" applyFont="1">
      <alignment readingOrder="0"/>
    </xf>
    <xf borderId="0" fillId="8" fontId="10" numFmtId="166" xfId="0" applyAlignment="1" applyFill="1" applyFont="1" applyNumberFormat="1">
      <alignment horizontal="center"/>
    </xf>
    <xf borderId="0" fillId="8" fontId="10" numFmtId="0" xfId="0" applyAlignment="1" applyFont="1">
      <alignment horizontal="center"/>
    </xf>
    <xf borderId="53" fillId="0" fontId="5" numFmtId="0" xfId="0" applyBorder="1" applyFont="1"/>
    <xf borderId="53" fillId="7" fontId="12" numFmtId="0" xfId="0" applyBorder="1" applyFont="1"/>
    <xf borderId="54" fillId="7" fontId="12" numFmtId="0" xfId="0" applyBorder="1" applyFont="1"/>
    <xf borderId="53" fillId="7" fontId="10" numFmtId="166" xfId="0" applyBorder="1" applyFont="1" applyNumberFormat="1"/>
    <xf borderId="53" fillId="7" fontId="10" numFmtId="166" xfId="0" applyAlignment="1" applyBorder="1" applyFont="1" applyNumberFormat="1">
      <alignment horizontal="center"/>
    </xf>
    <xf borderId="71" fillId="0" fontId="12" numFmtId="0" xfId="0" applyBorder="1" applyFont="1"/>
    <xf borderId="46" fillId="5" fontId="12" numFmtId="0" xfId="0" applyBorder="1" applyFont="1"/>
    <xf borderId="46" fillId="5" fontId="10" numFmtId="0" xfId="0" applyBorder="1" applyFont="1"/>
    <xf borderId="46" fillId="5" fontId="12" numFmtId="0" xfId="0" applyAlignment="1" applyBorder="1" applyFont="1">
      <alignment readingOrder="0"/>
    </xf>
    <xf borderId="47" fillId="5" fontId="10" numFmtId="0" xfId="0" applyBorder="1" applyFont="1"/>
    <xf borderId="34" fillId="7" fontId="12" numFmtId="0" xfId="0" applyBorder="1" applyFont="1"/>
    <xf borderId="34" fillId="7" fontId="10" numFmtId="0" xfId="0" applyBorder="1" applyFont="1"/>
    <xf borderId="34" fillId="7" fontId="12" numFmtId="0" xfId="0" applyAlignment="1" applyBorder="1" applyFont="1">
      <alignment horizontal="right" readingOrder="0"/>
    </xf>
    <xf borderId="44" fillId="7" fontId="5" numFmtId="0" xfId="0" applyBorder="1" applyFont="1"/>
    <xf borderId="34" fillId="7" fontId="10" numFmtId="0" xfId="0" applyAlignment="1" applyBorder="1" applyFont="1">
      <alignment readingOrder="0"/>
    </xf>
    <xf borderId="34" fillId="7" fontId="10" numFmtId="0" xfId="0" applyAlignment="1" applyBorder="1" applyFont="1">
      <alignment horizontal="center" readingOrder="0"/>
    </xf>
    <xf borderId="34" fillId="7" fontId="10" numFmtId="0" xfId="0" applyAlignment="1" applyBorder="1" applyFont="1">
      <alignment horizontal="center"/>
    </xf>
    <xf borderId="0" fillId="5" fontId="10" numFmtId="166" xfId="0" applyFont="1" applyNumberFormat="1"/>
    <xf borderId="0" fillId="7" fontId="10" numFmtId="166" xfId="0" applyFont="1" applyNumberFormat="1"/>
    <xf borderId="53" fillId="5" fontId="12" numFmtId="0" xfId="0" applyBorder="1" applyFont="1"/>
    <xf borderId="54" fillId="5" fontId="12" numFmtId="0" xfId="0" applyBorder="1" applyFont="1"/>
    <xf borderId="53" fillId="5" fontId="10" numFmtId="166" xfId="0" applyBorder="1" applyFont="1" applyNumberFormat="1"/>
    <xf borderId="53" fillId="5" fontId="10" numFmtId="166" xfId="0" applyAlignment="1" applyBorder="1" applyFont="1" applyNumberFormat="1">
      <alignment horizontal="center"/>
    </xf>
    <xf borderId="71" fillId="3" fontId="12" numFmtId="0" xfId="0" applyBorder="1" applyFont="1"/>
    <xf borderId="46" fillId="3" fontId="12" numFmtId="0" xfId="0" applyBorder="1" applyFont="1"/>
    <xf borderId="46" fillId="3" fontId="10" numFmtId="0" xfId="0" applyBorder="1" applyFont="1"/>
    <xf borderId="46" fillId="3" fontId="12" numFmtId="0" xfId="0" applyAlignment="1" applyBorder="1" applyFont="1">
      <alignment readingOrder="0"/>
    </xf>
    <xf borderId="47" fillId="3" fontId="10" numFmtId="0" xfId="0" applyBorder="1" applyFont="1"/>
    <xf borderId="34" fillId="0" fontId="12" numFmtId="0" xfId="0" applyAlignment="1" applyBorder="1" applyFont="1">
      <alignment readingOrder="0" textRotation="90"/>
    </xf>
    <xf borderId="34" fillId="5" fontId="12" numFmtId="0" xfId="0" applyBorder="1" applyFont="1"/>
    <xf borderId="44" fillId="5" fontId="12" numFmtId="0" xfId="0" applyBorder="1" applyFont="1"/>
    <xf borderId="34" fillId="5" fontId="10" numFmtId="166" xfId="0" applyBorder="1" applyFont="1" applyNumberFormat="1"/>
    <xf borderId="34" fillId="5" fontId="10" numFmtId="166" xfId="0" applyAlignment="1" applyBorder="1" applyFont="1" applyNumberFormat="1">
      <alignment horizontal="center" vertical="bottom"/>
    </xf>
    <xf borderId="0" fillId="7" fontId="12" numFmtId="0" xfId="0" applyFont="1"/>
    <xf borderId="31" fillId="7" fontId="12" numFmtId="0" xfId="0" applyBorder="1" applyFont="1"/>
    <xf borderId="0" fillId="7" fontId="10" numFmtId="0" xfId="0" applyAlignment="1" applyFont="1">
      <alignment horizontal="center" vertical="bottom"/>
    </xf>
    <xf borderId="0" fillId="7" fontId="10" numFmtId="166" xfId="0" applyAlignment="1" applyFont="1" applyNumberFormat="1">
      <alignment horizontal="center" vertical="bottom"/>
    </xf>
    <xf borderId="0" fillId="5" fontId="12" numFmtId="0" xfId="0" applyFont="1"/>
    <xf borderId="31" fillId="5" fontId="12" numFmtId="0" xfId="0" applyBorder="1" applyFont="1"/>
    <xf borderId="0" fillId="5" fontId="10" numFmtId="0" xfId="0" applyAlignment="1" applyFont="1">
      <alignment horizontal="center" vertical="bottom"/>
    </xf>
    <xf borderId="0" fillId="5" fontId="10" numFmtId="166" xfId="0" applyAlignment="1" applyFont="1" applyNumberFormat="1">
      <alignment horizontal="center" vertical="bottom"/>
    </xf>
    <xf borderId="0" fillId="5" fontId="12" numFmtId="0" xfId="0" applyAlignment="1" applyFont="1">
      <alignment readingOrder="0"/>
    </xf>
    <xf borderId="0" fillId="8" fontId="10" numFmtId="166" xfId="0" applyAlignment="1" applyFont="1" applyNumberFormat="1">
      <alignment horizontal="center" vertical="bottom"/>
    </xf>
    <xf borderId="0" fillId="8" fontId="12" numFmtId="0" xfId="0" applyFont="1"/>
    <xf borderId="0" fillId="8" fontId="12" numFmtId="0" xfId="0" applyFont="1"/>
    <xf borderId="31" fillId="8" fontId="12" numFmtId="0" xfId="0" applyBorder="1" applyFont="1"/>
    <xf borderId="0" fillId="8" fontId="10" numFmtId="0" xfId="0" applyFont="1"/>
    <xf borderId="0" fillId="8" fontId="10" numFmtId="0" xfId="0" applyAlignment="1" applyFont="1">
      <alignment horizontal="center" vertical="bottom"/>
    </xf>
    <xf borderId="72" fillId="3" fontId="12" numFmtId="0" xfId="0" applyAlignment="1" applyBorder="1" applyFont="1">
      <alignment readingOrder="0" textRotation="90"/>
    </xf>
    <xf borderId="72" fillId="3" fontId="12" numFmtId="0" xfId="0" applyBorder="1" applyFont="1"/>
    <xf borderId="72" fillId="3" fontId="10" numFmtId="0" xfId="0" applyBorder="1" applyFont="1"/>
    <xf borderId="72" fillId="3" fontId="12" numFmtId="0" xfId="0" applyBorder="1" applyFont="1"/>
    <xf borderId="54" fillId="5" fontId="12" numFmtId="0" xfId="0" applyBorder="1" applyFont="1"/>
    <xf borderId="53" fillId="5" fontId="10" numFmtId="166" xfId="0" applyAlignment="1" applyBorder="1" applyFont="1" applyNumberFormat="1">
      <alignment horizontal="center" vertical="bottom"/>
    </xf>
    <xf borderId="53" fillId="5" fontId="10" numFmtId="0" xfId="0" applyAlignment="1" applyBorder="1" applyFont="1">
      <alignment horizontal="center" vertical="bottom"/>
    </xf>
    <xf borderId="58" fillId="6" fontId="12" numFmtId="0" xfId="0" applyAlignment="1" applyBorder="1" applyFont="1">
      <alignment horizontal="center" vertical="bottom"/>
    </xf>
    <xf borderId="59" fillId="6" fontId="12" numFmtId="0" xfId="0" applyAlignment="1" applyBorder="1" applyFont="1">
      <alignment horizontal="center" vertical="bottom"/>
    </xf>
    <xf borderId="61" fillId="0" fontId="30" numFmtId="0" xfId="0" applyAlignment="1" applyBorder="1" applyFont="1">
      <alignment horizontal="center" readingOrder="0" shrinkToFit="0" wrapText="0"/>
    </xf>
    <xf borderId="58" fillId="6" fontId="2" numFmtId="0" xfId="0" applyBorder="1" applyFont="1"/>
    <xf borderId="73" fillId="6" fontId="10" numFmtId="0" xfId="0" applyBorder="1" applyFont="1"/>
    <xf borderId="0" fillId="0" fontId="12" numFmtId="0" xfId="0" applyAlignment="1" applyFont="1">
      <alignment readingOrder="0" textRotation="90"/>
    </xf>
    <xf borderId="0" fillId="5" fontId="3" numFmtId="0" xfId="0" applyFont="1"/>
    <xf borderId="0" fillId="5" fontId="3" numFmtId="0" xfId="0" applyAlignment="1" applyFont="1">
      <alignment horizontal="right" readingOrder="0"/>
    </xf>
    <xf borderId="31" fillId="5" fontId="5" numFmtId="0" xfId="0" applyBorder="1" applyFont="1"/>
    <xf borderId="0" fillId="7" fontId="3" numFmtId="0" xfId="0" applyFont="1"/>
    <xf borderId="0" fillId="7" fontId="3" numFmtId="0" xfId="0" applyAlignment="1" applyFont="1">
      <alignment horizontal="right" readingOrder="0"/>
    </xf>
    <xf borderId="31" fillId="7" fontId="3" numFmtId="0" xfId="0" applyAlignment="1" applyBorder="1" applyFont="1">
      <alignment horizontal="right" readingOrder="0"/>
    </xf>
    <xf borderId="61" fillId="7" fontId="31" numFmtId="0" xfId="0" applyAlignment="1" applyBorder="1" applyFont="1">
      <alignment horizontal="center" readingOrder="0" shrinkToFit="0" wrapText="0"/>
    </xf>
    <xf borderId="61" fillId="7" fontId="32" numFmtId="0" xfId="0" applyAlignment="1" applyBorder="1" applyFont="1">
      <alignment horizontal="center" readingOrder="0" shrinkToFit="0" wrapText="0"/>
    </xf>
    <xf borderId="0" fillId="5" fontId="2" numFmtId="0" xfId="0" applyFont="1"/>
    <xf borderId="59" fillId="7" fontId="10" numFmtId="0" xfId="0" applyAlignment="1" applyBorder="1" applyFont="1">
      <alignment readingOrder="0"/>
    </xf>
    <xf borderId="31" fillId="7" fontId="3" numFmtId="0" xfId="0" applyAlignment="1" applyBorder="1" applyFont="1">
      <alignment readingOrder="0"/>
    </xf>
    <xf borderId="0" fillId="7" fontId="2" numFmtId="0" xfId="0" applyFont="1"/>
    <xf borderId="59" fillId="5" fontId="10" numFmtId="0" xfId="0" applyAlignment="1" applyBorder="1" applyFont="1">
      <alignment readingOrder="0"/>
    </xf>
    <xf borderId="31" fillId="5" fontId="3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31" fillId="5" fontId="3" numFmtId="0" xfId="0" applyBorder="1" applyFont="1"/>
    <xf borderId="0" fillId="0" fontId="12" numFmtId="0" xfId="0" applyFont="1"/>
    <xf borderId="0" fillId="7" fontId="3" numFmtId="0" xfId="0" applyFont="1"/>
    <xf borderId="31" fillId="7" fontId="3" numFmtId="0" xfId="0" applyBorder="1" applyFont="1"/>
    <xf borderId="0" fillId="5" fontId="2" numFmtId="166" xfId="0" applyFont="1" applyNumberFormat="1"/>
    <xf borderId="0" fillId="5" fontId="33" numFmtId="166" xfId="0" applyAlignment="1" applyFont="1" applyNumberFormat="1">
      <alignment horizontal="center" vertical="bottom"/>
    </xf>
    <xf borderId="0" fillId="7" fontId="2" numFmtId="166" xfId="0" applyFont="1" applyNumberFormat="1"/>
    <xf borderId="74" fillId="7" fontId="33" numFmtId="166" xfId="0" applyAlignment="1" applyBorder="1" applyFont="1" applyNumberFormat="1">
      <alignment horizontal="center" vertical="bottom"/>
    </xf>
    <xf borderId="0" fillId="5" fontId="3" numFmtId="0" xfId="0" applyFont="1"/>
    <xf borderId="0" fillId="5" fontId="33" numFmtId="0" xfId="0" applyAlignment="1" applyFont="1">
      <alignment horizontal="center" vertical="bottom"/>
    </xf>
    <xf borderId="0" fillId="7" fontId="33" numFmtId="0" xfId="0" applyAlignment="1" applyFont="1">
      <alignment horizontal="center" vertical="bottom"/>
    </xf>
    <xf borderId="74" fillId="5" fontId="33" numFmtId="166" xfId="0" applyAlignment="1" applyBorder="1" applyFont="1" applyNumberFormat="1">
      <alignment horizontal="center" vertical="bottom"/>
    </xf>
    <xf borderId="0" fillId="5" fontId="3" numFmtId="0" xfId="0" applyAlignment="1" applyFont="1">
      <alignment readingOrder="0"/>
    </xf>
    <xf borderId="31" fillId="7" fontId="3" numFmtId="0" xfId="0" applyBorder="1" applyFont="1"/>
    <xf borderId="42" fillId="3" fontId="12" numFmtId="0" xfId="0" applyAlignment="1" applyBorder="1" applyFont="1">
      <alignment readingOrder="0" textRotation="90"/>
    </xf>
    <xf borderId="42" fillId="3" fontId="3" numFmtId="0" xfId="0" applyBorder="1" applyFont="1"/>
    <xf borderId="42" fillId="3" fontId="11" numFmtId="0" xfId="0" applyBorder="1" applyFont="1"/>
    <xf borderId="42" fillId="3" fontId="3" numFmtId="0" xfId="0" applyBorder="1" applyFont="1"/>
    <xf borderId="42" fillId="3" fontId="2" numFmtId="0" xfId="0" applyBorder="1" applyFont="1"/>
    <xf borderId="42" fillId="3" fontId="33" numFmtId="0" xfId="0" applyAlignment="1" applyBorder="1" applyFont="1">
      <alignment horizontal="center" vertical="bottom"/>
    </xf>
    <xf borderId="53" fillId="0" fontId="12" numFmtId="0" xfId="0" applyAlignment="1" applyBorder="1" applyFont="1">
      <alignment vertical="bottom"/>
    </xf>
    <xf borderId="52" fillId="0" fontId="12" numFmtId="0" xfId="0" applyAlignment="1" applyBorder="1" applyFont="1">
      <alignment vertical="bottom"/>
    </xf>
    <xf borderId="54" fillId="0" fontId="12" numFmtId="0" xfId="0" applyAlignment="1" applyBorder="1" applyFont="1">
      <alignment readingOrder="0" vertical="bottom"/>
    </xf>
    <xf borderId="52" fillId="0" fontId="12" numFmtId="0" xfId="0" applyAlignment="1" applyBorder="1" applyFont="1">
      <alignment readingOrder="0" vertical="bottom"/>
    </xf>
    <xf borderId="53" fillId="0" fontId="12" numFmtId="0" xfId="0" applyAlignment="1" applyBorder="1" applyFont="1">
      <alignment readingOrder="0" vertical="bottom"/>
    </xf>
    <xf borderId="54" fillId="0" fontId="12" numFmtId="0" xfId="0" applyAlignment="1" applyBorder="1" applyFont="1">
      <alignment vertical="bottom"/>
    </xf>
    <xf borderId="30" fillId="0" fontId="10" numFmtId="0" xfId="0" applyAlignment="1" applyBorder="1" applyFont="1">
      <alignment horizontal="right" vertical="bottom"/>
    </xf>
    <xf borderId="0" fillId="0" fontId="10" numFmtId="0" xfId="0" applyAlignment="1" applyFont="1">
      <alignment horizontal="right" vertical="bottom"/>
    </xf>
    <xf borderId="31" fillId="0" fontId="10" numFmtId="0" xfId="0" applyAlignment="1" applyBorder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30" fillId="0" fontId="10" numFmtId="0" xfId="0" applyAlignment="1" applyBorder="1" applyFont="1">
      <alignment vertical="bottom"/>
    </xf>
    <xf borderId="31" fillId="0" fontId="10" numFmtId="0" xfId="0" applyAlignment="1" applyBorder="1" applyFont="1">
      <alignment vertical="bottom"/>
    </xf>
  </cellXfs>
  <cellStyles count="1">
    <cellStyle xfId="0" name="Normal" builtinId="0"/>
  </cellStyles>
  <dxfs count="1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333333"/>
      </font>
      <fill>
        <patternFill patternType="solid">
          <fgColor rgb="FFD0E0E3"/>
          <bgColor rgb="FFD0E0E3"/>
        </patternFill>
      </fill>
      <border/>
    </dxf>
    <dxf>
      <font>
        <color rgb="FF999999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2">
    <tableStyle count="2" pivot="0" name="Womens Meet Plans-style">
      <tableStyleElement dxfId="10" type="firstRowStripe"/>
      <tableStyleElement dxfId="11" type="secondRowStripe"/>
    </tableStyle>
    <tableStyle count="2" pivot="0" name="Mens Meet Plans-style">
      <tableStyleElement dxfId="10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3:X34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Womens Meet Plans-style" showColumnStripes="0" showFirstColumn="1" showLastColumn="1" showRowStripes="1"/>
</table>
</file>

<file path=xl/tables/table2.xml><?xml version="1.0" encoding="utf-8"?>
<table xmlns="http://schemas.openxmlformats.org/spreadsheetml/2006/main" headerRowCount="0" ref="C3:P34" display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Mens Meet Pla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openpowerlifting.org/u/VictoriaAragonMarcial" TargetMode="External"/><Relationship Id="rId10" Type="http://schemas.openxmlformats.org/officeDocument/2006/relationships/hyperlink" Target="http://openpowerlifting.org/u/ChristopherMedinaJr" TargetMode="External"/><Relationship Id="rId13" Type="http://schemas.openxmlformats.org/officeDocument/2006/relationships/hyperlink" Target="http://openpowerlifting.org/u/MadisonONeil" TargetMode="External"/><Relationship Id="rId12" Type="http://schemas.openxmlformats.org/officeDocument/2006/relationships/hyperlink" Target="http://openpowerlifting.org/u/AlexisIglesias1" TargetMode="External"/><Relationship Id="rId1" Type="http://schemas.openxmlformats.org/officeDocument/2006/relationships/hyperlink" Target="https://www.openpowerlifting.org/u/jaimerios3" TargetMode="External"/><Relationship Id="rId2" Type="http://schemas.openxmlformats.org/officeDocument/2006/relationships/hyperlink" Target="http://openpowerlifting.org/u/SethGibsonTodd" TargetMode="External"/><Relationship Id="rId3" Type="http://schemas.openxmlformats.org/officeDocument/2006/relationships/hyperlink" Target="http://openpowerlifting.org/u/CharliePepinWoods" TargetMode="External"/><Relationship Id="rId4" Type="http://schemas.openxmlformats.org/officeDocument/2006/relationships/hyperlink" Target="http://openpowerlifting.org/u/LagiMarinaAhSang" TargetMode="External"/><Relationship Id="rId9" Type="http://schemas.openxmlformats.org/officeDocument/2006/relationships/hyperlink" Target="http://openpowerlifting.org/u/MarissaLutz" TargetMode="External"/><Relationship Id="rId15" Type="http://schemas.openxmlformats.org/officeDocument/2006/relationships/hyperlink" Target="http://openpowerlifting.org/u/LeannaGraceHull" TargetMode="External"/><Relationship Id="rId14" Type="http://schemas.openxmlformats.org/officeDocument/2006/relationships/hyperlink" Target="http://openpowerlifting.org/u/MelissaEa" TargetMode="External"/><Relationship Id="rId16" Type="http://schemas.openxmlformats.org/officeDocument/2006/relationships/drawing" Target="../drawings/drawing7.xml"/><Relationship Id="rId5" Type="http://schemas.openxmlformats.org/officeDocument/2006/relationships/hyperlink" Target="http://openpowerlifting.org/u/KalethPolancopinto" TargetMode="External"/><Relationship Id="rId6" Type="http://schemas.openxmlformats.org/officeDocument/2006/relationships/hyperlink" Target="http://openpowerlifting.org/u/ArturoGallegosIII" TargetMode="External"/><Relationship Id="rId7" Type="http://schemas.openxmlformats.org/officeDocument/2006/relationships/hyperlink" Target="http://openpowerlifting.org/u/RamiroYanezIII" TargetMode="External"/><Relationship Id="rId8" Type="http://schemas.openxmlformats.org/officeDocument/2006/relationships/hyperlink" Target="http://openpowerlifting.org/u/RobertEllisIII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EiXfrZGBhTBHe9MjHvZT7kDqjdmKcy_pjgDkcFXt76Q/edit?usp=drive_web&amp;ouid=115727255606104495103" TargetMode="External"/><Relationship Id="rId22" Type="http://schemas.openxmlformats.org/officeDocument/2006/relationships/hyperlink" Target="https://docs.google.com/spreadsheets/d/1dg6N8uJaV8XtbqlBkQrml2Q5aStvipkmf-rmPtp17Oc/edit" TargetMode="External"/><Relationship Id="rId21" Type="http://schemas.openxmlformats.org/officeDocument/2006/relationships/hyperlink" Target="https://docs.google.com/spreadsheets/d/1tLXiPVz0OxhDR5Uoj0yKvt99JKh-W9zFAeFJhnS-ZWo/edit" TargetMode="External"/><Relationship Id="rId24" Type="http://schemas.openxmlformats.org/officeDocument/2006/relationships/drawing" Target="../drawings/drawing12.xml"/><Relationship Id="rId23" Type="http://schemas.openxmlformats.org/officeDocument/2006/relationships/hyperlink" Target="https://docs.google.com/spreadsheets/d/17KHhXWP7MHChoTJ1Y9DRRx4M49tEmZVCxExRdUZzi8k/edit?usp=drive_web&amp;ouid=11572725560610449510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sroBgH_JibATVhQ05v-nL_kEylVWsFGF9kby7BTQXIE/edit?usp=drive_web&amp;ouid=115727255606104495103" TargetMode="External"/><Relationship Id="rId3" Type="http://schemas.openxmlformats.org/officeDocument/2006/relationships/hyperlink" Target="https://docs.google.com/spreadsheets/d/1urKCtBRTYlrsCZ2mz4MqAn83wC31EeKFPhY4eUGvXy0/edit?usp=drive_web&amp;ouid=115727255606104495103" TargetMode="External"/><Relationship Id="rId4" Type="http://schemas.openxmlformats.org/officeDocument/2006/relationships/hyperlink" Target="https://docs.google.com/spreadsheets/d/1dvMrpCN-PtGKtmWptrFixt7U6ADlS4yAmLI2LzlUdew/edit" TargetMode="External"/><Relationship Id="rId9" Type="http://schemas.openxmlformats.org/officeDocument/2006/relationships/hyperlink" Target="https://docs.google.com/spreadsheets/d/1nl7rgNa36NLEPSYb061t-5rIkr1_hIp0-dgI0Y5DRPE/edit?usp=drive_web&amp;ouid=115727255606104495103" TargetMode="External"/><Relationship Id="rId25" Type="http://schemas.openxmlformats.org/officeDocument/2006/relationships/vmlDrawing" Target="../drawings/vmlDrawing1.vml"/><Relationship Id="rId27" Type="http://schemas.openxmlformats.org/officeDocument/2006/relationships/table" Target="../tables/table1.xml"/><Relationship Id="rId5" Type="http://schemas.openxmlformats.org/officeDocument/2006/relationships/hyperlink" Target="https://docs.google.com/spreadsheets/d/1fmLOWCbgKkfzkcAFDvzyQRKtEA1X6CdBzS--A5w6EQg/edit" TargetMode="External"/><Relationship Id="rId6" Type="http://schemas.openxmlformats.org/officeDocument/2006/relationships/hyperlink" Target="https://docs.google.com/spreadsheets/d/1RW55iLnFS-cwLVDMy2AKJoTk8MXksnPS1gsB_JDDYrI/edit?usp=drive_web&amp;ouid=115727255606104495103" TargetMode="External"/><Relationship Id="rId7" Type="http://schemas.openxmlformats.org/officeDocument/2006/relationships/hyperlink" Target="https://docs.google.com/spreadsheets/d/1ntK9ZQIu3Tnqs474zy13UZbrWQqCM-Vi8CCHKHIQvPg/edit?usp=drive_web&amp;ouid=115727255606104495103" TargetMode="External"/><Relationship Id="rId8" Type="http://schemas.openxmlformats.org/officeDocument/2006/relationships/hyperlink" Target="https://docs.google.com/spreadsheets/d/1vssKZuk7cxm5e8tivDcN7j2lhqYe-URDu9D8LUC30UA/edit?usp=drive_web&amp;ouid=115727255606104495103" TargetMode="External"/><Relationship Id="rId11" Type="http://schemas.openxmlformats.org/officeDocument/2006/relationships/hyperlink" Target="https://docs.google.com/spreadsheets/d/1NtxkBvt6SMfOCxXDk1Y8BwKOVyAW8Hwg4dBD_MIzZPg/edit?usp=drive_web&amp;ouid=115727255606104495103" TargetMode="External"/><Relationship Id="rId10" Type="http://schemas.openxmlformats.org/officeDocument/2006/relationships/hyperlink" Target="https://docs.google.com/spreadsheets/d/12TEG3l14_6_WLQd-2XGVV1aIPITUbTZosu604zQZrwE/edit?usp=drive_web&amp;ouid=115727255606104495103" TargetMode="External"/><Relationship Id="rId13" Type="http://schemas.openxmlformats.org/officeDocument/2006/relationships/hyperlink" Target="https://docs.google.com/spreadsheets/d/139vdncfuwWTGMVOFdP0B0yRu_v2Xh-Flm9egXkbhUYE/edit" TargetMode="External"/><Relationship Id="rId12" Type="http://schemas.openxmlformats.org/officeDocument/2006/relationships/hyperlink" Target="https://docs.google.com/spreadsheets/d/1whcHiXEs7RWEpevXB0kLkTtcJX7l2AtTrXtrfZBQwaQ/edit?usp=drive_web&amp;ouid=115727255606104495103" TargetMode="External"/><Relationship Id="rId15" Type="http://schemas.openxmlformats.org/officeDocument/2006/relationships/hyperlink" Target="https://docs.google.com/spreadsheets/d/1h64UsKAm5Yjwqm26RQFxCZ3bQdol6AiEOBipwqTaGw0/edit?usp=drive_web&amp;ouid=115727255606104495103" TargetMode="External"/><Relationship Id="rId14" Type="http://schemas.openxmlformats.org/officeDocument/2006/relationships/hyperlink" Target="https://docs.google.com/spreadsheets/d/1tZ7ZWhoJO1PWgZk64cNdRj5gSMbcuNEd1eNH7elZE9I/edit?usp=drive_web&amp;ouid=115727255606104495103" TargetMode="External"/><Relationship Id="rId17" Type="http://schemas.openxmlformats.org/officeDocument/2006/relationships/hyperlink" Target="https://docs.google.com/spreadsheets/d/1EKVdP3rrWn8t47TyPx9xqC7rgN5KyWz4QpOvs8U24Ag/edit?usp=drive_web&amp;ouid=115727255606104495103" TargetMode="External"/><Relationship Id="rId16" Type="http://schemas.openxmlformats.org/officeDocument/2006/relationships/hyperlink" Target="https://docs.google.com/spreadsheets/d/1R8zU3K2wSeo3QLYB2l-9GIzk2NWSS1b0dPPbQ20_o2o/edit" TargetMode="External"/><Relationship Id="rId19" Type="http://schemas.openxmlformats.org/officeDocument/2006/relationships/hyperlink" Target="https://docs.google.com/spreadsheets/d/1yMTdbBorh8tzwzWwnBC-h_gJNqYV60B6Y7CwNKAVQAQ/edit?usp=drive_web&amp;ouid=115727255606104495103" TargetMode="External"/><Relationship Id="rId18" Type="http://schemas.openxmlformats.org/officeDocument/2006/relationships/hyperlink" Target="https://docs.google.com/spreadsheets/d/12CVrLUIqE8VeTQ0R3GLRr0JUDbnernzbp10N3yjctx8/edit?usp=drive_web&amp;ouid=115727255606104495103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EiXfrZGBhTBHe9MjHvZT7kDqjdmKcy_pjgDkcFXt76Q/edit?usp=drive_web&amp;ouid=115727255606104495103" TargetMode="External"/><Relationship Id="rId22" Type="http://schemas.openxmlformats.org/officeDocument/2006/relationships/hyperlink" Target="https://docs.google.com/spreadsheets/d/1dg6N8uJaV8XtbqlBkQrml2Q5aStvipkmf-rmPtp17Oc/edit" TargetMode="External"/><Relationship Id="rId21" Type="http://schemas.openxmlformats.org/officeDocument/2006/relationships/hyperlink" Target="https://docs.google.com/spreadsheets/d/1tLXiPVz0OxhDR5Uoj0yKvt99JKh-W9zFAeFJhnS-ZWo/edit" TargetMode="External"/><Relationship Id="rId24" Type="http://schemas.openxmlformats.org/officeDocument/2006/relationships/drawing" Target="../drawings/drawing13.xml"/><Relationship Id="rId23" Type="http://schemas.openxmlformats.org/officeDocument/2006/relationships/hyperlink" Target="https://docs.google.com/spreadsheets/d/17KHhXWP7MHChoTJ1Y9DRRx4M49tEmZVCxExRdUZzi8k/edit?usp=drive_web&amp;ouid=115727255606104495103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d/1sroBgH_JibATVhQ05v-nL_kEylVWsFGF9kby7BTQXIE/edit?usp=drive_web&amp;ouid=115727255606104495103" TargetMode="External"/><Relationship Id="rId3" Type="http://schemas.openxmlformats.org/officeDocument/2006/relationships/hyperlink" Target="https://docs.google.com/spreadsheets/d/1urKCtBRTYlrsCZ2mz4MqAn83wC31EeKFPhY4eUGvXy0/edit?usp=drive_web&amp;ouid=115727255606104495103" TargetMode="External"/><Relationship Id="rId4" Type="http://schemas.openxmlformats.org/officeDocument/2006/relationships/hyperlink" Target="https://docs.google.com/spreadsheets/d/1dvMrpCN-PtGKtmWptrFixt7U6ADlS4yAmLI2LzlUdew/edit" TargetMode="External"/><Relationship Id="rId9" Type="http://schemas.openxmlformats.org/officeDocument/2006/relationships/hyperlink" Target="https://docs.google.com/spreadsheets/d/1nl7rgNa36NLEPSYb061t-5rIkr1_hIp0-dgI0Y5DRPE/edit?usp=drive_web&amp;ouid=115727255606104495103" TargetMode="External"/><Relationship Id="rId25" Type="http://schemas.openxmlformats.org/officeDocument/2006/relationships/vmlDrawing" Target="../drawings/vmlDrawing2.vml"/><Relationship Id="rId5" Type="http://schemas.openxmlformats.org/officeDocument/2006/relationships/hyperlink" Target="https://docs.google.com/spreadsheets/d/1fmLOWCbgKkfzkcAFDvzyQRKtEA1X6CdBzS--A5w6EQg/edit" TargetMode="External"/><Relationship Id="rId6" Type="http://schemas.openxmlformats.org/officeDocument/2006/relationships/hyperlink" Target="https://docs.google.com/spreadsheets/d/1RW55iLnFS-cwLVDMy2AKJoTk8MXksnPS1gsB_JDDYrI/edit?usp=drive_web&amp;ouid=115727255606104495103" TargetMode="External"/><Relationship Id="rId7" Type="http://schemas.openxmlformats.org/officeDocument/2006/relationships/hyperlink" Target="https://docs.google.com/spreadsheets/d/1ntK9ZQIu3Tnqs474zy13UZbrWQqCM-Vi8CCHKHIQvPg/edit?usp=drive_web&amp;ouid=115727255606104495103" TargetMode="External"/><Relationship Id="rId8" Type="http://schemas.openxmlformats.org/officeDocument/2006/relationships/hyperlink" Target="https://docs.google.com/spreadsheets/d/1vssKZuk7cxm5e8tivDcN7j2lhqYe-URDu9D8LUC30UA/edit?usp=drive_web&amp;ouid=115727255606104495103" TargetMode="External"/><Relationship Id="rId11" Type="http://schemas.openxmlformats.org/officeDocument/2006/relationships/hyperlink" Target="https://docs.google.com/spreadsheets/d/1NtxkBvt6SMfOCxXDk1Y8BwKOVyAW8Hwg4dBD_MIzZPg/edit?usp=drive_web&amp;ouid=115727255606104495103" TargetMode="External"/><Relationship Id="rId10" Type="http://schemas.openxmlformats.org/officeDocument/2006/relationships/hyperlink" Target="https://docs.google.com/spreadsheets/d/12TEG3l14_6_WLQd-2XGVV1aIPITUbTZosu604zQZrwE/edit?usp=drive_web&amp;ouid=115727255606104495103" TargetMode="External"/><Relationship Id="rId13" Type="http://schemas.openxmlformats.org/officeDocument/2006/relationships/hyperlink" Target="https://docs.google.com/spreadsheets/d/139vdncfuwWTGMVOFdP0B0yRu_v2Xh-Flm9egXkbhUYE/edit" TargetMode="External"/><Relationship Id="rId12" Type="http://schemas.openxmlformats.org/officeDocument/2006/relationships/hyperlink" Target="https://docs.google.com/spreadsheets/d/1whcHiXEs7RWEpevXB0kLkTtcJX7l2AtTrXtrfZBQwaQ/edit?usp=drive_web&amp;ouid=115727255606104495103" TargetMode="External"/><Relationship Id="rId15" Type="http://schemas.openxmlformats.org/officeDocument/2006/relationships/hyperlink" Target="https://docs.google.com/spreadsheets/d/1h64UsKAm5Yjwqm26RQFxCZ3bQdol6AiEOBipwqTaGw0/edit?usp=drive_web&amp;ouid=115727255606104495103" TargetMode="External"/><Relationship Id="rId14" Type="http://schemas.openxmlformats.org/officeDocument/2006/relationships/hyperlink" Target="https://docs.google.com/spreadsheets/d/1tZ7ZWhoJO1PWgZk64cNdRj5gSMbcuNEd1eNH7elZE9I/edit?usp=drive_web&amp;ouid=115727255606104495103" TargetMode="External"/><Relationship Id="rId17" Type="http://schemas.openxmlformats.org/officeDocument/2006/relationships/hyperlink" Target="https://docs.google.com/spreadsheets/d/1EKVdP3rrWn8t47TyPx9xqC7rgN5KyWz4QpOvs8U24Ag/edit?usp=drive_web&amp;ouid=115727255606104495103" TargetMode="External"/><Relationship Id="rId16" Type="http://schemas.openxmlformats.org/officeDocument/2006/relationships/hyperlink" Target="https://docs.google.com/spreadsheets/d/1R8zU3K2wSeo3QLYB2l-9GIzk2NWSS1b0dPPbQ20_o2o/edit" TargetMode="External"/><Relationship Id="rId19" Type="http://schemas.openxmlformats.org/officeDocument/2006/relationships/hyperlink" Target="https://docs.google.com/spreadsheets/d/1yMTdbBorh8tzwzWwnBC-h_gJNqYV60B6Y7CwNKAVQAQ/edit?usp=drive_web&amp;ouid=115727255606104495103" TargetMode="External"/><Relationship Id="rId18" Type="http://schemas.openxmlformats.org/officeDocument/2006/relationships/hyperlink" Target="https://docs.google.com/spreadsheets/d/12CVrLUIqE8VeTQ0R3GLRr0JUDbnernzbp10N3yjctx8/edit?usp=drive_web&amp;ouid=115727255606104495103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u3Q_TN91EaUDHkRJjbWbdTp8qh8Zs4xi639Z74kizco/edit" TargetMode="External"/><Relationship Id="rId2" Type="http://schemas.openxmlformats.org/officeDocument/2006/relationships/hyperlink" Target="https://docs.google.com/spreadsheets/u/0/d/1BfFEDCo_ZL7SALGsv9aRtN0mDF1dXPSETlY-xLy1tVE/edit" TargetMode="External"/><Relationship Id="rId3" Type="http://schemas.openxmlformats.org/officeDocument/2006/relationships/hyperlink" Target="https://docs.google.com/spreadsheets/u/0/d/1fGFmYuUwvo_u78ScEQbhLrbFnTS85nXMsCJVd0RPpWE/edit" TargetMode="External"/><Relationship Id="rId4" Type="http://schemas.openxmlformats.org/officeDocument/2006/relationships/hyperlink" Target="https://docs.google.com/spreadsheets/d/1YzZFskrDXFLbkqLzsyBvA9JlgDtOehJqBPk7S2xzLs8/edit" TargetMode="External"/><Relationship Id="rId9" Type="http://schemas.openxmlformats.org/officeDocument/2006/relationships/hyperlink" Target="https://docs.google.com/spreadsheets/d/1YVsk1T8a5FMQBBsySPzFcX4wiyGyntKMYz9IFSQryi4/edit" TargetMode="External"/><Relationship Id="rId5" Type="http://schemas.openxmlformats.org/officeDocument/2006/relationships/hyperlink" Target="https://docs.google.com/spreadsheets/u/0/d/1B5PKTpkmpuLJJ-u8jfszxZEQ4g6tVeg7rdrLQaDZfX4/edit" TargetMode="External"/><Relationship Id="rId6" Type="http://schemas.openxmlformats.org/officeDocument/2006/relationships/hyperlink" Target="https://docs.google.com/spreadsheets/u/0/d/18PtBO3-cPG_f9C7wHMh8dJwfDcPpoeWP3ltTsgGEgz4/edit" TargetMode="External"/><Relationship Id="rId7" Type="http://schemas.openxmlformats.org/officeDocument/2006/relationships/hyperlink" Target="https://docs.google.com/spreadsheets/u/0/d/1pLoeyP0JcwE5_cddlYVBdjCcaT8aZ4N-SRiAsOtQDJU/edit" TargetMode="External"/><Relationship Id="rId8" Type="http://schemas.openxmlformats.org/officeDocument/2006/relationships/hyperlink" Target="https://docs.google.com/spreadsheets/d/1Wnb9kWMRsFByVkj_-rgajiSPr0IwuYL1sRPeZ3m1NsQ/edit" TargetMode="External"/><Relationship Id="rId11" Type="http://schemas.openxmlformats.org/officeDocument/2006/relationships/hyperlink" Target="https://docs.google.com/spreadsheets/u/0/d/1kJ_N6j63c5oc6-S72VnMog8Syg4H0lN985xP845mYYo/edit" TargetMode="External"/><Relationship Id="rId10" Type="http://schemas.openxmlformats.org/officeDocument/2006/relationships/hyperlink" Target="https://docs.google.com/spreadsheets/d/1OhuuDa_vDV8hintIe1csuPuEc_6V4KoQifFQt_PiOZo/edit" TargetMode="External"/><Relationship Id="rId13" Type="http://schemas.openxmlformats.org/officeDocument/2006/relationships/hyperlink" Target="https://docs.google.com/spreadsheets/d/1PfzYGWTX5eoBXOxtqaJcuH1BmBNBao-sj4WVrboBFss/edit" TargetMode="External"/><Relationship Id="rId12" Type="http://schemas.openxmlformats.org/officeDocument/2006/relationships/hyperlink" Target="https://docs.google.com/spreadsheets/u/0/d/1hgnksOHxaOQGShAZ8foC57isPp4QFHHAL4_qd2FRlRE/edit" TargetMode="External"/><Relationship Id="rId15" Type="http://schemas.openxmlformats.org/officeDocument/2006/relationships/drawing" Target="../drawings/drawing14.xml"/><Relationship Id="rId14" Type="http://schemas.openxmlformats.org/officeDocument/2006/relationships/hyperlink" Target="https://docs.google.com/spreadsheets/u/0/d/10MavkMJ1Cdf_WjSdS_ZevOOK4w9UL7KMeuljKm-5EWM/edit" TargetMode="External"/><Relationship Id="rId17" Type="http://schemas.openxmlformats.org/officeDocument/2006/relationships/table" Target="../tables/table2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ocs.google.com/spreadsheets/u/0/d/1u3Q_TN91EaUDHkRJjbWbdTp8qh8Zs4xi639Z74kizco/edit" TargetMode="External"/><Relationship Id="rId3" Type="http://schemas.openxmlformats.org/officeDocument/2006/relationships/hyperlink" Target="https://docs.google.com/spreadsheets/u/0/d/1BfFEDCo_ZL7SALGsv9aRtN0mDF1dXPSETlY-xLy1tVE/edit" TargetMode="External"/><Relationship Id="rId4" Type="http://schemas.openxmlformats.org/officeDocument/2006/relationships/hyperlink" Target="https://docs.google.com/spreadsheets/u/0/d/1fGFmYuUwvo_u78ScEQbhLrbFnTS85nXMsCJVd0RPpWE/edit" TargetMode="External"/><Relationship Id="rId9" Type="http://schemas.openxmlformats.org/officeDocument/2006/relationships/hyperlink" Target="https://docs.google.com/spreadsheets/d/1Wnb9kWMRsFByVkj_-rgajiSPr0IwuYL1sRPeZ3m1NsQ/edit" TargetMode="External"/><Relationship Id="rId5" Type="http://schemas.openxmlformats.org/officeDocument/2006/relationships/hyperlink" Target="https://docs.google.com/spreadsheets/d/1YzZFskrDXFLbkqLzsyBvA9JlgDtOehJqBPk7S2xzLs8/edit" TargetMode="External"/><Relationship Id="rId6" Type="http://schemas.openxmlformats.org/officeDocument/2006/relationships/hyperlink" Target="https://docs.google.com/spreadsheets/u/0/d/1B5PKTpkmpuLJJ-u8jfszxZEQ4g6tVeg7rdrLQaDZfX4/edit" TargetMode="External"/><Relationship Id="rId7" Type="http://schemas.openxmlformats.org/officeDocument/2006/relationships/hyperlink" Target="https://docs.google.com/spreadsheets/u/0/d/18PtBO3-cPG_f9C7wHMh8dJwfDcPpoeWP3ltTsgGEgz4/edit" TargetMode="External"/><Relationship Id="rId8" Type="http://schemas.openxmlformats.org/officeDocument/2006/relationships/hyperlink" Target="https://docs.google.com/spreadsheets/u/0/d/1pLoeyP0JcwE5_cddlYVBdjCcaT8aZ4N-SRiAsOtQDJU/edit" TargetMode="External"/><Relationship Id="rId11" Type="http://schemas.openxmlformats.org/officeDocument/2006/relationships/hyperlink" Target="https://docs.google.com/spreadsheets/d/1OhuuDa_vDV8hintIe1csuPuEc_6V4KoQifFQt_PiOZo/edit" TargetMode="External"/><Relationship Id="rId10" Type="http://schemas.openxmlformats.org/officeDocument/2006/relationships/hyperlink" Target="https://docs.google.com/spreadsheets/d/1YVsk1T8a5FMQBBsySPzFcX4wiyGyntKMYz9IFSQryi4/edit" TargetMode="External"/><Relationship Id="rId13" Type="http://schemas.openxmlformats.org/officeDocument/2006/relationships/hyperlink" Target="https://docs.google.com/spreadsheets/u/0/d/1hgnksOHxaOQGShAZ8foC57isPp4QFHHAL4_qd2FRlRE/edit" TargetMode="External"/><Relationship Id="rId12" Type="http://schemas.openxmlformats.org/officeDocument/2006/relationships/hyperlink" Target="https://docs.google.com/spreadsheets/u/0/d/1kJ_N6j63c5oc6-S72VnMog8Syg4H0lN985xP845mYYo/edit" TargetMode="External"/><Relationship Id="rId15" Type="http://schemas.openxmlformats.org/officeDocument/2006/relationships/hyperlink" Target="https://docs.google.com/spreadsheets/u/0/d/10MavkMJ1Cdf_WjSdS_ZevOOK4w9UL7KMeuljKm-5EWM/edit" TargetMode="External"/><Relationship Id="rId14" Type="http://schemas.openxmlformats.org/officeDocument/2006/relationships/hyperlink" Target="https://docs.google.com/spreadsheets/d/1PfzYGWTX5eoBXOxtqaJcuH1BmBNBao-sj4WVrboBFss/edit" TargetMode="External"/><Relationship Id="rId17" Type="http://schemas.openxmlformats.org/officeDocument/2006/relationships/vmlDrawing" Target="../drawings/vmlDrawing3.vml"/><Relationship Id="rId1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5" width="12.63"/>
  </cols>
  <sheetData>
    <row r="1">
      <c r="A1" s="1">
        <v>45030.0</v>
      </c>
      <c r="B1" s="2"/>
      <c r="C1" s="2"/>
      <c r="D1" s="2"/>
      <c r="E1" s="2"/>
    </row>
    <row r="2">
      <c r="A2" s="3" t="s">
        <v>0</v>
      </c>
      <c r="B2" s="4"/>
      <c r="C2" s="4"/>
      <c r="D2" s="4"/>
      <c r="E2" s="5"/>
    </row>
    <row r="3">
      <c r="A3" s="6" t="s">
        <v>1</v>
      </c>
      <c r="B3" s="7"/>
      <c r="C3" s="7"/>
      <c r="D3" s="7"/>
      <c r="E3" s="8"/>
    </row>
    <row r="4">
      <c r="A4" s="9" t="s">
        <v>2</v>
      </c>
      <c r="B4" s="10"/>
      <c r="C4" s="10"/>
      <c r="D4" s="10"/>
      <c r="E4" s="11"/>
    </row>
    <row r="5">
      <c r="A5" s="12"/>
      <c r="B5" s="12"/>
      <c r="C5" s="12"/>
      <c r="D5" s="12"/>
      <c r="E5" s="12"/>
    </row>
    <row r="6">
      <c r="A6" s="13">
        <v>45029.0</v>
      </c>
      <c r="B6" s="14"/>
      <c r="C6" s="14"/>
      <c r="D6" s="14"/>
      <c r="E6" s="15"/>
    </row>
    <row r="7">
      <c r="A7" s="16" t="s">
        <v>3</v>
      </c>
      <c r="B7" s="17" t="s">
        <v>0</v>
      </c>
      <c r="C7" s="18" t="s">
        <v>4</v>
      </c>
      <c r="D7" s="18" t="s">
        <v>5</v>
      </c>
      <c r="E7" s="19" t="s">
        <v>6</v>
      </c>
    </row>
    <row r="8">
      <c r="A8" s="20" t="s">
        <v>7</v>
      </c>
      <c r="B8" s="20"/>
      <c r="C8" s="21"/>
      <c r="D8" s="21"/>
      <c r="E8" s="21"/>
    </row>
    <row r="9">
      <c r="A9" s="20" t="s">
        <v>8</v>
      </c>
      <c r="B9" s="20"/>
      <c r="C9" s="20"/>
      <c r="D9" s="20"/>
      <c r="E9" s="20"/>
    </row>
    <row r="10">
      <c r="A10" s="16" t="s">
        <v>9</v>
      </c>
      <c r="B10" s="17" t="s">
        <v>0</v>
      </c>
      <c r="C10" s="18" t="s">
        <v>4</v>
      </c>
      <c r="D10" s="18" t="s">
        <v>5</v>
      </c>
      <c r="E10" s="19" t="s">
        <v>6</v>
      </c>
    </row>
    <row r="11">
      <c r="A11" s="20" t="s">
        <v>10</v>
      </c>
      <c r="B11" s="20"/>
      <c r="C11" s="21"/>
      <c r="D11" s="21"/>
      <c r="E11" s="21"/>
    </row>
    <row r="12">
      <c r="A12" s="16" t="s">
        <v>1</v>
      </c>
      <c r="B12" s="17"/>
      <c r="C12" s="18"/>
      <c r="D12" s="18"/>
      <c r="E12" s="19"/>
    </row>
    <row r="13">
      <c r="A13" s="12"/>
      <c r="B13" s="12"/>
      <c r="C13" s="12"/>
      <c r="D13" s="12"/>
      <c r="E13" s="12"/>
    </row>
    <row r="14">
      <c r="A14" s="13">
        <v>45030.0</v>
      </c>
      <c r="B14" s="14"/>
      <c r="C14" s="14"/>
      <c r="D14" s="14"/>
      <c r="E14" s="15"/>
    </row>
    <row r="15">
      <c r="A15" s="16" t="s">
        <v>3</v>
      </c>
      <c r="B15" s="17" t="s">
        <v>0</v>
      </c>
      <c r="C15" s="18" t="s">
        <v>4</v>
      </c>
      <c r="D15" s="18" t="s">
        <v>5</v>
      </c>
      <c r="E15" s="19" t="s">
        <v>6</v>
      </c>
    </row>
    <row r="16">
      <c r="A16" s="20" t="s">
        <v>11</v>
      </c>
      <c r="B16" s="20"/>
      <c r="C16" s="21"/>
      <c r="D16" s="21"/>
      <c r="E16" s="21"/>
    </row>
    <row r="17">
      <c r="A17" s="20" t="s">
        <v>12</v>
      </c>
      <c r="B17" s="20"/>
      <c r="C17" s="20"/>
      <c r="D17" s="20"/>
      <c r="E17" s="20"/>
    </row>
    <row r="18">
      <c r="A18" s="16" t="s">
        <v>9</v>
      </c>
      <c r="B18" s="17" t="s">
        <v>0</v>
      </c>
      <c r="C18" s="18" t="s">
        <v>4</v>
      </c>
      <c r="D18" s="18" t="s">
        <v>5</v>
      </c>
      <c r="E18" s="19" t="s">
        <v>6</v>
      </c>
    </row>
    <row r="19">
      <c r="A19" s="20" t="s">
        <v>13</v>
      </c>
      <c r="B19" s="20"/>
      <c r="C19" s="21"/>
      <c r="D19" s="21"/>
      <c r="E19" s="21"/>
    </row>
    <row r="20">
      <c r="A20" s="20" t="s">
        <v>14</v>
      </c>
      <c r="B20" s="20"/>
      <c r="C20" s="20"/>
      <c r="D20" s="20"/>
      <c r="E20" s="20"/>
    </row>
    <row r="21">
      <c r="A21" s="16" t="s">
        <v>15</v>
      </c>
      <c r="B21" s="17" t="s">
        <v>0</v>
      </c>
      <c r="C21" s="18" t="s">
        <v>4</v>
      </c>
      <c r="D21" s="18" t="s">
        <v>5</v>
      </c>
      <c r="E21" s="19" t="s">
        <v>6</v>
      </c>
    </row>
    <row r="22">
      <c r="A22" s="22" t="s">
        <v>16</v>
      </c>
      <c r="B22" s="23"/>
      <c r="C22" s="24"/>
      <c r="D22" s="24"/>
      <c r="E22" s="24"/>
    </row>
    <row r="23">
      <c r="A23" s="20" t="s">
        <v>17</v>
      </c>
      <c r="B23" s="20"/>
      <c r="C23" s="21"/>
      <c r="D23" s="21"/>
      <c r="E23" s="21"/>
    </row>
    <row r="24">
      <c r="A24" s="16" t="s">
        <v>1</v>
      </c>
      <c r="B24" s="17"/>
      <c r="C24" s="18"/>
      <c r="D24" s="18"/>
      <c r="E24" s="19"/>
    </row>
    <row r="25">
      <c r="A25" s="12"/>
      <c r="B25" s="12"/>
      <c r="C25" s="12"/>
      <c r="D25" s="12"/>
      <c r="E25" s="12"/>
    </row>
    <row r="26">
      <c r="A26" s="13">
        <v>45031.0</v>
      </c>
      <c r="B26" s="14"/>
      <c r="C26" s="14"/>
      <c r="D26" s="14"/>
      <c r="E26" s="15"/>
    </row>
    <row r="27">
      <c r="A27" s="16" t="s">
        <v>3</v>
      </c>
      <c r="B27" s="17" t="s">
        <v>0</v>
      </c>
      <c r="C27" s="18" t="s">
        <v>4</v>
      </c>
      <c r="D27" s="18" t="s">
        <v>5</v>
      </c>
      <c r="E27" s="19" t="s">
        <v>6</v>
      </c>
    </row>
    <row r="28">
      <c r="A28" s="20" t="s">
        <v>18</v>
      </c>
      <c r="B28" s="20"/>
      <c r="C28" s="21"/>
      <c r="D28" s="21"/>
      <c r="E28" s="21"/>
    </row>
    <row r="29">
      <c r="A29" s="20" t="s">
        <v>19</v>
      </c>
      <c r="B29" s="20"/>
      <c r="C29" s="20"/>
      <c r="D29" s="20"/>
      <c r="E29" s="20"/>
    </row>
    <row r="30">
      <c r="A30" s="16" t="s">
        <v>9</v>
      </c>
      <c r="B30" s="17" t="s">
        <v>0</v>
      </c>
      <c r="C30" s="18" t="s">
        <v>4</v>
      </c>
      <c r="D30" s="18" t="s">
        <v>5</v>
      </c>
      <c r="E30" s="19" t="s">
        <v>6</v>
      </c>
    </row>
    <row r="31">
      <c r="A31" s="20" t="s">
        <v>20</v>
      </c>
      <c r="B31" s="20"/>
      <c r="C31" s="21"/>
      <c r="D31" s="21"/>
      <c r="E31" s="21"/>
    </row>
    <row r="32">
      <c r="A32" s="20" t="s">
        <v>21</v>
      </c>
      <c r="B32" s="20"/>
      <c r="C32" s="20"/>
      <c r="D32" s="20"/>
      <c r="E32" s="20"/>
    </row>
    <row r="33">
      <c r="A33" s="16" t="s">
        <v>15</v>
      </c>
      <c r="B33" s="17" t="s">
        <v>0</v>
      </c>
      <c r="C33" s="18" t="s">
        <v>4</v>
      </c>
      <c r="D33" s="18" t="s">
        <v>5</v>
      </c>
      <c r="E33" s="19" t="s">
        <v>6</v>
      </c>
    </row>
    <row r="34">
      <c r="A34" s="20" t="s">
        <v>22</v>
      </c>
      <c r="B34" s="20"/>
      <c r="C34" s="21"/>
      <c r="D34" s="21"/>
      <c r="E34" s="21"/>
    </row>
    <row r="35">
      <c r="A35" s="20" t="s">
        <v>23</v>
      </c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3">
        <v>45032.0</v>
      </c>
      <c r="B38" s="14"/>
      <c r="C38" s="14"/>
      <c r="D38" s="14"/>
      <c r="E38" s="15"/>
    </row>
    <row r="39">
      <c r="A39" s="16" t="s">
        <v>3</v>
      </c>
      <c r="B39" s="17" t="s">
        <v>0</v>
      </c>
      <c r="C39" s="18" t="s">
        <v>4</v>
      </c>
      <c r="D39" s="18" t="s">
        <v>5</v>
      </c>
      <c r="E39" s="19" t="s">
        <v>6</v>
      </c>
    </row>
    <row r="40">
      <c r="A40" s="20" t="s">
        <v>24</v>
      </c>
      <c r="B40" s="20"/>
      <c r="C40" s="21"/>
      <c r="D40" s="21"/>
      <c r="E40" s="21"/>
    </row>
    <row r="41">
      <c r="A41" s="16" t="s">
        <v>9</v>
      </c>
      <c r="B41" s="17" t="s">
        <v>0</v>
      </c>
      <c r="C41" s="18" t="s">
        <v>4</v>
      </c>
      <c r="D41" s="18" t="s">
        <v>5</v>
      </c>
      <c r="E41" s="19" t="s">
        <v>6</v>
      </c>
    </row>
    <row r="42">
      <c r="A42" s="20" t="s">
        <v>25</v>
      </c>
      <c r="B42" s="20"/>
      <c r="C42" s="21"/>
      <c r="D42" s="21"/>
      <c r="E42" s="21"/>
    </row>
    <row r="43">
      <c r="A43" s="25"/>
      <c r="B43" s="25"/>
      <c r="C43" s="24"/>
      <c r="D43" s="24"/>
      <c r="E43" s="24"/>
    </row>
  </sheetData>
  <mergeCells count="4">
    <mergeCell ref="A6:E6"/>
    <mergeCell ref="A14:E14"/>
    <mergeCell ref="A26:E26"/>
    <mergeCell ref="A38:E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38"/>
    <col customWidth="1" min="3" max="3" width="5.0"/>
    <col customWidth="1" min="4" max="4" width="9.38"/>
    <col customWidth="1" min="5" max="5" width="10.63"/>
    <col customWidth="1" min="6" max="6" width="6.13"/>
    <col customWidth="1" min="7" max="7" width="8.63"/>
    <col customWidth="1" min="8" max="8" width="7.38"/>
    <col customWidth="1" min="9" max="9" width="9.5"/>
    <col customWidth="1" min="10" max="10" width="9.0"/>
    <col customWidth="1" min="11" max="12" width="10.88"/>
    <col customWidth="1" min="14" max="14" width="8.13"/>
    <col customWidth="1" min="15" max="15" width="6.5"/>
    <col customWidth="1" min="16" max="16" width="9.88"/>
    <col customWidth="1" min="17" max="17" width="10.0"/>
    <col customWidth="1" min="18" max="18" width="10.63"/>
  </cols>
  <sheetData>
    <row r="1">
      <c r="A1" s="26" t="s">
        <v>26</v>
      </c>
      <c r="B1" s="26" t="s">
        <v>27</v>
      </c>
      <c r="C1" s="26" t="s">
        <v>28</v>
      </c>
      <c r="D1" s="27" t="s">
        <v>29</v>
      </c>
      <c r="E1" s="28" t="s">
        <v>30</v>
      </c>
      <c r="F1" s="29" t="s">
        <v>31</v>
      </c>
      <c r="G1" s="29" t="s">
        <v>32</v>
      </c>
      <c r="H1" s="29" t="s">
        <v>33</v>
      </c>
      <c r="I1" s="30" t="s">
        <v>34</v>
      </c>
      <c r="J1" s="28" t="s">
        <v>35</v>
      </c>
      <c r="K1" s="26" t="s">
        <v>36</v>
      </c>
      <c r="L1" s="28" t="s">
        <v>37</v>
      </c>
      <c r="M1" s="31"/>
      <c r="N1" s="32"/>
      <c r="O1" s="33"/>
      <c r="P1" s="34" t="s">
        <v>38</v>
      </c>
      <c r="Q1" s="34" t="s">
        <v>39</v>
      </c>
      <c r="R1" s="35"/>
      <c r="S1" s="36"/>
    </row>
    <row r="2">
      <c r="A2" s="37" t="s">
        <v>40</v>
      </c>
      <c r="B2" s="37" t="s">
        <v>41</v>
      </c>
      <c r="C2" s="38" t="s">
        <v>42</v>
      </c>
      <c r="D2" s="39">
        <v>52.0</v>
      </c>
      <c r="E2" s="40" t="s">
        <v>43</v>
      </c>
      <c r="F2" s="40" t="str">
        <f t="array" ref="F2">INDEX(Roster!D$2:D52,MATCH(1,($A2=Roster!$B$2:$B52)*($B2=Roster!$A$2:$A52),0))</f>
        <v>2 - Fri</v>
      </c>
      <c r="G2" s="40">
        <v>1.0</v>
      </c>
      <c r="H2" s="40"/>
      <c r="I2" s="40"/>
      <c r="J2" s="38"/>
      <c r="K2" s="38"/>
      <c r="L2" s="41" t="s">
        <v>44</v>
      </c>
      <c r="M2" s="42"/>
      <c r="N2" s="43" t="s">
        <v>45</v>
      </c>
      <c r="O2" s="44"/>
      <c r="P2" s="45">
        <f>COUNTIFS(L:L,"X",C:C,"W")</f>
        <v>6</v>
      </c>
      <c r="Q2" s="45">
        <v>11.0</v>
      </c>
      <c r="R2" s="46"/>
      <c r="S2" s="36"/>
    </row>
    <row r="3">
      <c r="A3" s="37" t="s">
        <v>46</v>
      </c>
      <c r="B3" s="37" t="s">
        <v>47</v>
      </c>
      <c r="C3" s="38" t="s">
        <v>42</v>
      </c>
      <c r="D3" s="39">
        <v>52.0</v>
      </c>
      <c r="E3" s="40" t="s">
        <v>43</v>
      </c>
      <c r="F3" s="40" t="str">
        <f t="array" ref="F3">INDEX(Roster!D$2:D52,MATCH(1,($A3=Roster!$B$2:$B52)*($B3=Roster!$A$2:$A52),0))</f>
        <v>2 - Fri</v>
      </c>
      <c r="G3" s="40">
        <v>1.0</v>
      </c>
      <c r="H3" s="40"/>
      <c r="I3" s="40"/>
      <c r="J3" s="38"/>
      <c r="K3" s="38"/>
      <c r="L3" s="41" t="s">
        <v>44</v>
      </c>
      <c r="M3" s="31"/>
      <c r="N3" s="43" t="s">
        <v>48</v>
      </c>
      <c r="O3" s="44"/>
      <c r="P3" s="45">
        <f>COUNTIFS(L:L,"X",C:C,"M")</f>
        <v>7</v>
      </c>
      <c r="Q3" s="45">
        <v>12.0</v>
      </c>
      <c r="R3" s="46"/>
      <c r="S3" s="36"/>
    </row>
    <row r="4">
      <c r="A4" s="37" t="s">
        <v>49</v>
      </c>
      <c r="B4" s="37" t="s">
        <v>50</v>
      </c>
      <c r="C4" s="38" t="s">
        <v>42</v>
      </c>
      <c r="D4" s="39">
        <v>56.0</v>
      </c>
      <c r="E4" s="40" t="s">
        <v>51</v>
      </c>
      <c r="F4" s="40" t="str">
        <f t="array" ref="F4">INDEX(Roster!D$2:D52,MATCH(1,($A4=Roster!$B$2:$B52)*($B4=Roster!$A$2:$A52),0))</f>
        <v>2 - Fri</v>
      </c>
      <c r="G4" s="40">
        <v>1.0</v>
      </c>
      <c r="H4" s="40"/>
      <c r="I4" s="40"/>
      <c r="J4" s="38"/>
      <c r="K4" s="38"/>
      <c r="L4" s="47"/>
      <c r="M4" s="42"/>
      <c r="N4" s="48"/>
      <c r="O4" s="48"/>
      <c r="P4" s="48"/>
      <c r="Q4" s="48"/>
      <c r="R4" s="49"/>
      <c r="S4" s="50"/>
    </row>
    <row r="5">
      <c r="A5" s="37" t="s">
        <v>52</v>
      </c>
      <c r="B5" s="37" t="s">
        <v>53</v>
      </c>
      <c r="C5" s="38" t="s">
        <v>42</v>
      </c>
      <c r="D5" s="40">
        <v>60.0</v>
      </c>
      <c r="E5" s="40" t="s">
        <v>43</v>
      </c>
      <c r="F5" s="40" t="str">
        <f t="array" ref="F5">INDEX(Roster!D$2:D52,MATCH(1,($A5=Roster!$B$2:$B52)*($B5=Roster!$A$2:$A52),0))</f>
        <v>2 - Fri</v>
      </c>
      <c r="G5" s="40">
        <v>1.0</v>
      </c>
      <c r="H5" s="40"/>
      <c r="I5" s="40"/>
      <c r="J5" s="38"/>
      <c r="K5" s="38"/>
      <c r="L5" s="41" t="s">
        <v>44</v>
      </c>
      <c r="M5" s="42"/>
      <c r="N5" s="51"/>
      <c r="O5" s="51"/>
      <c r="P5" s="34" t="s">
        <v>54</v>
      </c>
      <c r="Q5" s="51" t="s">
        <v>55</v>
      </c>
      <c r="R5" s="34" t="s">
        <v>56</v>
      </c>
      <c r="S5" s="50"/>
    </row>
    <row r="6">
      <c r="A6" s="37" t="s">
        <v>57</v>
      </c>
      <c r="B6" s="37" t="s">
        <v>58</v>
      </c>
      <c r="C6" s="38" t="s">
        <v>42</v>
      </c>
      <c r="D6" s="39">
        <v>60.0</v>
      </c>
      <c r="E6" s="40" t="s">
        <v>43</v>
      </c>
      <c r="F6" s="40" t="str">
        <f t="array" ref="F6">INDEX(Roster!D$2:D52,MATCH(1,($A6=Roster!$B$2:$B52)*($B6=Roster!$A$2:$A52),0))</f>
        <v>2 - Fri</v>
      </c>
      <c r="G6" s="40">
        <v>1.0</v>
      </c>
      <c r="H6" s="40"/>
      <c r="I6" s="40"/>
      <c r="J6" s="38"/>
      <c r="K6" s="38"/>
      <c r="L6" s="47"/>
      <c r="M6" s="42"/>
      <c r="N6" s="34" t="s">
        <v>59</v>
      </c>
      <c r="O6" s="51">
        <v>1.0</v>
      </c>
      <c r="P6" s="52">
        <f t="shared" ref="P6:P15" si="1">COUNTIFS($F:$F,N6,$G:$G,O6)</f>
        <v>0</v>
      </c>
      <c r="Q6" s="52">
        <f t="shared" ref="Q6:Q15" si="2">COUNTIFS($F:$F,N6,$G:$G,O6,C:C,"W")</f>
        <v>0</v>
      </c>
      <c r="R6" s="52">
        <f t="shared" ref="R6:R15" si="3">COUNTIFS($F:$F,N6,$G:$G,O6,C:C,"M")</f>
        <v>0</v>
      </c>
      <c r="S6" s="50"/>
    </row>
    <row r="7">
      <c r="A7" s="37" t="s">
        <v>60</v>
      </c>
      <c r="B7" s="37" t="s">
        <v>61</v>
      </c>
      <c r="C7" s="38" t="s">
        <v>42</v>
      </c>
      <c r="D7" s="39">
        <v>60.0</v>
      </c>
      <c r="E7" s="40" t="s">
        <v>43</v>
      </c>
      <c r="F7" s="40" t="str">
        <f t="array" ref="F7">INDEX(Roster!D$2:D52,MATCH(1,($A7=Roster!$B$2:$B52)*($B7=Roster!$A$2:$A52),0))</f>
        <v>2 - Fri</v>
      </c>
      <c r="G7" s="40">
        <v>1.0</v>
      </c>
      <c r="H7" s="40"/>
      <c r="I7" s="40"/>
      <c r="J7" s="38"/>
      <c r="K7" s="38"/>
      <c r="L7" s="41"/>
      <c r="M7" s="42"/>
      <c r="N7" s="34" t="s">
        <v>59</v>
      </c>
      <c r="O7" s="34">
        <v>2.0</v>
      </c>
      <c r="P7" s="52">
        <f t="shared" si="1"/>
        <v>0</v>
      </c>
      <c r="Q7" s="52">
        <f t="shared" si="2"/>
        <v>0</v>
      </c>
      <c r="R7" s="52">
        <f t="shared" si="3"/>
        <v>0</v>
      </c>
      <c r="S7" s="50"/>
    </row>
    <row r="8">
      <c r="A8" s="37" t="s">
        <v>62</v>
      </c>
      <c r="B8" s="37" t="s">
        <v>63</v>
      </c>
      <c r="C8" s="38" t="s">
        <v>42</v>
      </c>
      <c r="D8" s="39">
        <v>67.5</v>
      </c>
      <c r="E8" s="40" t="s">
        <v>43</v>
      </c>
      <c r="F8" s="40" t="str">
        <f t="array" ref="F8">INDEX(Roster!D$2:D52,MATCH(1,($A8=Roster!$B$2:$B52)*($B8=Roster!$A$2:$A52),0))</f>
        <v>2 - Fri</v>
      </c>
      <c r="G8" s="40">
        <v>2.0</v>
      </c>
      <c r="H8" s="40"/>
      <c r="I8" s="40"/>
      <c r="J8" s="38"/>
      <c r="K8" s="38"/>
      <c r="L8" s="41"/>
      <c r="M8" s="42"/>
      <c r="N8" s="51" t="s">
        <v>64</v>
      </c>
      <c r="O8" s="51">
        <v>1.0</v>
      </c>
      <c r="P8" s="52">
        <f t="shared" si="1"/>
        <v>6</v>
      </c>
      <c r="Q8" s="52">
        <f t="shared" si="2"/>
        <v>6</v>
      </c>
      <c r="R8" s="52">
        <f t="shared" si="3"/>
        <v>0</v>
      </c>
      <c r="S8" s="50"/>
    </row>
    <row r="9">
      <c r="A9" s="37" t="s">
        <v>65</v>
      </c>
      <c r="B9" s="37" t="s">
        <v>66</v>
      </c>
      <c r="C9" s="38" t="s">
        <v>42</v>
      </c>
      <c r="D9" s="39">
        <v>67.5</v>
      </c>
      <c r="E9" s="40" t="s">
        <v>43</v>
      </c>
      <c r="F9" s="40" t="str">
        <f t="array" ref="F9">INDEX(Roster!D$2:D52,MATCH(1,($A9=Roster!$B$2:$B52)*($B9=Roster!$A$2:$A52),0))</f>
        <v>2 - Fri</v>
      </c>
      <c r="G9" s="40">
        <v>2.0</v>
      </c>
      <c r="H9" s="40"/>
      <c r="I9" s="40"/>
      <c r="J9" s="38"/>
      <c r="K9" s="38"/>
      <c r="L9" s="41"/>
      <c r="M9" s="42"/>
      <c r="N9" s="34" t="s">
        <v>64</v>
      </c>
      <c r="O9" s="34">
        <v>2.0</v>
      </c>
      <c r="P9" s="52">
        <f t="shared" si="1"/>
        <v>15</v>
      </c>
      <c r="Q9" s="52">
        <f t="shared" si="2"/>
        <v>15</v>
      </c>
      <c r="R9" s="52">
        <f t="shared" si="3"/>
        <v>0</v>
      </c>
      <c r="S9" s="50"/>
    </row>
    <row r="10">
      <c r="A10" s="37" t="s">
        <v>67</v>
      </c>
      <c r="B10" s="37" t="s">
        <v>68</v>
      </c>
      <c r="C10" s="38" t="s">
        <v>42</v>
      </c>
      <c r="D10" s="40">
        <v>67.5</v>
      </c>
      <c r="E10" s="40" t="s">
        <v>43</v>
      </c>
      <c r="F10" s="40" t="str">
        <f t="array" ref="F10">INDEX(Roster!D$2:D52,MATCH(1,($A10=Roster!$B$2:$B52)*($B10=Roster!$A$2:$A52),0))</f>
        <v>2 - Fri</v>
      </c>
      <c r="G10" s="40">
        <v>2.0</v>
      </c>
      <c r="H10" s="40"/>
      <c r="I10" s="40"/>
      <c r="J10" s="38"/>
      <c r="K10" s="38"/>
      <c r="L10" s="41"/>
      <c r="M10" s="42"/>
      <c r="N10" s="34" t="s">
        <v>64</v>
      </c>
      <c r="O10" s="34">
        <v>3.0</v>
      </c>
      <c r="P10" s="52">
        <f t="shared" si="1"/>
        <v>0</v>
      </c>
      <c r="Q10" s="52">
        <f t="shared" si="2"/>
        <v>0</v>
      </c>
      <c r="R10" s="52">
        <f t="shared" si="3"/>
        <v>0</v>
      </c>
      <c r="S10" s="50"/>
    </row>
    <row r="11">
      <c r="A11" s="37" t="s">
        <v>69</v>
      </c>
      <c r="B11" s="37" t="s">
        <v>70</v>
      </c>
      <c r="C11" s="38" t="s">
        <v>42</v>
      </c>
      <c r="D11" s="40">
        <v>67.5</v>
      </c>
      <c r="E11" s="40" t="s">
        <v>43</v>
      </c>
      <c r="F11" s="40" t="str">
        <f t="array" ref="F11">INDEX(Roster!D$2:D52,MATCH(1,($A11=Roster!$B$2:$B52)*($B11=Roster!$A$2:$A52),0))</f>
        <v>2 - Fri</v>
      </c>
      <c r="G11" s="40">
        <v>2.0</v>
      </c>
      <c r="H11" s="40"/>
      <c r="I11" s="40"/>
      <c r="J11" s="38"/>
      <c r="K11" s="38"/>
      <c r="L11" s="41"/>
      <c r="M11" s="42"/>
      <c r="N11" s="34" t="s">
        <v>71</v>
      </c>
      <c r="O11" s="51">
        <v>1.0</v>
      </c>
      <c r="P11" s="52">
        <f t="shared" si="1"/>
        <v>1</v>
      </c>
      <c r="Q11" s="52">
        <f t="shared" si="2"/>
        <v>0</v>
      </c>
      <c r="R11" s="52">
        <f t="shared" si="3"/>
        <v>1</v>
      </c>
      <c r="S11" s="50"/>
    </row>
    <row r="12">
      <c r="A12" s="37" t="s">
        <v>72</v>
      </c>
      <c r="B12" s="37" t="s">
        <v>73</v>
      </c>
      <c r="C12" s="38" t="s">
        <v>42</v>
      </c>
      <c r="D12" s="40">
        <v>67.5</v>
      </c>
      <c r="E12" s="40" t="s">
        <v>43</v>
      </c>
      <c r="F12" s="40" t="str">
        <f t="array" ref="F12">INDEX(Roster!D$2:D52,MATCH(1,($A12=Roster!$B$2:$B52)*($B12=Roster!$A$2:$A52),0))</f>
        <v>2 - Fri</v>
      </c>
      <c r="G12" s="40">
        <v>2.0</v>
      </c>
      <c r="H12" s="40"/>
      <c r="I12" s="40"/>
      <c r="J12" s="38"/>
      <c r="K12" s="38"/>
      <c r="L12" s="41"/>
      <c r="M12" s="42"/>
      <c r="N12" s="34" t="s">
        <v>71</v>
      </c>
      <c r="O12" s="34">
        <v>2.0</v>
      </c>
      <c r="P12" s="52">
        <f t="shared" si="1"/>
        <v>0</v>
      </c>
      <c r="Q12" s="52">
        <f t="shared" si="2"/>
        <v>0</v>
      </c>
      <c r="R12" s="52">
        <f t="shared" si="3"/>
        <v>0</v>
      </c>
      <c r="S12" s="50"/>
    </row>
    <row r="13">
      <c r="A13" s="37" t="s">
        <v>74</v>
      </c>
      <c r="B13" s="37" t="s">
        <v>75</v>
      </c>
      <c r="C13" s="38" t="s">
        <v>42</v>
      </c>
      <c r="D13" s="40">
        <v>67.5</v>
      </c>
      <c r="E13" s="40" t="s">
        <v>43</v>
      </c>
      <c r="F13" s="40" t="str">
        <f t="array" ref="F13">INDEX(Roster!D$2:D52,MATCH(1,($A13=Roster!$B$2:$B52)*($B13=Roster!$A$2:$A52),0))</f>
        <v>2 - Fri</v>
      </c>
      <c r="G13" s="40">
        <v>2.0</v>
      </c>
      <c r="H13" s="40"/>
      <c r="I13" s="40"/>
      <c r="J13" s="38"/>
      <c r="K13" s="38"/>
      <c r="L13" s="41"/>
      <c r="M13" s="42"/>
      <c r="N13" s="34" t="s">
        <v>71</v>
      </c>
      <c r="O13" s="34">
        <v>3.0</v>
      </c>
      <c r="P13" s="52">
        <f t="shared" si="1"/>
        <v>4</v>
      </c>
      <c r="Q13" s="52">
        <f t="shared" si="2"/>
        <v>0</v>
      </c>
      <c r="R13" s="52">
        <f t="shared" si="3"/>
        <v>4</v>
      </c>
      <c r="S13" s="50"/>
    </row>
    <row r="14">
      <c r="A14" s="37" t="s">
        <v>76</v>
      </c>
      <c r="B14" s="37" t="s">
        <v>77</v>
      </c>
      <c r="C14" s="38" t="s">
        <v>42</v>
      </c>
      <c r="D14" s="40">
        <v>67.5</v>
      </c>
      <c r="E14" s="40" t="s">
        <v>43</v>
      </c>
      <c r="F14" s="40" t="str">
        <f t="array" ref="F14">INDEX(Roster!D$2:D52,MATCH(1,($A14=Roster!$B$2:$B52)*($B14=Roster!$A$2:$A52),0))</f>
        <v>2 - Fri</v>
      </c>
      <c r="G14" s="40">
        <v>2.0</v>
      </c>
      <c r="H14" s="40"/>
      <c r="I14" s="40"/>
      <c r="J14" s="38"/>
      <c r="K14" s="38"/>
      <c r="L14" s="47"/>
      <c r="M14" s="42"/>
      <c r="N14" s="34" t="s">
        <v>78</v>
      </c>
      <c r="O14" s="51">
        <v>1.0</v>
      </c>
      <c r="P14" s="52">
        <f t="shared" si="1"/>
        <v>7</v>
      </c>
      <c r="Q14" s="52">
        <f t="shared" si="2"/>
        <v>7</v>
      </c>
      <c r="R14" s="52">
        <f t="shared" si="3"/>
        <v>0</v>
      </c>
      <c r="S14" s="31"/>
    </row>
    <row r="15">
      <c r="A15" s="37" t="s">
        <v>79</v>
      </c>
      <c r="B15" s="37" t="s">
        <v>80</v>
      </c>
      <c r="C15" s="38" t="s">
        <v>42</v>
      </c>
      <c r="D15" s="40">
        <v>67.5</v>
      </c>
      <c r="E15" s="40" t="s">
        <v>51</v>
      </c>
      <c r="F15" s="40" t="str">
        <f t="array" ref="F15">INDEX(Roster!D$2:D52,MATCH(1,($A15=Roster!$B$2:$B52)*($B15=Roster!$A$2:$A52),0))</f>
        <v>2 - Fri</v>
      </c>
      <c r="G15" s="40">
        <v>2.0</v>
      </c>
      <c r="H15" s="40"/>
      <c r="I15" s="40"/>
      <c r="J15" s="38"/>
      <c r="K15" s="38"/>
      <c r="L15" s="41"/>
      <c r="M15" s="31"/>
      <c r="N15" s="34" t="s">
        <v>78</v>
      </c>
      <c r="O15" s="34">
        <v>2.0</v>
      </c>
      <c r="P15" s="52">
        <f t="shared" si="1"/>
        <v>2</v>
      </c>
      <c r="Q15" s="52">
        <f t="shared" si="2"/>
        <v>0</v>
      </c>
      <c r="R15" s="52">
        <f t="shared" si="3"/>
        <v>2</v>
      </c>
      <c r="S15" s="53"/>
    </row>
    <row r="16">
      <c r="A16" s="37" t="s">
        <v>81</v>
      </c>
      <c r="B16" s="37" t="s">
        <v>82</v>
      </c>
      <c r="C16" s="38" t="s">
        <v>42</v>
      </c>
      <c r="D16" s="39">
        <v>75.0</v>
      </c>
      <c r="E16" s="40" t="s">
        <v>51</v>
      </c>
      <c r="F16" s="40" t="str">
        <f t="array" ref="F16">INDEX(Roster!D$2:D52,MATCH(1,($A16=Roster!$B$2:$B52)*($B16=Roster!$A$2:$A52),0))</f>
        <v>2 - Fri</v>
      </c>
      <c r="G16" s="40">
        <v>2.0</v>
      </c>
      <c r="H16" s="40"/>
      <c r="I16" s="40"/>
      <c r="J16" s="38"/>
      <c r="K16" s="38"/>
      <c r="L16" s="41"/>
      <c r="M16" s="31"/>
      <c r="N16" s="54"/>
      <c r="O16" s="33"/>
      <c r="P16" s="34" t="s">
        <v>83</v>
      </c>
      <c r="Q16" s="52">
        <f t="shared" ref="Q16:R16" si="4">SUM(Q6:Q15)</f>
        <v>28</v>
      </c>
      <c r="R16" s="52">
        <f t="shared" si="4"/>
        <v>7</v>
      </c>
      <c r="S16" s="53"/>
    </row>
    <row r="17">
      <c r="A17" s="37" t="s">
        <v>69</v>
      </c>
      <c r="B17" s="37" t="s">
        <v>84</v>
      </c>
      <c r="C17" s="38" t="s">
        <v>42</v>
      </c>
      <c r="D17" s="39">
        <v>75.0</v>
      </c>
      <c r="E17" s="40" t="s">
        <v>43</v>
      </c>
      <c r="F17" s="40" t="str">
        <f t="array" ref="F17">INDEX(Roster!D$2:D52,MATCH(1,($A17=Roster!$B$2:$B52)*($B17=Roster!$A$2:$A52),0))</f>
        <v>2 - Fri</v>
      </c>
      <c r="G17" s="40">
        <v>2.0</v>
      </c>
      <c r="H17" s="40"/>
      <c r="I17" s="40"/>
      <c r="J17" s="38"/>
      <c r="K17" s="38"/>
      <c r="L17" s="41"/>
      <c r="M17" s="31"/>
      <c r="N17" s="53"/>
      <c r="O17" s="53"/>
      <c r="P17" s="53"/>
      <c r="Q17" s="53"/>
      <c r="R17" s="53"/>
      <c r="S17" s="53"/>
    </row>
    <row r="18">
      <c r="A18" s="37" t="s">
        <v>85</v>
      </c>
      <c r="B18" s="37" t="s">
        <v>86</v>
      </c>
      <c r="C18" s="38" t="s">
        <v>42</v>
      </c>
      <c r="D18" s="39">
        <v>75.0</v>
      </c>
      <c r="E18" s="40" t="s">
        <v>43</v>
      </c>
      <c r="F18" s="40" t="str">
        <f t="array" ref="F18">INDEX(Roster!D$2:D52,MATCH(1,($A18=Roster!$B$2:$B52)*($B18=Roster!$A$2:$A52),0))</f>
        <v>2 - Fri</v>
      </c>
      <c r="G18" s="40">
        <v>2.0</v>
      </c>
      <c r="H18" s="40"/>
      <c r="I18" s="40"/>
      <c r="J18" s="38"/>
      <c r="K18" s="38"/>
      <c r="L18" s="47"/>
      <c r="M18" s="31"/>
      <c r="N18" s="53"/>
      <c r="O18" s="53"/>
      <c r="P18" s="53"/>
      <c r="Q18" s="53"/>
      <c r="R18" s="53"/>
      <c r="S18" s="53"/>
    </row>
    <row r="19">
      <c r="A19" s="37" t="s">
        <v>87</v>
      </c>
      <c r="B19" s="37" t="s">
        <v>88</v>
      </c>
      <c r="C19" s="38" t="s">
        <v>42</v>
      </c>
      <c r="D19" s="39">
        <v>75.0</v>
      </c>
      <c r="E19" s="40" t="s">
        <v>43</v>
      </c>
      <c r="F19" s="40" t="str">
        <f t="array" ref="F19">INDEX(Roster!D$2:D52,MATCH(1,($A19=Roster!$B$2:$B52)*($B19=Roster!$A$2:$A52),0))</f>
        <v>2 - Fri</v>
      </c>
      <c r="G19" s="40">
        <v>2.0</v>
      </c>
      <c r="H19" s="40"/>
      <c r="I19" s="40"/>
      <c r="J19" s="38"/>
      <c r="K19" s="38"/>
      <c r="L19" s="41"/>
      <c r="M19" s="31"/>
      <c r="N19" s="53"/>
      <c r="O19" s="53"/>
      <c r="P19" s="53"/>
      <c r="Q19" s="53"/>
      <c r="R19" s="53"/>
      <c r="S19" s="53"/>
    </row>
    <row r="20">
      <c r="A20" s="37" t="s">
        <v>89</v>
      </c>
      <c r="B20" s="37" t="s">
        <v>90</v>
      </c>
      <c r="C20" s="38" t="s">
        <v>42</v>
      </c>
      <c r="D20" s="39">
        <v>75.0</v>
      </c>
      <c r="E20" s="40" t="s">
        <v>43</v>
      </c>
      <c r="F20" s="40" t="str">
        <f t="array" ref="F20">INDEX(Roster!D$2:D52,MATCH(1,($A20=Roster!$B$2:$B52)*($B20=Roster!$A$2:$A52),0))</f>
        <v>2 - Fri</v>
      </c>
      <c r="G20" s="40">
        <v>2.0</v>
      </c>
      <c r="H20" s="40"/>
      <c r="I20" s="40"/>
      <c r="J20" s="38"/>
      <c r="K20" s="38"/>
      <c r="L20" s="47"/>
      <c r="M20" s="31"/>
      <c r="N20" s="53"/>
      <c r="O20" s="53"/>
      <c r="P20" s="53"/>
      <c r="Q20" s="53"/>
      <c r="R20" s="53"/>
      <c r="S20" s="53"/>
    </row>
    <row r="21">
      <c r="A21" s="37" t="s">
        <v>91</v>
      </c>
      <c r="B21" s="37" t="s">
        <v>92</v>
      </c>
      <c r="C21" s="38" t="s">
        <v>42</v>
      </c>
      <c r="D21" s="39">
        <v>75.0</v>
      </c>
      <c r="E21" s="40" t="s">
        <v>43</v>
      </c>
      <c r="F21" s="40" t="str">
        <f t="array" ref="F21">INDEX(Roster!D$2:D52,MATCH(1,($A21=Roster!$B$2:$B52)*($B21=Roster!$A$2:$A52),0))</f>
        <v>2 - Fri</v>
      </c>
      <c r="G21" s="40">
        <v>2.0</v>
      </c>
      <c r="H21" s="40"/>
      <c r="I21" s="40"/>
      <c r="J21" s="38"/>
      <c r="K21" s="38"/>
      <c r="L21" s="41"/>
      <c r="M21" s="31"/>
      <c r="N21" s="53"/>
      <c r="O21" s="53"/>
      <c r="P21" s="53"/>
      <c r="Q21" s="53"/>
      <c r="R21" s="53"/>
      <c r="S21" s="53"/>
    </row>
    <row r="22">
      <c r="A22" s="37" t="s">
        <v>93</v>
      </c>
      <c r="B22" s="37" t="s">
        <v>94</v>
      </c>
      <c r="C22" s="38" t="s">
        <v>42</v>
      </c>
      <c r="D22" s="39">
        <v>75.0</v>
      </c>
      <c r="E22" s="40" t="s">
        <v>43</v>
      </c>
      <c r="F22" s="40" t="str">
        <f t="array" ref="F22">INDEX(Roster!D$2:D52,MATCH(1,($A22=Roster!$B$2:$B52)*($B22=Roster!$A$2:$A52),0))</f>
        <v>2 - Fri</v>
      </c>
      <c r="G22" s="40">
        <v>2.0</v>
      </c>
      <c r="H22" s="40"/>
      <c r="I22" s="40"/>
      <c r="J22" s="38"/>
      <c r="K22" s="38"/>
      <c r="L22" s="41"/>
      <c r="M22" s="31"/>
      <c r="N22" s="53"/>
      <c r="O22" s="53"/>
      <c r="P22" s="53"/>
      <c r="Q22" s="53"/>
      <c r="R22" s="53"/>
      <c r="S22" s="53"/>
    </row>
    <row r="23">
      <c r="A23" s="37" t="s">
        <v>95</v>
      </c>
      <c r="B23" s="37" t="s">
        <v>96</v>
      </c>
      <c r="C23" s="38" t="s">
        <v>42</v>
      </c>
      <c r="D23" s="39">
        <v>82.5</v>
      </c>
      <c r="E23" s="40" t="s">
        <v>51</v>
      </c>
      <c r="F23" s="40" t="str">
        <f t="array" ref="F23">INDEX(Roster!D$2:D52,MATCH(1,($A23=Roster!$B$2:$B52)*($B23=Roster!$A$2:$A52),0))</f>
        <v>4 - Sun</v>
      </c>
      <c r="G23" s="40">
        <v>1.0</v>
      </c>
      <c r="H23" s="40"/>
      <c r="I23" s="40"/>
      <c r="J23" s="38"/>
      <c r="K23" s="38"/>
      <c r="L23" s="47"/>
      <c r="M23" s="31"/>
      <c r="N23" s="53"/>
      <c r="O23" s="53"/>
      <c r="P23" s="53"/>
      <c r="Q23" s="53"/>
      <c r="R23" s="53"/>
      <c r="S23" s="53"/>
    </row>
    <row r="24">
      <c r="A24" s="37" t="s">
        <v>97</v>
      </c>
      <c r="B24" s="37" t="s">
        <v>98</v>
      </c>
      <c r="C24" s="38" t="s">
        <v>42</v>
      </c>
      <c r="D24" s="39">
        <v>82.5</v>
      </c>
      <c r="E24" s="40" t="s">
        <v>43</v>
      </c>
      <c r="F24" s="40" t="str">
        <f t="array" ref="F24">INDEX(Roster!D$2:D52,MATCH(1,($A24=Roster!$B$2:$B52)*($B24=Roster!$A$2:$A52),0))</f>
        <v>4 - Sun</v>
      </c>
      <c r="G24" s="40">
        <v>1.0</v>
      </c>
      <c r="H24" s="40"/>
      <c r="I24" s="40"/>
      <c r="J24" s="38"/>
      <c r="K24" s="38"/>
      <c r="L24" s="41" t="s">
        <v>44</v>
      </c>
      <c r="M24" s="31"/>
      <c r="N24" s="53"/>
      <c r="O24" s="53"/>
      <c r="P24" s="53"/>
      <c r="Q24" s="53"/>
      <c r="R24" s="53"/>
      <c r="S24" s="53"/>
    </row>
    <row r="25">
      <c r="A25" s="37" t="s">
        <v>99</v>
      </c>
      <c r="B25" s="37" t="s">
        <v>100</v>
      </c>
      <c r="C25" s="38" t="s">
        <v>42</v>
      </c>
      <c r="D25" s="39">
        <v>90.0</v>
      </c>
      <c r="E25" s="40" t="s">
        <v>51</v>
      </c>
      <c r="F25" s="40" t="str">
        <f t="array" ref="F25">INDEX(Roster!D$2:D52,MATCH(1,($A25=Roster!$B$2:$B52)*($B25=Roster!$A$2:$A52),0))</f>
        <v>4 - Sun</v>
      </c>
      <c r="G25" s="40">
        <v>1.0</v>
      </c>
      <c r="H25" s="40"/>
      <c r="I25" s="40"/>
      <c r="J25" s="38"/>
      <c r="K25" s="38"/>
      <c r="L25" s="47"/>
      <c r="M25" s="31"/>
      <c r="N25" s="53"/>
      <c r="O25" s="53"/>
      <c r="P25" s="53"/>
      <c r="Q25" s="53"/>
      <c r="R25" s="53"/>
      <c r="S25" s="53"/>
    </row>
    <row r="26">
      <c r="A26" s="37" t="s">
        <v>101</v>
      </c>
      <c r="B26" s="37" t="s">
        <v>102</v>
      </c>
      <c r="C26" s="38" t="s">
        <v>42</v>
      </c>
      <c r="D26" s="39">
        <v>90.0</v>
      </c>
      <c r="E26" s="40" t="s">
        <v>43</v>
      </c>
      <c r="F26" s="40" t="str">
        <f t="array" ref="F26">INDEX(Roster!D$2:D52,MATCH(1,($A26=Roster!$B$2:$B52)*($B26=Roster!$A$2:$A52),0))</f>
        <v>4 - Sun</v>
      </c>
      <c r="G26" s="40">
        <v>1.0</v>
      </c>
      <c r="H26" s="40"/>
      <c r="I26" s="40"/>
      <c r="J26" s="38"/>
      <c r="K26" s="38"/>
      <c r="L26" s="41" t="s">
        <v>44</v>
      </c>
      <c r="M26" s="31"/>
      <c r="N26" s="53"/>
      <c r="O26" s="53"/>
      <c r="P26" s="53"/>
      <c r="Q26" s="53"/>
      <c r="R26" s="53"/>
      <c r="S26" s="53"/>
    </row>
    <row r="27">
      <c r="A27" s="37" t="s">
        <v>103</v>
      </c>
      <c r="B27" s="37" t="s">
        <v>104</v>
      </c>
      <c r="C27" s="38" t="s">
        <v>42</v>
      </c>
      <c r="D27" s="40">
        <v>100.0</v>
      </c>
      <c r="E27" s="40" t="s">
        <v>43</v>
      </c>
      <c r="F27" s="40" t="str">
        <f t="array" ref="F27">INDEX(Roster!D$2:D52,MATCH(1,($A27=Roster!$B$2:$B52)*($B27=Roster!$A$2:$A52),0))</f>
        <v>4 - Sun</v>
      </c>
      <c r="G27" s="40">
        <v>1.0</v>
      </c>
      <c r="H27" s="40"/>
      <c r="I27" s="40"/>
      <c r="J27" s="38"/>
      <c r="K27" s="38"/>
      <c r="L27" s="47"/>
      <c r="M27" s="31"/>
      <c r="N27" s="53"/>
      <c r="O27" s="53"/>
      <c r="P27" s="53"/>
      <c r="Q27" s="53"/>
      <c r="R27" s="53"/>
      <c r="S27" s="53"/>
    </row>
    <row r="28">
      <c r="A28" s="37" t="s">
        <v>105</v>
      </c>
      <c r="B28" s="37" t="s">
        <v>106</v>
      </c>
      <c r="C28" s="38" t="s">
        <v>42</v>
      </c>
      <c r="D28" s="40">
        <v>100.0</v>
      </c>
      <c r="E28" s="40" t="s">
        <v>51</v>
      </c>
      <c r="F28" s="40" t="str">
        <f t="array" ref="F28">INDEX(Roster!D$2:D52,MATCH(1,($A28=Roster!$B$2:$B52)*($B28=Roster!$A$2:$A52),0))</f>
        <v>4 - Sun</v>
      </c>
      <c r="G28" s="40">
        <v>1.0</v>
      </c>
      <c r="H28" s="40"/>
      <c r="I28" s="40"/>
      <c r="J28" s="38"/>
      <c r="K28" s="38"/>
      <c r="L28" s="47"/>
      <c r="M28" s="31"/>
      <c r="N28" s="53"/>
      <c r="O28" s="53"/>
      <c r="P28" s="53"/>
      <c r="Q28" s="53"/>
      <c r="R28" s="53"/>
      <c r="S28" s="53"/>
    </row>
    <row r="29">
      <c r="A29" s="37" t="s">
        <v>95</v>
      </c>
      <c r="B29" s="37" t="s">
        <v>107</v>
      </c>
      <c r="C29" s="38" t="s">
        <v>42</v>
      </c>
      <c r="D29" s="40">
        <v>100.0</v>
      </c>
      <c r="E29" s="40" t="s">
        <v>43</v>
      </c>
      <c r="F29" s="40" t="str">
        <f t="array" ref="F29">INDEX(Roster!D$2:D52,MATCH(1,($A29=Roster!$B$2:$B52)*($B29=Roster!$A$2:$A52),0))</f>
        <v>4 - Sun</v>
      </c>
      <c r="G29" s="40">
        <v>1.0</v>
      </c>
      <c r="H29" s="40"/>
      <c r="I29" s="40"/>
      <c r="J29" s="38"/>
      <c r="K29" s="38"/>
      <c r="L29" s="41" t="s">
        <v>44</v>
      </c>
      <c r="M29" s="31"/>
      <c r="N29" s="53"/>
      <c r="O29" s="53"/>
      <c r="P29" s="53"/>
      <c r="Q29" s="53"/>
      <c r="R29" s="53"/>
      <c r="S29" s="53"/>
    </row>
    <row r="30">
      <c r="A30" s="37" t="s">
        <v>108</v>
      </c>
      <c r="B30" s="37" t="s">
        <v>109</v>
      </c>
      <c r="C30" s="38" t="s">
        <v>110</v>
      </c>
      <c r="D30" s="39">
        <v>82.5</v>
      </c>
      <c r="E30" s="40" t="s">
        <v>43</v>
      </c>
      <c r="F30" s="40" t="str">
        <f t="array" ref="F30">INDEX(Roster!D$2:D52,MATCH(1,($A30=Roster!$B$2:$B52)*($B30=Roster!$A$2:$A52),0))</f>
        <v>3 - Sat</v>
      </c>
      <c r="G30" s="40">
        <v>1.0</v>
      </c>
      <c r="H30" s="40"/>
      <c r="I30" s="40"/>
      <c r="J30" s="38"/>
      <c r="K30" s="38"/>
      <c r="L30" s="40" t="s">
        <v>44</v>
      </c>
      <c r="M30" s="31"/>
      <c r="N30" s="53"/>
      <c r="O30" s="53"/>
      <c r="P30" s="53"/>
      <c r="Q30" s="53"/>
      <c r="R30" s="53"/>
      <c r="S30" s="53"/>
    </row>
    <row r="31">
      <c r="A31" s="37" t="s">
        <v>111</v>
      </c>
      <c r="B31" s="37" t="s">
        <v>112</v>
      </c>
      <c r="C31" s="38" t="s">
        <v>110</v>
      </c>
      <c r="D31" s="39">
        <v>90.0</v>
      </c>
      <c r="E31" s="40" t="s">
        <v>43</v>
      </c>
      <c r="F31" s="40" t="str">
        <f t="array" ref="F31">INDEX(Roster!D$2:D52,MATCH(1,($A31=Roster!$B$2:$B52)*($B31=Roster!$A$2:$A52),0))</f>
        <v>3 - Sat</v>
      </c>
      <c r="G31" s="40">
        <v>3.0</v>
      </c>
      <c r="H31" s="40"/>
      <c r="I31" s="40"/>
      <c r="J31" s="38"/>
      <c r="K31" s="38"/>
      <c r="L31" s="40" t="s">
        <v>44</v>
      </c>
      <c r="M31" s="31"/>
      <c r="N31" s="53"/>
      <c r="O31" s="53"/>
      <c r="P31" s="53"/>
      <c r="Q31" s="53"/>
      <c r="R31" s="53"/>
      <c r="S31" s="53"/>
    </row>
    <row r="32">
      <c r="A32" s="37" t="s">
        <v>113</v>
      </c>
      <c r="B32" s="37" t="s">
        <v>114</v>
      </c>
      <c r="C32" s="38" t="s">
        <v>110</v>
      </c>
      <c r="D32" s="39">
        <v>90.0</v>
      </c>
      <c r="E32" s="40" t="s">
        <v>43</v>
      </c>
      <c r="F32" s="40" t="str">
        <f t="array" ref="F32">INDEX(Roster!D$2:D52,MATCH(1,($A32=Roster!$B$2:$B52)*($B32=Roster!$A$2:$A52),0))</f>
        <v>3 - Sat</v>
      </c>
      <c r="G32" s="40">
        <v>3.0</v>
      </c>
      <c r="H32" s="40"/>
      <c r="I32" s="40"/>
      <c r="J32" s="38"/>
      <c r="K32" s="38"/>
      <c r="L32" s="40" t="s">
        <v>44</v>
      </c>
      <c r="M32" s="31"/>
      <c r="N32" s="53"/>
      <c r="O32" s="53"/>
      <c r="P32" s="53"/>
      <c r="Q32" s="53"/>
      <c r="R32" s="53"/>
      <c r="S32" s="53"/>
    </row>
    <row r="33">
      <c r="A33" s="37" t="s">
        <v>115</v>
      </c>
      <c r="B33" s="37" t="s">
        <v>116</v>
      </c>
      <c r="C33" s="38" t="s">
        <v>110</v>
      </c>
      <c r="D33" s="39">
        <v>100.0</v>
      </c>
      <c r="E33" s="40" t="s">
        <v>43</v>
      </c>
      <c r="F33" s="40" t="str">
        <f t="array" ref="F33">INDEX(Roster!D$2:D52,MATCH(1,($A33=Roster!$B$2:$B52)*($B33=Roster!$A$2:$A52),0))</f>
        <v>3 - Sat</v>
      </c>
      <c r="G33" s="40">
        <v>3.0</v>
      </c>
      <c r="H33" s="40"/>
      <c r="I33" s="40"/>
      <c r="J33" s="38"/>
      <c r="K33" s="38"/>
      <c r="L33" s="40" t="s">
        <v>44</v>
      </c>
      <c r="M33" s="31"/>
      <c r="N33" s="53"/>
      <c r="O33" s="53"/>
      <c r="P33" s="53"/>
      <c r="Q33" s="53"/>
      <c r="R33" s="53"/>
      <c r="S33" s="53"/>
    </row>
    <row r="34">
      <c r="A34" s="37" t="s">
        <v>117</v>
      </c>
      <c r="B34" s="37" t="s">
        <v>118</v>
      </c>
      <c r="C34" s="38" t="s">
        <v>110</v>
      </c>
      <c r="D34" s="39">
        <v>100.0</v>
      </c>
      <c r="E34" s="40" t="s">
        <v>43</v>
      </c>
      <c r="F34" s="40" t="str">
        <f t="array" ref="F34">INDEX(Roster!D$2:D52,MATCH(1,($A34=Roster!$B$2:$B52)*($B34=Roster!$A$2:$A52),0))</f>
        <v>3 - Sat</v>
      </c>
      <c r="G34" s="40">
        <v>3.0</v>
      </c>
      <c r="H34" s="40"/>
      <c r="I34" s="40"/>
      <c r="J34" s="38"/>
      <c r="K34" s="38"/>
      <c r="L34" s="40" t="s">
        <v>44</v>
      </c>
      <c r="M34" s="31"/>
      <c r="N34" s="53"/>
      <c r="O34" s="53"/>
      <c r="P34" s="53"/>
      <c r="Q34" s="53"/>
      <c r="R34" s="53"/>
      <c r="S34" s="53"/>
    </row>
    <row r="35">
      <c r="A35" s="37" t="s">
        <v>119</v>
      </c>
      <c r="B35" s="37" t="s">
        <v>120</v>
      </c>
      <c r="C35" s="38" t="s">
        <v>110</v>
      </c>
      <c r="D35" s="39">
        <v>110.0</v>
      </c>
      <c r="E35" s="40" t="s">
        <v>43</v>
      </c>
      <c r="F35" s="40" t="str">
        <f t="array" ref="F35">INDEX(Roster!D$2:D52,MATCH(1,($A35=Roster!$B$2:$B52)*($B35=Roster!$A$2:$A52),0))</f>
        <v>4 - Sun</v>
      </c>
      <c r="G35" s="40">
        <v>2.0</v>
      </c>
      <c r="H35" s="40"/>
      <c r="I35" s="40"/>
      <c r="J35" s="38"/>
      <c r="K35" s="38"/>
      <c r="L35" s="40" t="s">
        <v>44</v>
      </c>
      <c r="M35" s="31"/>
      <c r="N35" s="53"/>
      <c r="O35" s="53"/>
      <c r="P35" s="53"/>
      <c r="Q35" s="53"/>
      <c r="R35" s="53"/>
      <c r="S35" s="53"/>
    </row>
    <row r="36">
      <c r="A36" s="37" t="s">
        <v>121</v>
      </c>
      <c r="B36" s="37" t="s">
        <v>122</v>
      </c>
      <c r="C36" s="38" t="s">
        <v>110</v>
      </c>
      <c r="D36" s="39">
        <v>125.0</v>
      </c>
      <c r="E36" s="40" t="s">
        <v>43</v>
      </c>
      <c r="F36" s="40" t="str">
        <f t="array" ref="F36">INDEX(Roster!D$2:D52,MATCH(1,($A36=Roster!$B$2:$B52)*($B36=Roster!$A$2:$A52),0))</f>
        <v>4 - Sun</v>
      </c>
      <c r="G36" s="40">
        <v>2.0</v>
      </c>
      <c r="H36" s="40"/>
      <c r="I36" s="40"/>
      <c r="J36" s="38"/>
      <c r="K36" s="38"/>
      <c r="L36" s="40" t="s">
        <v>44</v>
      </c>
      <c r="M36" s="31"/>
      <c r="N36" s="53"/>
      <c r="O36" s="53"/>
      <c r="P36" s="53"/>
      <c r="Q36" s="53"/>
      <c r="R36" s="53"/>
      <c r="S36" s="53"/>
    </row>
    <row r="37">
      <c r="A37" s="37"/>
      <c r="B37" s="37"/>
      <c r="C37" s="55"/>
      <c r="D37" s="39"/>
      <c r="E37" s="40"/>
      <c r="F37" s="40"/>
      <c r="G37" s="40"/>
      <c r="H37" s="40"/>
      <c r="I37" s="40"/>
      <c r="J37" s="38"/>
      <c r="K37" s="38"/>
      <c r="L37" s="47"/>
      <c r="M37" s="31"/>
      <c r="N37" s="53"/>
      <c r="O37" s="53"/>
      <c r="P37" s="53"/>
      <c r="Q37" s="53"/>
      <c r="R37" s="53"/>
      <c r="S37" s="53"/>
    </row>
    <row r="38">
      <c r="A38" s="56"/>
      <c r="B38" s="56"/>
      <c r="C38" s="55"/>
      <c r="D38" s="57"/>
      <c r="E38" s="40"/>
      <c r="F38" s="40"/>
      <c r="G38" s="40"/>
      <c r="H38" s="40"/>
      <c r="I38" s="40"/>
      <c r="J38" s="38"/>
      <c r="K38" s="38"/>
      <c r="L38" s="47"/>
      <c r="M38" s="31"/>
      <c r="N38" s="53"/>
      <c r="O38" s="53"/>
      <c r="P38" s="53"/>
      <c r="Q38" s="53"/>
      <c r="R38" s="53"/>
      <c r="S38" s="53"/>
    </row>
    <row r="39">
      <c r="A39" s="58" t="s">
        <v>123</v>
      </c>
      <c r="B39" s="59"/>
      <c r="C39" s="60"/>
      <c r="D39" s="61"/>
      <c r="E39" s="62"/>
      <c r="F39" s="60"/>
      <c r="G39" s="60"/>
      <c r="H39" s="60"/>
      <c r="I39" s="60"/>
      <c r="J39" s="60"/>
      <c r="K39" s="60"/>
      <c r="L39" s="63"/>
      <c r="M39" s="31"/>
      <c r="N39" s="53"/>
      <c r="O39" s="53"/>
      <c r="P39" s="53"/>
      <c r="Q39" s="53"/>
      <c r="R39" s="53"/>
      <c r="S39" s="53"/>
    </row>
    <row r="40">
      <c r="A40" s="37"/>
      <c r="B40" s="37"/>
      <c r="C40" s="38"/>
      <c r="D40" s="57"/>
      <c r="E40" s="55"/>
      <c r="F40" s="38"/>
      <c r="G40" s="38"/>
      <c r="H40" s="38"/>
      <c r="I40" s="38"/>
      <c r="J40" s="38"/>
      <c r="K40" s="38"/>
      <c r="L40" s="41"/>
      <c r="M40" s="64"/>
      <c r="N40" s="64"/>
      <c r="O40" s="64"/>
      <c r="P40" s="64"/>
      <c r="Q40" s="64"/>
      <c r="R40" s="64"/>
      <c r="S40" s="64"/>
    </row>
    <row r="41">
      <c r="A41" s="37"/>
      <c r="B41" s="37"/>
      <c r="C41" s="38"/>
      <c r="D41" s="57"/>
      <c r="E41" s="55"/>
      <c r="F41" s="38"/>
      <c r="G41" s="38"/>
      <c r="H41" s="38"/>
      <c r="I41" s="38"/>
      <c r="J41" s="38"/>
      <c r="K41" s="38"/>
      <c r="L41" s="41"/>
      <c r="M41" s="31"/>
      <c r="N41" s="53"/>
      <c r="O41" s="53"/>
      <c r="P41" s="53"/>
      <c r="Q41" s="53"/>
      <c r="R41" s="53"/>
      <c r="S41" s="53"/>
    </row>
    <row r="42">
      <c r="A42" s="37"/>
      <c r="B42" s="37"/>
      <c r="C42" s="38"/>
      <c r="D42" s="57"/>
      <c r="E42" s="55"/>
      <c r="F42" s="38"/>
      <c r="G42" s="38"/>
      <c r="H42" s="38"/>
      <c r="I42" s="38"/>
      <c r="J42" s="38"/>
      <c r="K42" s="38"/>
      <c r="L42" s="41"/>
      <c r="M42" s="31"/>
      <c r="N42" s="53"/>
      <c r="O42" s="53"/>
      <c r="P42" s="53"/>
      <c r="Q42" s="53"/>
      <c r="R42" s="53"/>
      <c r="S42" s="53"/>
    </row>
    <row r="43">
      <c r="A43" s="37"/>
      <c r="B43" s="37"/>
      <c r="C43" s="38"/>
      <c r="D43" s="57"/>
      <c r="E43" s="55"/>
      <c r="F43" s="38"/>
      <c r="G43" s="38"/>
      <c r="H43" s="38"/>
      <c r="I43" s="38"/>
      <c r="J43" s="38"/>
      <c r="K43" s="38"/>
      <c r="L43" s="41"/>
      <c r="M43" s="31"/>
      <c r="N43" s="53"/>
      <c r="O43" s="53"/>
      <c r="P43" s="53"/>
      <c r="Q43" s="53"/>
      <c r="R43" s="53"/>
      <c r="S43" s="53"/>
    </row>
    <row r="44">
      <c r="A44" s="37"/>
      <c r="B44" s="65"/>
      <c r="C44" s="38"/>
      <c r="D44" s="57"/>
      <c r="E44" s="55"/>
      <c r="F44" s="38"/>
      <c r="G44" s="38"/>
      <c r="H44" s="38"/>
      <c r="I44" s="38"/>
      <c r="J44" s="38"/>
      <c r="K44" s="38"/>
      <c r="L44" s="41"/>
      <c r="M44" s="31"/>
      <c r="N44" s="53"/>
      <c r="O44" s="53"/>
      <c r="P44" s="53"/>
      <c r="Q44" s="53"/>
      <c r="R44" s="53"/>
      <c r="S44" s="53"/>
    </row>
    <row r="45">
      <c r="A45" s="37"/>
      <c r="B45" s="37"/>
      <c r="C45" s="38"/>
      <c r="D45" s="57"/>
      <c r="E45" s="55"/>
      <c r="F45" s="38"/>
      <c r="G45" s="38"/>
      <c r="H45" s="38"/>
      <c r="I45" s="38"/>
      <c r="J45" s="38"/>
      <c r="K45" s="38"/>
      <c r="L45" s="41"/>
      <c r="M45" s="31"/>
      <c r="N45" s="53"/>
      <c r="O45" s="53"/>
      <c r="P45" s="53"/>
      <c r="Q45" s="53"/>
      <c r="R45" s="53"/>
      <c r="S45" s="53"/>
    </row>
    <row r="46">
      <c r="A46" s="37"/>
      <c r="B46" s="37"/>
      <c r="C46" s="38"/>
      <c r="D46" s="57"/>
      <c r="E46" s="55"/>
      <c r="F46" s="38"/>
      <c r="G46" s="38"/>
      <c r="H46" s="38"/>
      <c r="I46" s="38"/>
      <c r="J46" s="38"/>
      <c r="K46" s="38"/>
      <c r="L46" s="41"/>
      <c r="M46" s="31"/>
      <c r="N46" s="53"/>
      <c r="O46" s="53"/>
      <c r="P46" s="53"/>
      <c r="Q46" s="53"/>
      <c r="R46" s="53"/>
      <c r="S46" s="53"/>
    </row>
    <row r="47">
      <c r="A47" s="37"/>
      <c r="B47" s="65"/>
      <c r="C47" s="38"/>
      <c r="D47" s="57"/>
      <c r="E47" s="55"/>
      <c r="F47" s="38"/>
      <c r="G47" s="38"/>
      <c r="H47" s="38"/>
      <c r="I47" s="38"/>
      <c r="J47" s="38"/>
      <c r="K47" s="38"/>
      <c r="L47" s="41"/>
      <c r="M47" s="31"/>
      <c r="N47" s="53"/>
      <c r="O47" s="53"/>
      <c r="P47" s="53"/>
      <c r="Q47" s="53"/>
      <c r="R47" s="53"/>
      <c r="S47" s="53"/>
    </row>
    <row r="48">
      <c r="A48" s="37"/>
      <c r="B48" s="37"/>
      <c r="C48" s="38"/>
      <c r="D48" s="57"/>
      <c r="E48" s="55"/>
      <c r="F48" s="38"/>
      <c r="G48" s="38"/>
      <c r="H48" s="38"/>
      <c r="I48" s="38"/>
      <c r="J48" s="38"/>
      <c r="K48" s="38"/>
      <c r="L48" s="41"/>
      <c r="M48" s="31"/>
      <c r="N48" s="53"/>
      <c r="O48" s="53"/>
      <c r="P48" s="53"/>
      <c r="Q48" s="53"/>
      <c r="R48" s="53"/>
      <c r="S48" s="53"/>
    </row>
    <row r="49">
      <c r="A49" s="37"/>
      <c r="B49" s="65"/>
      <c r="C49" s="38"/>
      <c r="D49" s="57"/>
      <c r="E49" s="55"/>
      <c r="F49" s="38"/>
      <c r="G49" s="38"/>
      <c r="H49" s="38"/>
      <c r="I49" s="38"/>
      <c r="J49" s="38"/>
      <c r="K49" s="38"/>
      <c r="L49" s="41"/>
      <c r="M49" s="31"/>
      <c r="N49" s="53"/>
      <c r="O49" s="53"/>
      <c r="P49" s="53"/>
      <c r="Q49" s="53"/>
      <c r="R49" s="53"/>
      <c r="S49" s="53"/>
    </row>
    <row r="50">
      <c r="A50" s="37"/>
      <c r="B50" s="37"/>
      <c r="C50" s="38"/>
      <c r="D50" s="66"/>
      <c r="E50" s="55"/>
      <c r="F50" s="67"/>
      <c r="G50" s="67"/>
      <c r="H50" s="67"/>
      <c r="I50" s="67"/>
      <c r="J50" s="38"/>
      <c r="K50" s="38"/>
      <c r="L50" s="41"/>
      <c r="M50" s="31"/>
      <c r="N50" s="53"/>
      <c r="O50" s="53"/>
      <c r="P50" s="53"/>
      <c r="Q50" s="53"/>
      <c r="R50" s="53"/>
      <c r="S50" s="53"/>
    </row>
    <row r="51">
      <c r="A51" s="37"/>
      <c r="B51" s="65"/>
      <c r="C51" s="38"/>
      <c r="D51" s="66"/>
      <c r="E51" s="55"/>
      <c r="F51" s="67"/>
      <c r="G51" s="67"/>
      <c r="H51" s="67"/>
      <c r="I51" s="67"/>
      <c r="J51" s="38"/>
      <c r="K51" s="38"/>
      <c r="L51" s="38"/>
      <c r="M51" s="31"/>
      <c r="N51" s="53"/>
      <c r="O51" s="53"/>
      <c r="P51" s="53"/>
      <c r="Q51" s="53"/>
      <c r="R51" s="53"/>
      <c r="S51" s="53"/>
    </row>
    <row r="52">
      <c r="M52" s="64"/>
      <c r="N52" s="64"/>
      <c r="O52" s="64"/>
      <c r="P52" s="64"/>
      <c r="Q52" s="64"/>
      <c r="R52" s="64"/>
      <c r="S52" s="64"/>
    </row>
  </sheetData>
  <autoFilter ref="$A$1:$J$52"/>
  <mergeCells count="2">
    <mergeCell ref="N2:O2"/>
    <mergeCell ref="N3:O3"/>
  </mergeCells>
  <conditionalFormatting sqref="J2:J38">
    <cfRule type="containsBlanks" dxfId="0" priority="1">
      <formula>LEN(TRIM(J2))=0</formula>
    </cfRule>
  </conditionalFormatting>
  <conditionalFormatting sqref="E1 E39:E52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5.63"/>
    <col customWidth="1" min="3" max="3" width="14.38"/>
    <col customWidth="1" min="4" max="4" width="14.13"/>
    <col customWidth="1" min="5" max="5" width="23.0"/>
    <col customWidth="1" min="6" max="6" width="8.0"/>
    <col customWidth="1" min="7" max="7" width="7.5"/>
    <col customWidth="1" min="8" max="8" width="15.5"/>
    <col customWidth="1" min="9" max="9" width="14.38"/>
    <col customWidth="1" min="10" max="10" width="15.88"/>
    <col customWidth="1" min="11" max="11" width="15.0"/>
  </cols>
  <sheetData>
    <row r="1">
      <c r="A1" s="68">
        <v>44647.0</v>
      </c>
      <c r="B1" s="14"/>
      <c r="C1" s="14"/>
      <c r="D1" s="14"/>
      <c r="E1" s="15"/>
      <c r="F1" s="69"/>
      <c r="G1" s="68">
        <v>44647.0</v>
      </c>
      <c r="H1" s="14"/>
      <c r="I1" s="14"/>
      <c r="J1" s="14"/>
      <c r="K1" s="15"/>
    </row>
    <row r="2">
      <c r="A2" s="70"/>
      <c r="B2" s="70">
        <v>1.0</v>
      </c>
      <c r="C2" s="70">
        <v>2.0</v>
      </c>
      <c r="D2" s="70">
        <v>3.0</v>
      </c>
      <c r="E2" s="70">
        <v>4.0</v>
      </c>
      <c r="F2" s="71"/>
      <c r="G2" s="70"/>
      <c r="H2" s="70">
        <v>1.0</v>
      </c>
      <c r="I2" s="70">
        <v>2.0</v>
      </c>
      <c r="J2" s="70">
        <v>3.0</v>
      </c>
      <c r="K2" s="70">
        <v>4.0</v>
      </c>
    </row>
    <row r="3">
      <c r="A3" s="72" t="s">
        <v>124</v>
      </c>
      <c r="B3" s="73" t="s">
        <v>125</v>
      </c>
      <c r="C3" s="73" t="s">
        <v>126</v>
      </c>
      <c r="D3" s="73" t="s">
        <v>127</v>
      </c>
      <c r="E3" s="73" t="s">
        <v>128</v>
      </c>
      <c r="F3" s="74"/>
      <c r="G3" s="72" t="s">
        <v>124</v>
      </c>
      <c r="H3" s="73" t="s">
        <v>129</v>
      </c>
      <c r="I3" s="73" t="s">
        <v>130</v>
      </c>
      <c r="J3" s="73"/>
      <c r="K3" s="73"/>
    </row>
    <row r="4">
      <c r="A4" s="72" t="s">
        <v>131</v>
      </c>
      <c r="B4" s="73" t="s">
        <v>132</v>
      </c>
      <c r="C4" s="73" t="s">
        <v>133</v>
      </c>
      <c r="D4" s="73" t="s">
        <v>133</v>
      </c>
      <c r="E4" s="73" t="s">
        <v>134</v>
      </c>
      <c r="F4" s="74"/>
      <c r="G4" s="72" t="s">
        <v>131</v>
      </c>
      <c r="H4" s="73"/>
      <c r="I4" s="73"/>
      <c r="J4" s="73"/>
      <c r="K4" s="73"/>
    </row>
    <row r="5">
      <c r="A5" s="70"/>
      <c r="B5" s="70">
        <v>1.0</v>
      </c>
      <c r="C5" s="70">
        <v>2.0</v>
      </c>
      <c r="D5" s="70">
        <v>3.0</v>
      </c>
      <c r="E5" s="70">
        <v>4.0</v>
      </c>
      <c r="F5" s="71"/>
      <c r="G5" s="70"/>
      <c r="H5" s="70">
        <v>1.0</v>
      </c>
      <c r="I5" s="70">
        <v>2.0</v>
      </c>
      <c r="J5" s="70">
        <v>3.0</v>
      </c>
      <c r="K5" s="70">
        <v>4.0</v>
      </c>
    </row>
    <row r="6">
      <c r="A6" s="72" t="s">
        <v>135</v>
      </c>
      <c r="B6" s="73" t="s">
        <v>136</v>
      </c>
      <c r="C6" s="73" t="s">
        <v>136</v>
      </c>
      <c r="D6" s="73" t="s">
        <v>136</v>
      </c>
      <c r="E6" s="73" t="s">
        <v>136</v>
      </c>
      <c r="F6" s="74"/>
      <c r="G6" s="72" t="s">
        <v>135</v>
      </c>
      <c r="H6" s="73"/>
      <c r="I6" s="73"/>
      <c r="J6" s="73"/>
      <c r="K6" s="73"/>
    </row>
    <row r="7">
      <c r="A7" s="72" t="s">
        <v>137</v>
      </c>
      <c r="B7" s="73" t="s">
        <v>138</v>
      </c>
      <c r="C7" s="73" t="s">
        <v>138</v>
      </c>
      <c r="D7" s="73" t="s">
        <v>139</v>
      </c>
      <c r="E7" s="73" t="s">
        <v>140</v>
      </c>
      <c r="F7" s="74"/>
      <c r="G7" s="72" t="s">
        <v>137</v>
      </c>
      <c r="H7" s="73"/>
      <c r="I7" s="73"/>
      <c r="J7" s="73" t="s">
        <v>141</v>
      </c>
      <c r="K7" s="73"/>
    </row>
    <row r="8">
      <c r="A8" s="70"/>
      <c r="B8" s="70">
        <v>1.0</v>
      </c>
      <c r="C8" s="70">
        <v>2.0</v>
      </c>
      <c r="D8" s="70">
        <v>3.0</v>
      </c>
      <c r="E8" s="70">
        <v>4.0</v>
      </c>
      <c r="F8" s="71"/>
      <c r="G8" s="70"/>
      <c r="H8" s="70">
        <v>1.0</v>
      </c>
      <c r="I8" s="70">
        <v>2.0</v>
      </c>
      <c r="J8" s="70">
        <v>3.0</v>
      </c>
      <c r="K8" s="70">
        <v>4.0</v>
      </c>
    </row>
    <row r="9">
      <c r="A9" s="72" t="s">
        <v>142</v>
      </c>
      <c r="B9" s="73" t="s">
        <v>143</v>
      </c>
      <c r="C9" s="73" t="s">
        <v>144</v>
      </c>
      <c r="D9" s="73" t="s">
        <v>145</v>
      </c>
      <c r="E9" s="73" t="s">
        <v>145</v>
      </c>
      <c r="F9" s="74"/>
      <c r="G9" s="72" t="s">
        <v>142</v>
      </c>
      <c r="H9" s="73" t="s">
        <v>146</v>
      </c>
      <c r="I9" s="73"/>
      <c r="J9" s="73"/>
      <c r="K9" s="73"/>
    </row>
    <row r="10">
      <c r="A10" s="72" t="s">
        <v>147</v>
      </c>
      <c r="B10" s="73" t="s">
        <v>148</v>
      </c>
      <c r="C10" s="73" t="s">
        <v>144</v>
      </c>
      <c r="D10" s="73" t="s">
        <v>145</v>
      </c>
      <c r="E10" s="73" t="s">
        <v>145</v>
      </c>
      <c r="F10" s="74"/>
      <c r="G10" s="72" t="s">
        <v>147</v>
      </c>
      <c r="H10" s="73" t="s">
        <v>149</v>
      </c>
      <c r="I10" s="73"/>
      <c r="J10" s="73"/>
      <c r="K10" s="73"/>
    </row>
    <row r="11">
      <c r="A11" s="72" t="s">
        <v>150</v>
      </c>
      <c r="B11" s="73" t="s">
        <v>151</v>
      </c>
      <c r="C11" s="73" t="s">
        <v>144</v>
      </c>
      <c r="D11" s="73" t="s">
        <v>145</v>
      </c>
      <c r="E11" s="73" t="s">
        <v>145</v>
      </c>
      <c r="F11" s="74"/>
      <c r="G11" s="72" t="s">
        <v>150</v>
      </c>
      <c r="H11" s="73"/>
      <c r="I11" s="73"/>
      <c r="J11" s="73"/>
      <c r="K11" s="73"/>
    </row>
    <row r="12">
      <c r="A12" s="13">
        <v>44648.0</v>
      </c>
      <c r="B12" s="14"/>
      <c r="C12" s="14"/>
      <c r="D12" s="14"/>
      <c r="E12" s="15"/>
      <c r="F12" s="75"/>
      <c r="G12" s="13">
        <v>44648.0</v>
      </c>
      <c r="H12" s="14"/>
      <c r="I12" s="14"/>
      <c r="J12" s="14"/>
      <c r="K12" s="15"/>
    </row>
    <row r="13">
      <c r="A13" s="70"/>
      <c r="B13" s="70">
        <v>1.0</v>
      </c>
      <c r="C13" s="70">
        <v>2.0</v>
      </c>
      <c r="D13" s="70">
        <v>3.0</v>
      </c>
      <c r="E13" s="70">
        <v>4.0</v>
      </c>
      <c r="F13" s="71"/>
      <c r="G13" s="70"/>
      <c r="H13" s="70">
        <v>1.0</v>
      </c>
      <c r="I13" s="70">
        <v>2.0</v>
      </c>
      <c r="J13" s="70">
        <v>3.0</v>
      </c>
      <c r="K13" s="70">
        <v>4.0</v>
      </c>
    </row>
    <row r="14">
      <c r="A14" s="72" t="s">
        <v>124</v>
      </c>
      <c r="B14" s="73" t="s">
        <v>152</v>
      </c>
      <c r="C14" s="73" t="s">
        <v>152</v>
      </c>
      <c r="D14" s="73" t="s">
        <v>152</v>
      </c>
      <c r="E14" s="73" t="s">
        <v>152</v>
      </c>
      <c r="F14" s="74"/>
      <c r="G14" s="72" t="s">
        <v>124</v>
      </c>
      <c r="H14" s="73"/>
      <c r="I14" s="73"/>
      <c r="J14" s="73"/>
      <c r="K14" s="73"/>
    </row>
    <row r="15">
      <c r="A15" s="72" t="s">
        <v>131</v>
      </c>
      <c r="B15" s="73" t="s">
        <v>152</v>
      </c>
      <c r="C15" s="73" t="s">
        <v>152</v>
      </c>
      <c r="D15" s="73" t="s">
        <v>152</v>
      </c>
      <c r="E15" s="73" t="s">
        <v>152</v>
      </c>
      <c r="F15" s="74"/>
      <c r="G15" s="72" t="s">
        <v>131</v>
      </c>
      <c r="H15" s="73"/>
      <c r="I15" s="73"/>
      <c r="J15" s="73"/>
      <c r="K15" s="73"/>
    </row>
    <row r="16">
      <c r="A16" s="72" t="s">
        <v>135</v>
      </c>
      <c r="B16" s="73" t="s">
        <v>153</v>
      </c>
      <c r="C16" s="73" t="s">
        <v>154</v>
      </c>
      <c r="D16" s="73" t="s">
        <v>155</v>
      </c>
      <c r="E16" s="73" t="s">
        <v>156</v>
      </c>
      <c r="F16" s="74"/>
      <c r="G16" s="72" t="s">
        <v>135</v>
      </c>
      <c r="H16" s="76" t="s">
        <v>157</v>
      </c>
      <c r="I16" s="73" t="s">
        <v>72</v>
      </c>
      <c r="J16" s="73" t="s">
        <v>113</v>
      </c>
      <c r="K16" s="73" t="s">
        <v>158</v>
      </c>
    </row>
    <row r="17">
      <c r="A17" s="70"/>
      <c r="B17" s="70">
        <v>1.0</v>
      </c>
      <c r="C17" s="70">
        <v>2.0</v>
      </c>
      <c r="D17" s="70">
        <v>3.0</v>
      </c>
      <c r="E17" s="70">
        <v>4.0</v>
      </c>
      <c r="F17" s="71"/>
      <c r="G17" s="70"/>
      <c r="H17" s="70">
        <v>1.0</v>
      </c>
      <c r="I17" s="70">
        <v>2.0</v>
      </c>
      <c r="J17" s="70">
        <v>3.0</v>
      </c>
      <c r="K17" s="70">
        <v>4.0</v>
      </c>
    </row>
    <row r="18">
      <c r="A18" s="72" t="s">
        <v>137</v>
      </c>
      <c r="B18" s="73" t="s">
        <v>159</v>
      </c>
      <c r="C18" s="73" t="s">
        <v>160</v>
      </c>
      <c r="D18" s="73" t="s">
        <v>161</v>
      </c>
      <c r="E18" s="73" t="s">
        <v>161</v>
      </c>
      <c r="F18" s="74"/>
      <c r="G18" s="72" t="s">
        <v>137</v>
      </c>
      <c r="H18" s="76" t="s">
        <v>162</v>
      </c>
      <c r="I18" s="73" t="s">
        <v>95</v>
      </c>
      <c r="J18" s="73"/>
      <c r="K18" s="73"/>
    </row>
    <row r="19">
      <c r="A19" s="72" t="s">
        <v>142</v>
      </c>
      <c r="B19" s="73" t="s">
        <v>163</v>
      </c>
      <c r="C19" s="73" t="s">
        <v>163</v>
      </c>
      <c r="D19" s="73" t="s">
        <v>161</v>
      </c>
      <c r="E19" s="73" t="s">
        <v>161</v>
      </c>
      <c r="F19" s="74"/>
      <c r="G19" s="72" t="s">
        <v>142</v>
      </c>
      <c r="H19" s="73"/>
      <c r="I19" s="73"/>
      <c r="J19" s="73"/>
      <c r="K19" s="73"/>
    </row>
    <row r="20">
      <c r="A20" s="72" t="s">
        <v>147</v>
      </c>
      <c r="B20" s="73" t="s">
        <v>163</v>
      </c>
      <c r="C20" s="73" t="s">
        <v>163</v>
      </c>
      <c r="D20" s="73" t="s">
        <v>161</v>
      </c>
      <c r="E20" s="73" t="s">
        <v>161</v>
      </c>
      <c r="F20" s="74"/>
      <c r="G20" s="72" t="s">
        <v>147</v>
      </c>
      <c r="H20" s="73"/>
      <c r="I20" s="73"/>
      <c r="J20" s="73"/>
      <c r="K20" s="73"/>
    </row>
    <row r="21">
      <c r="A21" s="70"/>
      <c r="B21" s="70">
        <v>1.0</v>
      </c>
      <c r="C21" s="70">
        <v>2.0</v>
      </c>
      <c r="D21" s="70">
        <v>3.0</v>
      </c>
      <c r="E21" s="70">
        <v>4.0</v>
      </c>
      <c r="F21" s="71"/>
      <c r="G21" s="70"/>
      <c r="H21" s="70">
        <v>1.0</v>
      </c>
      <c r="I21" s="70">
        <v>2.0</v>
      </c>
      <c r="J21" s="70">
        <v>3.0</v>
      </c>
      <c r="K21" s="70">
        <v>4.0</v>
      </c>
    </row>
    <row r="22">
      <c r="A22" s="72" t="s">
        <v>150</v>
      </c>
      <c r="B22" s="73" t="s">
        <v>164</v>
      </c>
      <c r="C22" s="73" t="s">
        <v>164</v>
      </c>
      <c r="D22" s="73" t="s">
        <v>164</v>
      </c>
      <c r="E22" s="73" t="s">
        <v>164</v>
      </c>
      <c r="F22" s="74"/>
      <c r="G22" s="72" t="s">
        <v>150</v>
      </c>
      <c r="H22" s="73"/>
      <c r="I22" s="73"/>
      <c r="J22" s="73"/>
      <c r="K22" s="73"/>
    </row>
    <row r="23">
      <c r="A23" s="72" t="s">
        <v>165</v>
      </c>
      <c r="B23" s="73" t="s">
        <v>166</v>
      </c>
      <c r="C23" s="73" t="s">
        <v>166</v>
      </c>
      <c r="D23" s="73" t="s">
        <v>166</v>
      </c>
      <c r="E23" s="73" t="s">
        <v>166</v>
      </c>
      <c r="F23" s="74"/>
      <c r="G23" s="72" t="s">
        <v>165</v>
      </c>
      <c r="H23" s="73"/>
      <c r="I23" s="73"/>
      <c r="J23" s="73"/>
      <c r="K23" s="73"/>
    </row>
    <row r="24">
      <c r="A24" s="72" t="s">
        <v>167</v>
      </c>
      <c r="B24" s="73" t="s">
        <v>168</v>
      </c>
      <c r="C24" s="73" t="s">
        <v>169</v>
      </c>
      <c r="D24" s="73" t="s">
        <v>170</v>
      </c>
      <c r="E24" s="73" t="s">
        <v>171</v>
      </c>
      <c r="F24" s="74"/>
      <c r="G24" s="72" t="s">
        <v>167</v>
      </c>
      <c r="H24" s="73" t="s">
        <v>172</v>
      </c>
      <c r="I24" s="73"/>
      <c r="J24" s="73" t="s">
        <v>173</v>
      </c>
      <c r="K24" s="73" t="s">
        <v>115</v>
      </c>
    </row>
    <row r="25">
      <c r="A25" s="13">
        <v>44649.0</v>
      </c>
      <c r="B25" s="14"/>
      <c r="C25" s="14"/>
      <c r="D25" s="14"/>
      <c r="E25" s="15"/>
      <c r="F25" s="75"/>
      <c r="G25" s="13">
        <v>44649.0</v>
      </c>
      <c r="H25" s="14"/>
      <c r="I25" s="14"/>
      <c r="J25" s="14"/>
      <c r="K25" s="15"/>
    </row>
    <row r="26">
      <c r="A26" s="70"/>
      <c r="B26" s="70">
        <v>1.0</v>
      </c>
      <c r="C26" s="70">
        <v>2.0</v>
      </c>
      <c r="D26" s="70">
        <v>3.0</v>
      </c>
      <c r="E26" s="70">
        <v>4.0</v>
      </c>
      <c r="F26" s="71"/>
      <c r="G26" s="70"/>
      <c r="H26" s="70">
        <v>1.0</v>
      </c>
      <c r="I26" s="70">
        <v>2.0</v>
      </c>
      <c r="J26" s="70">
        <v>3.0</v>
      </c>
      <c r="K26" s="70">
        <v>4.0</v>
      </c>
    </row>
    <row r="27">
      <c r="A27" s="72" t="s">
        <v>124</v>
      </c>
      <c r="B27" s="73" t="s">
        <v>174</v>
      </c>
      <c r="C27" s="73" t="s">
        <v>174</v>
      </c>
      <c r="D27" s="73" t="s">
        <v>175</v>
      </c>
      <c r="E27" s="73" t="s">
        <v>175</v>
      </c>
      <c r="F27" s="74"/>
      <c r="G27" s="72" t="s">
        <v>124</v>
      </c>
      <c r="H27" s="73"/>
      <c r="I27" s="73"/>
      <c r="J27" s="73"/>
      <c r="K27" s="73"/>
    </row>
    <row r="28">
      <c r="A28" s="72" t="s">
        <v>131</v>
      </c>
      <c r="B28" s="73" t="s">
        <v>176</v>
      </c>
      <c r="C28" s="73" t="s">
        <v>177</v>
      </c>
      <c r="D28" s="73" t="s">
        <v>177</v>
      </c>
      <c r="E28" s="73" t="s">
        <v>177</v>
      </c>
      <c r="F28" s="74"/>
      <c r="G28" s="72" t="s">
        <v>131</v>
      </c>
      <c r="H28" s="73" t="s">
        <v>178</v>
      </c>
      <c r="I28" s="73"/>
      <c r="J28" s="73"/>
      <c r="K28" s="73"/>
    </row>
    <row r="29">
      <c r="A29" s="70"/>
      <c r="B29" s="70">
        <v>1.0</v>
      </c>
      <c r="C29" s="70">
        <v>2.0</v>
      </c>
      <c r="D29" s="70">
        <v>3.0</v>
      </c>
      <c r="E29" s="70">
        <v>4.0</v>
      </c>
      <c r="F29" s="71"/>
      <c r="G29" s="70"/>
      <c r="H29" s="70">
        <v>1.0</v>
      </c>
      <c r="I29" s="70">
        <v>2.0</v>
      </c>
      <c r="J29" s="70">
        <v>3.0</v>
      </c>
      <c r="K29" s="70">
        <v>4.0</v>
      </c>
    </row>
    <row r="30">
      <c r="A30" s="72" t="s">
        <v>135</v>
      </c>
      <c r="B30" s="73" t="s">
        <v>179</v>
      </c>
      <c r="C30" s="73" t="s">
        <v>180</v>
      </c>
      <c r="D30" s="73" t="s">
        <v>181</v>
      </c>
      <c r="E30" s="73" t="s">
        <v>181</v>
      </c>
      <c r="F30" s="74"/>
      <c r="G30" s="72" t="s">
        <v>135</v>
      </c>
      <c r="H30" s="73" t="s">
        <v>182</v>
      </c>
      <c r="I30" s="73"/>
      <c r="J30" s="73"/>
      <c r="K30" s="73"/>
    </row>
    <row r="31">
      <c r="A31" s="72" t="s">
        <v>137</v>
      </c>
      <c r="B31" s="73" t="s">
        <v>183</v>
      </c>
      <c r="C31" s="73" t="s">
        <v>183</v>
      </c>
      <c r="D31" s="73" t="s">
        <v>184</v>
      </c>
      <c r="E31" s="73" t="s">
        <v>185</v>
      </c>
      <c r="F31" s="74"/>
      <c r="G31" s="72" t="s">
        <v>137</v>
      </c>
      <c r="H31" s="73"/>
      <c r="I31" s="73"/>
      <c r="J31" s="73" t="s">
        <v>121</v>
      </c>
      <c r="K31" s="73" t="s">
        <v>186</v>
      </c>
    </row>
    <row r="32">
      <c r="A32" s="70"/>
      <c r="B32" s="70">
        <v>1.0</v>
      </c>
      <c r="C32" s="70">
        <v>2.0</v>
      </c>
      <c r="D32" s="70">
        <v>3.0</v>
      </c>
      <c r="E32" s="70">
        <v>4.0</v>
      </c>
      <c r="F32" s="71"/>
      <c r="G32" s="70"/>
      <c r="H32" s="70">
        <v>1.0</v>
      </c>
      <c r="I32" s="70">
        <v>2.0</v>
      </c>
      <c r="J32" s="70">
        <v>3.0</v>
      </c>
      <c r="K32" s="70">
        <v>4.0</v>
      </c>
    </row>
    <row r="33">
      <c r="A33" s="72" t="s">
        <v>142</v>
      </c>
      <c r="B33" s="73" t="s">
        <v>187</v>
      </c>
      <c r="C33" s="73" t="s">
        <v>187</v>
      </c>
      <c r="D33" s="73" t="s">
        <v>187</v>
      </c>
      <c r="E33" s="73" t="s">
        <v>187</v>
      </c>
      <c r="F33" s="74"/>
      <c r="G33" s="72" t="s">
        <v>142</v>
      </c>
      <c r="H33" s="73"/>
      <c r="I33" s="73"/>
      <c r="J33" s="73"/>
      <c r="K33" s="73"/>
    </row>
    <row r="34">
      <c r="A34" s="72" t="s">
        <v>147</v>
      </c>
      <c r="B34" s="73" t="s">
        <v>188</v>
      </c>
      <c r="C34" s="73" t="s">
        <v>189</v>
      </c>
      <c r="D34" s="73" t="s">
        <v>190</v>
      </c>
      <c r="E34" s="73"/>
      <c r="F34" s="74"/>
      <c r="G34" s="72" t="s">
        <v>147</v>
      </c>
      <c r="H34" s="73"/>
      <c r="I34" s="73" t="s">
        <v>191</v>
      </c>
      <c r="J34" s="73"/>
      <c r="K34" s="73"/>
    </row>
    <row r="35">
      <c r="A35" s="77"/>
      <c r="B35" s="77"/>
      <c r="C35" s="77"/>
      <c r="D35" s="77"/>
      <c r="E35" s="77"/>
      <c r="F35" s="78"/>
      <c r="G35" s="78"/>
      <c r="H35" s="78"/>
      <c r="I35" s="78"/>
      <c r="J35" s="78"/>
      <c r="K35" s="78"/>
    </row>
  </sheetData>
  <mergeCells count="6">
    <mergeCell ref="A1:E1"/>
    <mergeCell ref="G1:K1"/>
    <mergeCell ref="A12:E12"/>
    <mergeCell ref="G12:K12"/>
    <mergeCell ref="A25:E25"/>
    <mergeCell ref="G25:K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3.5"/>
    <col customWidth="1" min="4" max="4" width="8.25"/>
  </cols>
  <sheetData>
    <row r="1">
      <c r="A1" s="79" t="s">
        <v>192</v>
      </c>
      <c r="B1" s="80" t="s">
        <v>193</v>
      </c>
      <c r="C1" s="80" t="s">
        <v>194</v>
      </c>
      <c r="D1" s="81" t="s">
        <v>195</v>
      </c>
    </row>
    <row r="2">
      <c r="A2" s="82" t="s">
        <v>196</v>
      </c>
      <c r="B2" s="83" t="s">
        <v>197</v>
      </c>
      <c r="C2" s="83" t="s">
        <v>198</v>
      </c>
      <c r="D2" s="84">
        <v>1063323.0</v>
      </c>
    </row>
    <row r="3">
      <c r="A3" s="85" t="s">
        <v>199</v>
      </c>
      <c r="B3" s="83" t="s">
        <v>200</v>
      </c>
      <c r="C3" s="83" t="s">
        <v>201</v>
      </c>
      <c r="D3" s="84">
        <v>1068928.0</v>
      </c>
    </row>
    <row r="4">
      <c r="A4" s="85" t="s">
        <v>202</v>
      </c>
      <c r="B4" s="83" t="s">
        <v>203</v>
      </c>
      <c r="C4" s="83" t="s">
        <v>204</v>
      </c>
      <c r="D4" s="84">
        <v>1053406.0</v>
      </c>
    </row>
    <row r="5">
      <c r="A5" s="85" t="s">
        <v>205</v>
      </c>
      <c r="B5" s="83" t="s">
        <v>206</v>
      </c>
      <c r="C5" s="83" t="s">
        <v>207</v>
      </c>
      <c r="D5" s="84">
        <v>1063320.0</v>
      </c>
    </row>
    <row r="6">
      <c r="A6" s="85" t="s">
        <v>208</v>
      </c>
      <c r="B6" s="83" t="s">
        <v>209</v>
      </c>
      <c r="C6" s="83" t="s">
        <v>210</v>
      </c>
      <c r="D6" s="84">
        <v>1041035.0</v>
      </c>
    </row>
    <row r="7">
      <c r="A7" s="85" t="s">
        <v>211</v>
      </c>
      <c r="B7" s="83" t="s">
        <v>212</v>
      </c>
      <c r="C7" s="83" t="s">
        <v>213</v>
      </c>
      <c r="D7" s="84">
        <v>1069097.0</v>
      </c>
    </row>
    <row r="8">
      <c r="A8" s="85" t="s">
        <v>214</v>
      </c>
      <c r="B8" s="83" t="s">
        <v>215</v>
      </c>
      <c r="C8" s="83" t="s">
        <v>216</v>
      </c>
      <c r="D8" s="84">
        <v>1068962.0</v>
      </c>
    </row>
    <row r="9">
      <c r="A9" s="85" t="s">
        <v>217</v>
      </c>
      <c r="B9" s="83" t="s">
        <v>218</v>
      </c>
      <c r="C9" s="83" t="s">
        <v>219</v>
      </c>
      <c r="D9" s="86">
        <v>1068808.0</v>
      </c>
    </row>
    <row r="10">
      <c r="A10" s="85" t="s">
        <v>220</v>
      </c>
      <c r="B10" s="83" t="s">
        <v>221</v>
      </c>
      <c r="C10" s="83" t="s">
        <v>222</v>
      </c>
      <c r="D10" s="87">
        <v>1069654.0</v>
      </c>
    </row>
    <row r="11">
      <c r="A11" s="85" t="s">
        <v>223</v>
      </c>
      <c r="B11" s="83" t="s">
        <v>224</v>
      </c>
      <c r="C11" s="83" t="s">
        <v>225</v>
      </c>
      <c r="D11" s="84"/>
    </row>
    <row r="12">
      <c r="A12" s="85" t="s">
        <v>226</v>
      </c>
      <c r="B12" s="83" t="s">
        <v>227</v>
      </c>
      <c r="C12" s="83" t="s">
        <v>228</v>
      </c>
      <c r="D12" s="86">
        <v>1069528.0</v>
      </c>
    </row>
    <row r="13">
      <c r="A13" s="85" t="s">
        <v>229</v>
      </c>
      <c r="B13" s="83" t="s">
        <v>230</v>
      </c>
      <c r="C13" s="83" t="s">
        <v>231</v>
      </c>
      <c r="D13" s="86">
        <v>1052476.0</v>
      </c>
    </row>
    <row r="14">
      <c r="A14" s="85" t="s">
        <v>232</v>
      </c>
      <c r="B14" s="83" t="s">
        <v>233</v>
      </c>
      <c r="C14" s="83" t="s">
        <v>234</v>
      </c>
      <c r="D14" s="86">
        <v>1069687.0</v>
      </c>
    </row>
    <row r="15">
      <c r="A15" s="85" t="s">
        <v>235</v>
      </c>
      <c r="B15" s="83" t="s">
        <v>236</v>
      </c>
      <c r="C15" s="83" t="s">
        <v>237</v>
      </c>
      <c r="D15" s="86">
        <v>1069684.0</v>
      </c>
    </row>
    <row r="16">
      <c r="A16" s="85" t="s">
        <v>238</v>
      </c>
      <c r="B16" s="83" t="s">
        <v>239</v>
      </c>
      <c r="C16" s="83" t="s">
        <v>240</v>
      </c>
      <c r="D16" s="86">
        <v>1041192.0</v>
      </c>
    </row>
    <row r="17">
      <c r="A17" s="85" t="s">
        <v>241</v>
      </c>
      <c r="B17" s="83" t="s">
        <v>242</v>
      </c>
      <c r="C17" s="83" t="s">
        <v>243</v>
      </c>
      <c r="D17" s="86">
        <v>1052894.0</v>
      </c>
    </row>
    <row r="18">
      <c r="A18" s="85" t="s">
        <v>244</v>
      </c>
      <c r="B18" s="83" t="s">
        <v>245</v>
      </c>
      <c r="C18" s="83" t="s">
        <v>246</v>
      </c>
      <c r="D18" s="86">
        <v>1053862.0</v>
      </c>
    </row>
    <row r="19">
      <c r="A19" s="85"/>
      <c r="B19" s="83"/>
      <c r="C19" s="83"/>
      <c r="D19" s="84"/>
    </row>
    <row r="20">
      <c r="A20" s="85"/>
      <c r="B20" s="83"/>
      <c r="C20" s="83"/>
      <c r="D20" s="84"/>
    </row>
    <row r="21">
      <c r="A21" s="85"/>
      <c r="B21" s="83"/>
      <c r="C21" s="83"/>
      <c r="D21" s="84"/>
    </row>
    <row r="22">
      <c r="A22" s="85"/>
      <c r="B22" s="83"/>
      <c r="C22" s="83"/>
      <c r="D22" s="84"/>
    </row>
    <row r="23">
      <c r="A23" s="85"/>
      <c r="B23" s="83"/>
      <c r="C23" s="83"/>
      <c r="D23" s="84"/>
    </row>
    <row r="24">
      <c r="A24" s="85"/>
      <c r="B24" s="83"/>
      <c r="C24" s="83"/>
      <c r="D24" s="84"/>
    </row>
    <row r="25">
      <c r="A25" s="82"/>
      <c r="B25" s="83"/>
      <c r="C25" s="83"/>
      <c r="D25" s="84"/>
    </row>
    <row r="26">
      <c r="A26" s="82"/>
      <c r="B26" s="83"/>
      <c r="C26" s="83"/>
      <c r="D26" s="84"/>
    </row>
    <row r="27">
      <c r="A27" s="82"/>
      <c r="B27" s="83"/>
      <c r="C27" s="83"/>
      <c r="D27" s="84"/>
    </row>
    <row r="28">
      <c r="A28" s="82"/>
      <c r="B28" s="83"/>
      <c r="C28" s="83"/>
      <c r="D28" s="84"/>
    </row>
    <row r="29">
      <c r="A29" s="82"/>
      <c r="B29" s="83"/>
      <c r="C29" s="83"/>
      <c r="D29" s="84"/>
    </row>
    <row r="30">
      <c r="A30" s="82"/>
      <c r="B30" s="83"/>
      <c r="C30" s="83"/>
      <c r="D30" s="84"/>
    </row>
    <row r="31">
      <c r="A31" s="82"/>
      <c r="B31" s="83"/>
      <c r="C31" s="83"/>
      <c r="D31" s="84"/>
    </row>
    <row r="32">
      <c r="A32" s="82"/>
      <c r="B32" s="83"/>
      <c r="C32" s="83"/>
      <c r="D32" s="84"/>
    </row>
    <row r="33">
      <c r="A33" s="82"/>
      <c r="B33" s="83"/>
      <c r="C33" s="83"/>
      <c r="D33" s="84"/>
    </row>
    <row r="34">
      <c r="A34" s="82"/>
      <c r="B34" s="83"/>
      <c r="C34" s="83"/>
      <c r="D34" s="84"/>
    </row>
    <row r="35">
      <c r="A35" s="82"/>
      <c r="B35" s="83"/>
      <c r="C35" s="83"/>
      <c r="D35" s="84"/>
    </row>
    <row r="36">
      <c r="A36" s="82"/>
      <c r="B36" s="83"/>
      <c r="C36" s="83"/>
      <c r="D36" s="84"/>
    </row>
    <row r="37">
      <c r="A37" s="82"/>
      <c r="B37" s="83"/>
      <c r="C37" s="83"/>
      <c r="D37" s="84"/>
    </row>
    <row r="38">
      <c r="A38" s="82"/>
      <c r="B38" s="83"/>
      <c r="C38" s="83"/>
      <c r="D38" s="84"/>
    </row>
    <row r="39">
      <c r="A39" s="82"/>
      <c r="B39" s="83"/>
      <c r="C39" s="83"/>
      <c r="D39" s="84"/>
    </row>
    <row r="40">
      <c r="A40" s="82"/>
      <c r="B40" s="83"/>
      <c r="C40" s="83"/>
      <c r="D40" s="84"/>
    </row>
    <row r="41">
      <c r="A41" s="82"/>
      <c r="B41" s="83"/>
      <c r="C41" s="83"/>
      <c r="D41" s="84"/>
    </row>
    <row r="42">
      <c r="A42" s="82"/>
      <c r="B42" s="83"/>
      <c r="C42" s="83"/>
      <c r="D42" s="84"/>
    </row>
    <row r="43">
      <c r="A43" s="82"/>
      <c r="B43" s="83"/>
      <c r="C43" s="83"/>
      <c r="D43" s="84"/>
    </row>
    <row r="44">
      <c r="A44" s="82"/>
      <c r="B44" s="83"/>
      <c r="C44" s="83"/>
      <c r="D44" s="84"/>
    </row>
    <row r="45">
      <c r="A45" s="82"/>
      <c r="B45" s="83"/>
      <c r="C45" s="83"/>
      <c r="D45" s="84"/>
    </row>
    <row r="46">
      <c r="A46" s="82"/>
      <c r="B46" s="83"/>
      <c r="C46" s="83"/>
      <c r="D46" s="84"/>
    </row>
    <row r="47">
      <c r="A47" s="82"/>
      <c r="B47" s="83"/>
      <c r="C47" s="83"/>
      <c r="D47" s="84"/>
    </row>
    <row r="48">
      <c r="A48" s="82"/>
      <c r="B48" s="83"/>
      <c r="C48" s="83"/>
      <c r="D48" s="84"/>
    </row>
    <row r="49">
      <c r="A49" s="82"/>
      <c r="B49" s="83"/>
      <c r="C49" s="83"/>
      <c r="D49" s="84"/>
    </row>
    <row r="50">
      <c r="A50" s="82"/>
      <c r="B50" s="83"/>
      <c r="C50" s="83"/>
      <c r="D50" s="84"/>
    </row>
    <row r="51">
      <c r="A51" s="82"/>
      <c r="B51" s="83"/>
      <c r="C51" s="83"/>
      <c r="D51" s="84"/>
    </row>
    <row r="52">
      <c r="A52" s="82"/>
      <c r="B52" s="83"/>
      <c r="C52" s="83"/>
      <c r="D52" s="84"/>
    </row>
    <row r="53">
      <c r="A53" s="82"/>
      <c r="B53" s="83"/>
      <c r="C53" s="83"/>
      <c r="D53" s="84"/>
    </row>
    <row r="54">
      <c r="A54" s="82"/>
      <c r="B54" s="83"/>
      <c r="C54" s="83"/>
      <c r="D54" s="84"/>
    </row>
    <row r="55">
      <c r="A55" s="82"/>
      <c r="B55" s="83"/>
      <c r="C55" s="83"/>
      <c r="D55" s="84"/>
    </row>
    <row r="56">
      <c r="A56" s="82"/>
      <c r="B56" s="83"/>
      <c r="C56" s="83"/>
      <c r="D56" s="84"/>
    </row>
    <row r="57">
      <c r="A57" s="82"/>
      <c r="B57" s="83"/>
      <c r="C57" s="83"/>
      <c r="D57" s="84"/>
    </row>
    <row r="58">
      <c r="A58" s="82"/>
      <c r="B58" s="83"/>
      <c r="C58" s="83"/>
      <c r="D58" s="84"/>
    </row>
    <row r="59">
      <c r="A59" s="82"/>
      <c r="B59" s="83"/>
      <c r="C59" s="83"/>
      <c r="D59" s="84"/>
    </row>
    <row r="60">
      <c r="A60" s="82"/>
      <c r="B60" s="83"/>
      <c r="C60" s="83"/>
      <c r="D60" s="84"/>
    </row>
    <row r="61">
      <c r="A61" s="82"/>
      <c r="B61" s="83"/>
      <c r="C61" s="83"/>
      <c r="D61" s="84"/>
    </row>
    <row r="62">
      <c r="A62" s="82"/>
      <c r="B62" s="83"/>
      <c r="C62" s="83"/>
      <c r="D62" s="84"/>
    </row>
    <row r="63">
      <c r="A63" s="82"/>
      <c r="B63" s="83"/>
      <c r="C63" s="83"/>
      <c r="D63" s="84"/>
    </row>
    <row r="64">
      <c r="A64" s="82"/>
      <c r="B64" s="83"/>
      <c r="C64" s="83"/>
      <c r="D64" s="84"/>
    </row>
    <row r="65">
      <c r="A65" s="82"/>
      <c r="B65" s="83"/>
      <c r="C65" s="83"/>
      <c r="D65" s="84"/>
    </row>
    <row r="66">
      <c r="A66" s="82"/>
      <c r="B66" s="83"/>
      <c r="C66" s="83"/>
      <c r="D66" s="84"/>
    </row>
    <row r="67">
      <c r="A67" s="82"/>
      <c r="B67" s="83"/>
      <c r="C67" s="83"/>
      <c r="D67" s="84"/>
    </row>
    <row r="68">
      <c r="A68" s="82"/>
      <c r="B68" s="83"/>
      <c r="C68" s="83"/>
      <c r="D68" s="84"/>
    </row>
    <row r="69">
      <c r="A69" s="82"/>
      <c r="B69" s="83"/>
      <c r="C69" s="83"/>
      <c r="D69" s="84"/>
    </row>
    <row r="70">
      <c r="A70" s="82"/>
      <c r="B70" s="83"/>
      <c r="C70" s="83"/>
      <c r="D70" s="84"/>
    </row>
    <row r="71">
      <c r="A71" s="82"/>
      <c r="B71" s="83"/>
      <c r="C71" s="83"/>
      <c r="D71" s="84"/>
    </row>
    <row r="72">
      <c r="A72" s="82"/>
      <c r="B72" s="83"/>
      <c r="C72" s="83"/>
      <c r="D72" s="84"/>
    </row>
    <row r="73">
      <c r="A73" s="82"/>
      <c r="B73" s="83"/>
      <c r="C73" s="83"/>
      <c r="D73" s="84"/>
    </row>
    <row r="74">
      <c r="A74" s="82"/>
      <c r="B74" s="83"/>
      <c r="C74" s="83"/>
      <c r="D74" s="84"/>
    </row>
    <row r="75">
      <c r="A75" s="82"/>
      <c r="B75" s="83"/>
      <c r="C75" s="83"/>
      <c r="D75" s="84"/>
    </row>
    <row r="76">
      <c r="A76" s="82"/>
      <c r="B76" s="83"/>
      <c r="C76" s="83"/>
      <c r="D76" s="84"/>
    </row>
    <row r="77">
      <c r="A77" s="82"/>
      <c r="B77" s="83"/>
      <c r="C77" s="83"/>
      <c r="D77" s="84"/>
    </row>
    <row r="78">
      <c r="A78" s="82"/>
      <c r="B78" s="83"/>
      <c r="C78" s="83"/>
      <c r="D78" s="84"/>
    </row>
    <row r="79">
      <c r="A79" s="82"/>
      <c r="B79" s="83"/>
      <c r="C79" s="83"/>
      <c r="D79" s="84"/>
    </row>
    <row r="80">
      <c r="A80" s="82"/>
      <c r="B80" s="83"/>
      <c r="C80" s="83"/>
      <c r="D80" s="84"/>
    </row>
    <row r="81">
      <c r="A81" s="82"/>
      <c r="B81" s="83"/>
      <c r="C81" s="83"/>
      <c r="D81" s="84"/>
    </row>
    <row r="82">
      <c r="A82" s="82"/>
      <c r="B82" s="83"/>
      <c r="C82" s="83"/>
      <c r="D82" s="84"/>
    </row>
    <row r="83">
      <c r="A83" s="82"/>
      <c r="B83" s="83"/>
      <c r="C83" s="83"/>
      <c r="D83" s="84"/>
    </row>
    <row r="84">
      <c r="A84" s="82"/>
      <c r="B84" s="83"/>
      <c r="C84" s="83"/>
      <c r="D84" s="84"/>
    </row>
    <row r="85">
      <c r="A85" s="82"/>
      <c r="B85" s="83"/>
      <c r="C85" s="83"/>
      <c r="D85" s="84"/>
    </row>
    <row r="86">
      <c r="A86" s="82"/>
      <c r="B86" s="83"/>
      <c r="C86" s="83"/>
      <c r="D86" s="84"/>
    </row>
    <row r="87">
      <c r="A87" s="82"/>
      <c r="B87" s="83"/>
      <c r="C87" s="83"/>
      <c r="D87" s="84"/>
    </row>
    <row r="88">
      <c r="A88" s="82"/>
      <c r="B88" s="83"/>
      <c r="C88" s="83"/>
      <c r="D88" s="84"/>
    </row>
    <row r="89">
      <c r="A89" s="82"/>
      <c r="B89" s="83"/>
      <c r="C89" s="83"/>
      <c r="D89" s="84"/>
    </row>
    <row r="90">
      <c r="A90" s="82"/>
      <c r="B90" s="83"/>
      <c r="C90" s="83"/>
      <c r="D90" s="84"/>
    </row>
    <row r="91">
      <c r="A91" s="82"/>
      <c r="B91" s="83"/>
      <c r="C91" s="83"/>
      <c r="D91" s="84"/>
    </row>
    <row r="92">
      <c r="A92" s="82"/>
      <c r="B92" s="83"/>
      <c r="C92" s="83"/>
      <c r="D92" s="84"/>
    </row>
    <row r="93">
      <c r="A93" s="82"/>
      <c r="B93" s="83"/>
      <c r="C93" s="83"/>
      <c r="D93" s="84"/>
    </row>
    <row r="94">
      <c r="A94" s="82"/>
      <c r="B94" s="83"/>
      <c r="C94" s="83"/>
      <c r="D94" s="84"/>
    </row>
    <row r="95">
      <c r="A95" s="82"/>
      <c r="B95" s="83"/>
      <c r="C95" s="83"/>
      <c r="D95" s="84"/>
    </row>
    <row r="96">
      <c r="A96" s="82"/>
      <c r="B96" s="83"/>
      <c r="C96" s="83"/>
      <c r="D96" s="84"/>
    </row>
    <row r="97">
      <c r="A97" s="82"/>
      <c r="B97" s="83"/>
      <c r="C97" s="83"/>
      <c r="D97" s="84"/>
    </row>
    <row r="98">
      <c r="A98" s="82"/>
      <c r="B98" s="83"/>
      <c r="C98" s="83"/>
      <c r="D98" s="84"/>
    </row>
    <row r="99">
      <c r="A99" s="82"/>
      <c r="B99" s="83"/>
      <c r="C99" s="83"/>
      <c r="D99" s="84"/>
    </row>
    <row r="100">
      <c r="A100" s="82"/>
      <c r="B100" s="83"/>
      <c r="C100" s="83"/>
      <c r="D100" s="84"/>
    </row>
    <row r="101">
      <c r="A101" s="82"/>
      <c r="B101" s="83"/>
      <c r="C101" s="83"/>
      <c r="D101" s="84"/>
    </row>
    <row r="102">
      <c r="A102" s="82"/>
      <c r="B102" s="83"/>
      <c r="C102" s="83"/>
      <c r="D102" s="84"/>
    </row>
    <row r="103">
      <c r="A103" s="82"/>
      <c r="B103" s="83"/>
      <c r="C103" s="83"/>
      <c r="D103" s="84"/>
    </row>
    <row r="104">
      <c r="A104" s="82"/>
      <c r="B104" s="83"/>
      <c r="C104" s="83"/>
      <c r="D104" s="84"/>
    </row>
    <row r="105">
      <c r="A105" s="82"/>
      <c r="B105" s="83"/>
      <c r="C105" s="83"/>
      <c r="D105" s="84"/>
    </row>
    <row r="106">
      <c r="A106" s="82"/>
      <c r="B106" s="83"/>
      <c r="C106" s="83"/>
      <c r="D106" s="84"/>
    </row>
    <row r="107">
      <c r="A107" s="82"/>
      <c r="B107" s="83"/>
      <c r="C107" s="83"/>
      <c r="D107" s="84"/>
    </row>
    <row r="108">
      <c r="A108" s="82"/>
      <c r="B108" s="83"/>
      <c r="C108" s="83"/>
      <c r="D108" s="84"/>
    </row>
    <row r="109">
      <c r="A109" s="82"/>
      <c r="B109" s="83"/>
      <c r="C109" s="83"/>
      <c r="D109" s="84"/>
    </row>
    <row r="110">
      <c r="A110" s="82"/>
      <c r="B110" s="83"/>
      <c r="C110" s="83"/>
      <c r="D110" s="84"/>
    </row>
    <row r="111">
      <c r="A111" s="82"/>
      <c r="B111" s="83"/>
      <c r="C111" s="83"/>
      <c r="D111" s="84"/>
    </row>
    <row r="112">
      <c r="A112" s="82"/>
      <c r="B112" s="83"/>
      <c r="C112" s="83"/>
      <c r="D112" s="84"/>
    </row>
    <row r="113">
      <c r="A113" s="82"/>
      <c r="B113" s="83"/>
      <c r="C113" s="83"/>
      <c r="D113" s="84"/>
    </row>
    <row r="114">
      <c r="A114" s="82"/>
      <c r="B114" s="83"/>
      <c r="C114" s="83"/>
      <c r="D114" s="84"/>
    </row>
    <row r="115">
      <c r="A115" s="82"/>
      <c r="B115" s="83"/>
      <c r="C115" s="83"/>
      <c r="D115" s="84"/>
    </row>
    <row r="116">
      <c r="A116" s="82"/>
      <c r="B116" s="83"/>
      <c r="C116" s="83"/>
      <c r="D116" s="84"/>
    </row>
    <row r="117">
      <c r="A117" s="82"/>
      <c r="B117" s="83"/>
      <c r="C117" s="83"/>
      <c r="D117" s="84"/>
    </row>
    <row r="118">
      <c r="A118" s="82"/>
      <c r="B118" s="83"/>
      <c r="C118" s="83"/>
      <c r="D118" s="84"/>
    </row>
    <row r="119">
      <c r="A119" s="82"/>
      <c r="B119" s="83"/>
      <c r="C119" s="83"/>
      <c r="D119" s="84"/>
    </row>
    <row r="120">
      <c r="A120" s="82"/>
      <c r="B120" s="83"/>
      <c r="C120" s="83"/>
      <c r="D120" s="84"/>
    </row>
    <row r="121">
      <c r="A121" s="82"/>
      <c r="B121" s="83"/>
      <c r="C121" s="83"/>
      <c r="D121" s="84"/>
    </row>
    <row r="122">
      <c r="A122" s="82"/>
      <c r="B122" s="83"/>
      <c r="C122" s="83"/>
      <c r="D122" s="84"/>
    </row>
    <row r="123">
      <c r="A123" s="82"/>
      <c r="B123" s="83"/>
      <c r="C123" s="83"/>
      <c r="D123" s="84"/>
    </row>
    <row r="124">
      <c r="A124" s="82"/>
      <c r="B124" s="83"/>
      <c r="C124" s="83"/>
      <c r="D124" s="84"/>
    </row>
    <row r="125">
      <c r="A125" s="82"/>
      <c r="B125" s="83"/>
      <c r="C125" s="83"/>
      <c r="D125" s="84"/>
    </row>
    <row r="126">
      <c r="A126" s="82"/>
      <c r="B126" s="83"/>
      <c r="C126" s="83"/>
      <c r="D126" s="84"/>
    </row>
    <row r="127">
      <c r="A127" s="82"/>
      <c r="B127" s="83"/>
      <c r="C127" s="83"/>
      <c r="D127" s="84"/>
    </row>
    <row r="128">
      <c r="A128" s="82"/>
      <c r="B128" s="83"/>
      <c r="C128" s="83"/>
      <c r="D128" s="84"/>
    </row>
    <row r="129">
      <c r="A129" s="82"/>
      <c r="B129" s="83"/>
      <c r="C129" s="83"/>
      <c r="D129" s="84"/>
    </row>
    <row r="130">
      <c r="A130" s="82"/>
      <c r="B130" s="83"/>
      <c r="C130" s="83"/>
      <c r="D130" s="84"/>
    </row>
    <row r="131">
      <c r="A131" s="82"/>
      <c r="B131" s="83"/>
      <c r="C131" s="83"/>
      <c r="D131" s="84"/>
    </row>
    <row r="132">
      <c r="A132" s="82"/>
      <c r="B132" s="83"/>
      <c r="C132" s="83"/>
      <c r="D132" s="84"/>
    </row>
    <row r="133">
      <c r="A133" s="82"/>
      <c r="B133" s="83"/>
      <c r="C133" s="83"/>
      <c r="D133" s="84"/>
    </row>
    <row r="134">
      <c r="A134" s="82"/>
      <c r="B134" s="83"/>
      <c r="C134" s="83"/>
      <c r="D134" s="84"/>
    </row>
    <row r="135">
      <c r="A135" s="82"/>
      <c r="B135" s="83"/>
      <c r="C135" s="83"/>
      <c r="D135" s="84"/>
    </row>
    <row r="136">
      <c r="A136" s="82"/>
      <c r="B136" s="83"/>
      <c r="C136" s="83"/>
      <c r="D136" s="84"/>
    </row>
    <row r="137">
      <c r="A137" s="82"/>
      <c r="B137" s="83"/>
      <c r="C137" s="83"/>
      <c r="D137" s="84"/>
    </row>
    <row r="138">
      <c r="A138" s="82"/>
      <c r="B138" s="83"/>
      <c r="C138" s="83"/>
      <c r="D138" s="84"/>
    </row>
    <row r="139">
      <c r="A139" s="82"/>
      <c r="B139" s="83"/>
      <c r="C139" s="83"/>
      <c r="D139" s="84"/>
    </row>
    <row r="140">
      <c r="A140" s="82"/>
      <c r="B140" s="83"/>
      <c r="C140" s="83"/>
      <c r="D140" s="84"/>
    </row>
    <row r="141">
      <c r="A141" s="82"/>
      <c r="B141" s="83"/>
      <c r="C141" s="83"/>
      <c r="D141" s="84"/>
    </row>
    <row r="142">
      <c r="A142" s="82"/>
      <c r="B142" s="83"/>
      <c r="C142" s="83"/>
      <c r="D142" s="84"/>
    </row>
    <row r="143">
      <c r="A143" s="82"/>
      <c r="B143" s="83"/>
      <c r="C143" s="83"/>
      <c r="D143" s="84"/>
    </row>
    <row r="144">
      <c r="A144" s="82"/>
      <c r="B144" s="83"/>
      <c r="C144" s="83"/>
      <c r="D144" s="84"/>
    </row>
    <row r="145">
      <c r="A145" s="82"/>
      <c r="B145" s="83"/>
      <c r="C145" s="83"/>
      <c r="D145" s="84"/>
    </row>
    <row r="146">
      <c r="A146" s="82"/>
      <c r="B146" s="83"/>
      <c r="C146" s="83"/>
      <c r="D146" s="84"/>
    </row>
    <row r="147">
      <c r="A147" s="82"/>
      <c r="B147" s="83"/>
      <c r="C147" s="83"/>
      <c r="D147" s="84"/>
    </row>
    <row r="148">
      <c r="A148" s="82"/>
      <c r="B148" s="83"/>
      <c r="C148" s="83"/>
      <c r="D148" s="84"/>
    </row>
    <row r="149">
      <c r="A149" s="82"/>
      <c r="B149" s="83"/>
      <c r="C149" s="83"/>
      <c r="D149" s="84"/>
    </row>
    <row r="150">
      <c r="A150" s="82"/>
      <c r="B150" s="83"/>
      <c r="C150" s="83"/>
      <c r="D150" s="84"/>
    </row>
    <row r="151">
      <c r="A151" s="82"/>
      <c r="B151" s="83"/>
      <c r="C151" s="83"/>
      <c r="D151" s="84"/>
    </row>
    <row r="152">
      <c r="A152" s="82"/>
      <c r="B152" s="83"/>
      <c r="C152" s="83"/>
      <c r="D152" s="84"/>
    </row>
    <row r="153">
      <c r="A153" s="82"/>
      <c r="B153" s="83"/>
      <c r="C153" s="83"/>
      <c r="D153" s="84"/>
    </row>
    <row r="154">
      <c r="A154" s="82"/>
      <c r="B154" s="83"/>
      <c r="C154" s="83"/>
      <c r="D154" s="84"/>
    </row>
    <row r="155">
      <c r="A155" s="82"/>
      <c r="B155" s="83"/>
      <c r="C155" s="83"/>
      <c r="D155" s="84"/>
    </row>
    <row r="156">
      <c r="A156" s="82"/>
      <c r="B156" s="83"/>
      <c r="C156" s="83"/>
      <c r="D156" s="84"/>
    </row>
    <row r="157">
      <c r="A157" s="82"/>
      <c r="B157" s="83"/>
      <c r="C157" s="83"/>
      <c r="D157" s="84"/>
    </row>
    <row r="158">
      <c r="A158" s="82"/>
      <c r="B158" s="83"/>
      <c r="C158" s="83"/>
      <c r="D158" s="84"/>
    </row>
    <row r="159">
      <c r="A159" s="82"/>
      <c r="B159" s="83"/>
      <c r="C159" s="83"/>
      <c r="D159" s="84"/>
    </row>
    <row r="160">
      <c r="A160" s="82"/>
      <c r="B160" s="83"/>
      <c r="C160" s="83"/>
      <c r="D160" s="84"/>
    </row>
    <row r="161">
      <c r="A161" s="82"/>
      <c r="B161" s="83"/>
      <c r="C161" s="83"/>
      <c r="D161" s="84"/>
    </row>
    <row r="162">
      <c r="A162" s="82"/>
      <c r="B162" s="83"/>
      <c r="C162" s="83"/>
      <c r="D162" s="84"/>
    </row>
    <row r="163">
      <c r="A163" s="82"/>
      <c r="B163" s="83"/>
      <c r="C163" s="83"/>
      <c r="D163" s="84"/>
    </row>
    <row r="164">
      <c r="A164" s="82"/>
      <c r="B164" s="83"/>
      <c r="C164" s="83"/>
      <c r="D164" s="84"/>
    </row>
    <row r="165">
      <c r="A165" s="82"/>
      <c r="B165" s="83"/>
      <c r="C165" s="83"/>
      <c r="D165" s="84"/>
    </row>
    <row r="166">
      <c r="A166" s="82"/>
      <c r="B166" s="83"/>
      <c r="C166" s="83"/>
      <c r="D166" s="84"/>
    </row>
    <row r="167">
      <c r="A167" s="82"/>
      <c r="B167" s="83"/>
      <c r="C167" s="83"/>
      <c r="D167" s="84"/>
    </row>
    <row r="168">
      <c r="A168" s="82"/>
      <c r="B168" s="83"/>
      <c r="C168" s="83"/>
      <c r="D168" s="84"/>
    </row>
    <row r="169">
      <c r="A169" s="82"/>
      <c r="B169" s="83"/>
      <c r="C169" s="83"/>
      <c r="D169" s="84"/>
    </row>
    <row r="170">
      <c r="A170" s="82"/>
      <c r="B170" s="83"/>
      <c r="C170" s="83"/>
      <c r="D170" s="84"/>
    </row>
    <row r="171">
      <c r="A171" s="82"/>
      <c r="B171" s="83"/>
      <c r="C171" s="83"/>
      <c r="D171" s="84"/>
    </row>
    <row r="172">
      <c r="A172" s="82"/>
      <c r="B172" s="83"/>
      <c r="C172" s="83"/>
      <c r="D172" s="84"/>
    </row>
    <row r="173">
      <c r="A173" s="82"/>
      <c r="B173" s="83"/>
      <c r="C173" s="83"/>
      <c r="D173" s="84"/>
    </row>
    <row r="174">
      <c r="A174" s="82"/>
      <c r="B174" s="83"/>
      <c r="C174" s="83"/>
      <c r="D174" s="84"/>
    </row>
    <row r="175">
      <c r="A175" s="82"/>
      <c r="B175" s="83"/>
      <c r="C175" s="83"/>
      <c r="D175" s="84"/>
    </row>
    <row r="176">
      <c r="A176" s="82"/>
      <c r="B176" s="83"/>
      <c r="C176" s="83"/>
      <c r="D176" s="84"/>
    </row>
    <row r="177">
      <c r="A177" s="82"/>
      <c r="B177" s="83"/>
      <c r="C177" s="83"/>
      <c r="D177" s="84"/>
    </row>
    <row r="178">
      <c r="A178" s="82"/>
      <c r="B178" s="83"/>
      <c r="C178" s="83"/>
      <c r="D178" s="84"/>
    </row>
    <row r="179">
      <c r="A179" s="82"/>
      <c r="B179" s="83"/>
      <c r="C179" s="83"/>
      <c r="D179" s="84"/>
    </row>
    <row r="180">
      <c r="A180" s="82"/>
      <c r="B180" s="83"/>
      <c r="C180" s="83"/>
      <c r="D180" s="84"/>
    </row>
    <row r="181">
      <c r="A181" s="82"/>
      <c r="B181" s="83"/>
      <c r="C181" s="83"/>
      <c r="D181" s="84"/>
    </row>
    <row r="182">
      <c r="A182" s="82"/>
      <c r="B182" s="83"/>
      <c r="C182" s="83"/>
      <c r="D182" s="84"/>
    </row>
    <row r="183">
      <c r="A183" s="82"/>
      <c r="B183" s="83"/>
      <c r="C183" s="83"/>
      <c r="D183" s="84"/>
    </row>
    <row r="184">
      <c r="A184" s="82"/>
      <c r="B184" s="83"/>
      <c r="C184" s="83"/>
      <c r="D184" s="84"/>
    </row>
    <row r="185">
      <c r="A185" s="82"/>
      <c r="B185" s="83"/>
      <c r="C185" s="83"/>
      <c r="D185" s="84"/>
    </row>
    <row r="186">
      <c r="A186" s="82"/>
      <c r="B186" s="83"/>
      <c r="C186" s="83"/>
      <c r="D186" s="84"/>
    </row>
    <row r="187">
      <c r="A187" s="82"/>
      <c r="B187" s="83"/>
      <c r="C187" s="83"/>
      <c r="D187" s="84"/>
    </row>
    <row r="188">
      <c r="A188" s="82"/>
      <c r="B188" s="83"/>
      <c r="C188" s="83"/>
      <c r="D188" s="84"/>
    </row>
    <row r="189">
      <c r="A189" s="82"/>
      <c r="B189" s="83"/>
      <c r="C189" s="83"/>
      <c r="D189" s="84"/>
    </row>
    <row r="190">
      <c r="A190" s="82"/>
      <c r="B190" s="83"/>
      <c r="C190" s="83"/>
      <c r="D190" s="84"/>
    </row>
    <row r="191">
      <c r="A191" s="82"/>
      <c r="B191" s="83"/>
      <c r="C191" s="83"/>
      <c r="D191" s="84"/>
    </row>
    <row r="192">
      <c r="A192" s="82"/>
      <c r="B192" s="83"/>
      <c r="C192" s="83"/>
      <c r="D192" s="84"/>
    </row>
    <row r="193">
      <c r="A193" s="82"/>
      <c r="B193" s="83"/>
      <c r="C193" s="83"/>
      <c r="D193" s="84"/>
    </row>
    <row r="194">
      <c r="A194" s="82"/>
      <c r="B194" s="83"/>
      <c r="C194" s="83"/>
      <c r="D194" s="84"/>
    </row>
    <row r="195">
      <c r="A195" s="82"/>
      <c r="B195" s="83"/>
      <c r="C195" s="83"/>
      <c r="D195" s="84"/>
    </row>
    <row r="196">
      <c r="A196" s="82"/>
      <c r="B196" s="83"/>
      <c r="C196" s="83"/>
      <c r="D196" s="84"/>
    </row>
    <row r="197">
      <c r="A197" s="82"/>
      <c r="B197" s="83"/>
      <c r="C197" s="83"/>
      <c r="D197" s="84"/>
    </row>
    <row r="198">
      <c r="A198" s="82"/>
      <c r="B198" s="83"/>
      <c r="C198" s="83"/>
      <c r="D198" s="84"/>
    </row>
    <row r="199">
      <c r="A199" s="82"/>
      <c r="B199" s="83"/>
      <c r="C199" s="83"/>
      <c r="D199" s="84"/>
    </row>
    <row r="200">
      <c r="A200" s="82"/>
      <c r="B200" s="83"/>
      <c r="C200" s="83"/>
      <c r="D200" s="84"/>
    </row>
    <row r="201">
      <c r="A201" s="82"/>
      <c r="B201" s="83"/>
      <c r="C201" s="83"/>
      <c r="D201" s="84"/>
    </row>
    <row r="202">
      <c r="A202" s="82"/>
      <c r="B202" s="83"/>
      <c r="C202" s="83"/>
      <c r="D202" s="84"/>
    </row>
    <row r="203">
      <c r="A203" s="82"/>
      <c r="B203" s="83"/>
      <c r="C203" s="83"/>
      <c r="D203" s="84"/>
    </row>
    <row r="204">
      <c r="A204" s="82"/>
      <c r="B204" s="83"/>
      <c r="C204" s="83"/>
      <c r="D204" s="84"/>
    </row>
    <row r="205">
      <c r="A205" s="82"/>
      <c r="B205" s="83"/>
      <c r="C205" s="83"/>
      <c r="D205" s="84"/>
    </row>
    <row r="206">
      <c r="A206" s="82"/>
      <c r="B206" s="83"/>
      <c r="C206" s="83"/>
      <c r="D206" s="84"/>
    </row>
    <row r="207">
      <c r="A207" s="82"/>
      <c r="B207" s="83"/>
      <c r="C207" s="83"/>
      <c r="D207" s="84"/>
    </row>
    <row r="208">
      <c r="A208" s="82"/>
      <c r="B208" s="83"/>
      <c r="C208" s="83"/>
      <c r="D208" s="84"/>
    </row>
    <row r="209">
      <c r="A209" s="82"/>
      <c r="B209" s="83"/>
      <c r="C209" s="83"/>
      <c r="D209" s="84"/>
    </row>
    <row r="210">
      <c r="A210" s="82"/>
      <c r="B210" s="83"/>
      <c r="C210" s="83"/>
      <c r="D210" s="84"/>
    </row>
    <row r="211">
      <c r="A211" s="82"/>
      <c r="B211" s="83"/>
      <c r="C211" s="83"/>
      <c r="D211" s="84"/>
    </row>
    <row r="212">
      <c r="A212" s="82"/>
      <c r="B212" s="83"/>
      <c r="C212" s="83"/>
      <c r="D212" s="84"/>
    </row>
    <row r="213">
      <c r="A213" s="82"/>
      <c r="B213" s="83"/>
      <c r="C213" s="83"/>
      <c r="D213" s="84"/>
    </row>
    <row r="214">
      <c r="A214" s="82"/>
      <c r="B214" s="83"/>
      <c r="C214" s="83"/>
      <c r="D214" s="84"/>
    </row>
    <row r="215">
      <c r="A215" s="82"/>
      <c r="B215" s="83"/>
      <c r="C215" s="83"/>
      <c r="D215" s="84"/>
    </row>
    <row r="216">
      <c r="A216" s="82"/>
      <c r="B216" s="83"/>
      <c r="C216" s="83"/>
      <c r="D216" s="84"/>
    </row>
    <row r="217">
      <c r="A217" s="82"/>
      <c r="B217" s="83"/>
      <c r="C217" s="83"/>
      <c r="D217" s="84"/>
    </row>
    <row r="218">
      <c r="A218" s="82"/>
      <c r="B218" s="83"/>
      <c r="C218" s="83"/>
      <c r="D218" s="84"/>
    </row>
    <row r="219">
      <c r="A219" s="82"/>
      <c r="B219" s="83"/>
      <c r="C219" s="83"/>
      <c r="D219" s="84"/>
    </row>
    <row r="220">
      <c r="A220" s="82"/>
      <c r="B220" s="83"/>
      <c r="C220" s="83"/>
      <c r="D220" s="84"/>
    </row>
    <row r="221">
      <c r="A221" s="82"/>
      <c r="B221" s="83"/>
      <c r="C221" s="83"/>
      <c r="D221" s="84"/>
    </row>
    <row r="222">
      <c r="A222" s="82"/>
      <c r="B222" s="83"/>
      <c r="C222" s="83"/>
      <c r="D222" s="84"/>
    </row>
    <row r="223">
      <c r="A223" s="82"/>
      <c r="B223" s="83"/>
      <c r="C223" s="83"/>
      <c r="D223" s="84"/>
    </row>
    <row r="224">
      <c r="A224" s="82"/>
      <c r="B224" s="83"/>
      <c r="C224" s="83"/>
      <c r="D224" s="84"/>
    </row>
    <row r="225">
      <c r="A225" s="82"/>
      <c r="B225" s="83"/>
      <c r="C225" s="83"/>
      <c r="D225" s="84"/>
    </row>
    <row r="226">
      <c r="A226" s="82"/>
      <c r="B226" s="83"/>
      <c r="C226" s="83"/>
      <c r="D226" s="84"/>
    </row>
    <row r="227">
      <c r="A227" s="82"/>
      <c r="B227" s="83"/>
      <c r="C227" s="83"/>
      <c r="D227" s="84"/>
    </row>
    <row r="228">
      <c r="A228" s="82"/>
      <c r="B228" s="83"/>
      <c r="C228" s="83"/>
      <c r="D228" s="84"/>
    </row>
    <row r="229">
      <c r="A229" s="82"/>
      <c r="B229" s="83"/>
      <c r="C229" s="83"/>
      <c r="D229" s="84"/>
    </row>
    <row r="230">
      <c r="A230" s="82"/>
      <c r="B230" s="83"/>
      <c r="C230" s="83"/>
      <c r="D230" s="84"/>
    </row>
    <row r="231">
      <c r="A231" s="82"/>
      <c r="B231" s="83"/>
      <c r="C231" s="83"/>
      <c r="D231" s="84"/>
    </row>
    <row r="232">
      <c r="A232" s="82"/>
      <c r="B232" s="83"/>
      <c r="C232" s="83"/>
      <c r="D232" s="84"/>
    </row>
    <row r="233">
      <c r="A233" s="82"/>
      <c r="B233" s="83"/>
      <c r="C233" s="83"/>
      <c r="D233" s="84"/>
    </row>
    <row r="234">
      <c r="A234" s="82"/>
      <c r="B234" s="83"/>
      <c r="C234" s="83"/>
      <c r="D234" s="84"/>
    </row>
    <row r="235">
      <c r="A235" s="82"/>
      <c r="B235" s="83"/>
      <c r="C235" s="83"/>
      <c r="D235" s="84"/>
    </row>
    <row r="236">
      <c r="A236" s="82"/>
      <c r="B236" s="83"/>
      <c r="C236" s="83"/>
      <c r="D236" s="84"/>
    </row>
    <row r="237">
      <c r="A237" s="82"/>
      <c r="B237" s="83"/>
      <c r="C237" s="83"/>
      <c r="D237" s="84"/>
    </row>
    <row r="238">
      <c r="A238" s="82"/>
      <c r="B238" s="83"/>
      <c r="C238" s="83"/>
      <c r="D238" s="84"/>
    </row>
    <row r="239">
      <c r="A239" s="82"/>
      <c r="B239" s="83"/>
      <c r="C239" s="83"/>
      <c r="D239" s="84"/>
    </row>
    <row r="240">
      <c r="A240" s="82"/>
      <c r="B240" s="83"/>
      <c r="C240" s="83"/>
      <c r="D240" s="84"/>
    </row>
    <row r="241">
      <c r="A241" s="82"/>
      <c r="B241" s="83"/>
      <c r="C241" s="83"/>
      <c r="D241" s="84"/>
    </row>
    <row r="242">
      <c r="A242" s="82"/>
      <c r="B242" s="83"/>
      <c r="C242" s="83"/>
      <c r="D242" s="84"/>
    </row>
    <row r="243">
      <c r="A243" s="82"/>
      <c r="B243" s="83"/>
      <c r="C243" s="83"/>
      <c r="D243" s="84"/>
    </row>
    <row r="244">
      <c r="A244" s="82"/>
      <c r="B244" s="83"/>
      <c r="C244" s="83"/>
      <c r="D244" s="84"/>
    </row>
    <row r="245">
      <c r="A245" s="82"/>
      <c r="B245" s="83"/>
      <c r="C245" s="83"/>
      <c r="D245" s="84"/>
    </row>
    <row r="246">
      <c r="A246" s="82"/>
      <c r="B246" s="83"/>
      <c r="C246" s="83"/>
      <c r="D246" s="84"/>
    </row>
    <row r="247">
      <c r="A247" s="82"/>
      <c r="B247" s="83"/>
      <c r="C247" s="83"/>
      <c r="D247" s="84"/>
    </row>
    <row r="248">
      <c r="A248" s="82"/>
      <c r="B248" s="83"/>
      <c r="C248" s="83"/>
      <c r="D248" s="84"/>
    </row>
    <row r="249">
      <c r="A249" s="82"/>
      <c r="B249" s="83"/>
      <c r="C249" s="83"/>
      <c r="D249" s="84"/>
    </row>
    <row r="250">
      <c r="A250" s="82"/>
      <c r="B250" s="83"/>
      <c r="C250" s="83"/>
      <c r="D250" s="84"/>
    </row>
    <row r="251">
      <c r="A251" s="82"/>
      <c r="B251" s="83"/>
      <c r="C251" s="83"/>
      <c r="D251" s="84"/>
    </row>
    <row r="252">
      <c r="A252" s="82"/>
      <c r="B252" s="83"/>
      <c r="C252" s="83"/>
      <c r="D252" s="84"/>
    </row>
    <row r="253">
      <c r="A253" s="82"/>
      <c r="B253" s="83"/>
      <c r="C253" s="83"/>
      <c r="D253" s="84"/>
    </row>
    <row r="254">
      <c r="A254" s="82"/>
      <c r="B254" s="83"/>
      <c r="C254" s="83"/>
      <c r="D254" s="84"/>
    </row>
    <row r="255">
      <c r="A255" s="82"/>
      <c r="B255" s="83"/>
      <c r="C255" s="83"/>
      <c r="D255" s="84"/>
    </row>
    <row r="256">
      <c r="A256" s="82"/>
      <c r="B256" s="83"/>
      <c r="C256" s="83"/>
      <c r="D256" s="84"/>
    </row>
    <row r="257">
      <c r="A257" s="82"/>
      <c r="B257" s="83"/>
      <c r="C257" s="83"/>
      <c r="D257" s="84"/>
    </row>
    <row r="258">
      <c r="A258" s="82"/>
      <c r="B258" s="83"/>
      <c r="C258" s="83"/>
      <c r="D258" s="84"/>
    </row>
    <row r="259">
      <c r="A259" s="82"/>
      <c r="B259" s="83"/>
      <c r="C259" s="83"/>
      <c r="D259" s="84"/>
    </row>
    <row r="260">
      <c r="A260" s="82"/>
      <c r="B260" s="83"/>
      <c r="C260" s="83"/>
      <c r="D260" s="84"/>
    </row>
    <row r="261">
      <c r="A261" s="82"/>
      <c r="B261" s="83"/>
      <c r="C261" s="83"/>
      <c r="D261" s="84"/>
    </row>
    <row r="262">
      <c r="A262" s="82"/>
      <c r="B262" s="83"/>
      <c r="C262" s="83"/>
      <c r="D262" s="84"/>
    </row>
    <row r="263">
      <c r="A263" s="82"/>
      <c r="B263" s="83"/>
      <c r="C263" s="83"/>
      <c r="D263" s="84"/>
    </row>
    <row r="264">
      <c r="A264" s="82"/>
      <c r="B264" s="83"/>
      <c r="C264" s="83"/>
      <c r="D264" s="84"/>
    </row>
    <row r="265">
      <c r="A265" s="82"/>
      <c r="B265" s="83"/>
      <c r="C265" s="83"/>
      <c r="D265" s="84"/>
    </row>
    <row r="266">
      <c r="A266" s="82"/>
      <c r="B266" s="83"/>
      <c r="C266" s="83"/>
      <c r="D266" s="84"/>
    </row>
    <row r="267">
      <c r="A267" s="82"/>
      <c r="B267" s="83"/>
      <c r="C267" s="83"/>
      <c r="D267" s="84"/>
    </row>
    <row r="268">
      <c r="A268" s="82"/>
      <c r="B268" s="83"/>
      <c r="C268" s="83"/>
      <c r="D268" s="84"/>
    </row>
    <row r="269">
      <c r="A269" s="82"/>
      <c r="B269" s="83"/>
      <c r="C269" s="83"/>
      <c r="D269" s="84"/>
    </row>
    <row r="270">
      <c r="A270" s="82"/>
      <c r="B270" s="83"/>
      <c r="C270" s="83"/>
      <c r="D270" s="84"/>
    </row>
    <row r="271">
      <c r="A271" s="82"/>
      <c r="B271" s="83"/>
      <c r="C271" s="83"/>
      <c r="D271" s="84"/>
    </row>
    <row r="272">
      <c r="A272" s="82"/>
      <c r="B272" s="83"/>
      <c r="C272" s="83"/>
      <c r="D272" s="84"/>
    </row>
    <row r="273">
      <c r="A273" s="82"/>
      <c r="B273" s="83"/>
      <c r="C273" s="83"/>
      <c r="D273" s="84"/>
    </row>
    <row r="274">
      <c r="A274" s="82"/>
      <c r="B274" s="83"/>
      <c r="C274" s="83"/>
      <c r="D274" s="84"/>
    </row>
    <row r="275">
      <c r="A275" s="82"/>
      <c r="B275" s="83"/>
      <c r="C275" s="83"/>
      <c r="D275" s="84"/>
    </row>
    <row r="276">
      <c r="A276" s="82"/>
      <c r="B276" s="83"/>
      <c r="C276" s="83"/>
      <c r="D276" s="84"/>
    </row>
    <row r="277">
      <c r="A277" s="82"/>
      <c r="B277" s="83"/>
      <c r="C277" s="83"/>
      <c r="D277" s="84"/>
    </row>
    <row r="278">
      <c r="A278" s="82"/>
      <c r="B278" s="83"/>
      <c r="C278" s="83"/>
      <c r="D278" s="84"/>
    </row>
    <row r="279">
      <c r="A279" s="82"/>
      <c r="B279" s="83"/>
      <c r="C279" s="83"/>
      <c r="D279" s="84"/>
    </row>
    <row r="280">
      <c r="A280" s="82"/>
      <c r="B280" s="83"/>
      <c r="C280" s="83"/>
      <c r="D280" s="84"/>
    </row>
    <row r="281">
      <c r="A281" s="82"/>
      <c r="B281" s="83"/>
      <c r="C281" s="83"/>
      <c r="D281" s="84"/>
    </row>
    <row r="282">
      <c r="A282" s="82"/>
      <c r="B282" s="83"/>
      <c r="C282" s="83"/>
      <c r="D282" s="84"/>
    </row>
    <row r="283">
      <c r="A283" s="82"/>
      <c r="B283" s="83"/>
      <c r="C283" s="83"/>
      <c r="D283" s="84"/>
    </row>
    <row r="284">
      <c r="A284" s="82"/>
      <c r="B284" s="83"/>
      <c r="C284" s="83"/>
      <c r="D284" s="84"/>
    </row>
    <row r="285">
      <c r="A285" s="82"/>
      <c r="B285" s="83"/>
      <c r="C285" s="83"/>
      <c r="D285" s="84"/>
    </row>
    <row r="286">
      <c r="A286" s="82"/>
      <c r="B286" s="83"/>
      <c r="C286" s="83"/>
      <c r="D286" s="84"/>
    </row>
    <row r="287">
      <c r="A287" s="82"/>
      <c r="B287" s="83"/>
      <c r="C287" s="83"/>
      <c r="D287" s="84"/>
    </row>
    <row r="288">
      <c r="A288" s="82"/>
      <c r="B288" s="83"/>
      <c r="C288" s="83"/>
      <c r="D288" s="84"/>
    </row>
    <row r="289">
      <c r="A289" s="82"/>
      <c r="B289" s="83"/>
      <c r="C289" s="83"/>
      <c r="D289" s="84"/>
    </row>
    <row r="290">
      <c r="A290" s="82"/>
      <c r="B290" s="83"/>
      <c r="C290" s="83"/>
      <c r="D290" s="84"/>
    </row>
    <row r="291">
      <c r="A291" s="82"/>
      <c r="B291" s="83"/>
      <c r="C291" s="83"/>
      <c r="D291" s="84"/>
    </row>
    <row r="292">
      <c r="A292" s="82"/>
      <c r="B292" s="83"/>
      <c r="C292" s="83"/>
      <c r="D292" s="84"/>
    </row>
    <row r="293">
      <c r="A293" s="82"/>
      <c r="B293" s="83"/>
      <c r="C293" s="83"/>
      <c r="D293" s="84"/>
    </row>
    <row r="294">
      <c r="A294" s="82"/>
      <c r="B294" s="83"/>
      <c r="C294" s="83"/>
      <c r="D294" s="84"/>
    </row>
    <row r="295">
      <c r="A295" s="82"/>
      <c r="B295" s="83"/>
      <c r="C295" s="83"/>
      <c r="D295" s="84"/>
    </row>
    <row r="296">
      <c r="A296" s="82"/>
      <c r="B296" s="83"/>
      <c r="C296" s="83"/>
      <c r="D296" s="84"/>
    </row>
    <row r="297">
      <c r="A297" s="82"/>
      <c r="B297" s="83"/>
      <c r="C297" s="83"/>
      <c r="D297" s="84"/>
    </row>
    <row r="298">
      <c r="A298" s="82"/>
      <c r="B298" s="83"/>
      <c r="C298" s="83"/>
      <c r="D298" s="84"/>
    </row>
    <row r="299">
      <c r="A299" s="82"/>
      <c r="B299" s="83"/>
      <c r="C299" s="83"/>
      <c r="D299" s="84"/>
    </row>
    <row r="300">
      <c r="A300" s="82"/>
      <c r="B300" s="83"/>
      <c r="C300" s="83"/>
      <c r="D300" s="84"/>
    </row>
    <row r="301">
      <c r="A301" s="82"/>
      <c r="B301" s="83"/>
      <c r="C301" s="83"/>
      <c r="D301" s="84"/>
    </row>
    <row r="302">
      <c r="A302" s="82"/>
      <c r="B302" s="83"/>
      <c r="C302" s="83"/>
      <c r="D302" s="84"/>
    </row>
    <row r="303">
      <c r="A303" s="82"/>
      <c r="B303" s="83"/>
      <c r="C303" s="83"/>
      <c r="D303" s="84"/>
    </row>
    <row r="304">
      <c r="A304" s="82"/>
      <c r="B304" s="83"/>
      <c r="C304" s="83"/>
      <c r="D304" s="84"/>
    </row>
    <row r="305">
      <c r="A305" s="82"/>
      <c r="B305" s="83"/>
      <c r="C305" s="83"/>
      <c r="D305" s="84"/>
    </row>
    <row r="306">
      <c r="A306" s="82"/>
      <c r="B306" s="83"/>
      <c r="C306" s="83"/>
      <c r="D306" s="84"/>
    </row>
    <row r="307">
      <c r="A307" s="82"/>
      <c r="B307" s="83"/>
      <c r="C307" s="83"/>
      <c r="D307" s="84"/>
    </row>
    <row r="308">
      <c r="A308" s="82"/>
      <c r="B308" s="83"/>
      <c r="C308" s="83"/>
      <c r="D308" s="84"/>
    </row>
    <row r="309">
      <c r="A309" s="82"/>
      <c r="B309" s="83"/>
      <c r="C309" s="83"/>
      <c r="D309" s="84"/>
    </row>
    <row r="310">
      <c r="A310" s="82"/>
      <c r="B310" s="83"/>
      <c r="C310" s="83"/>
      <c r="D310" s="84"/>
    </row>
    <row r="311">
      <c r="A311" s="82"/>
      <c r="B311" s="83"/>
      <c r="C311" s="83"/>
      <c r="D311" s="84"/>
    </row>
    <row r="312">
      <c r="A312" s="82"/>
      <c r="B312" s="83"/>
      <c r="C312" s="83"/>
      <c r="D312" s="84"/>
    </row>
    <row r="313">
      <c r="A313" s="82"/>
      <c r="B313" s="83"/>
      <c r="C313" s="83"/>
      <c r="D313" s="84"/>
    </row>
    <row r="314">
      <c r="A314" s="82"/>
      <c r="B314" s="83"/>
      <c r="C314" s="83"/>
      <c r="D314" s="84"/>
    </row>
    <row r="315">
      <c r="A315" s="82"/>
      <c r="B315" s="83"/>
      <c r="C315" s="83"/>
      <c r="D315" s="84"/>
    </row>
    <row r="316">
      <c r="A316" s="82"/>
      <c r="B316" s="83"/>
      <c r="C316" s="83"/>
      <c r="D316" s="84"/>
    </row>
    <row r="317">
      <c r="A317" s="82"/>
      <c r="B317" s="83"/>
      <c r="C317" s="83"/>
      <c r="D317" s="84"/>
    </row>
    <row r="318">
      <c r="A318" s="82"/>
      <c r="B318" s="83"/>
      <c r="C318" s="83"/>
      <c r="D318" s="84"/>
    </row>
    <row r="319">
      <c r="A319" s="82"/>
      <c r="B319" s="83"/>
      <c r="C319" s="83"/>
      <c r="D319" s="84"/>
    </row>
    <row r="320">
      <c r="A320" s="82"/>
      <c r="B320" s="83"/>
      <c r="C320" s="83"/>
      <c r="D320" s="84"/>
    </row>
    <row r="321">
      <c r="A321" s="82"/>
      <c r="B321" s="83"/>
      <c r="C321" s="83"/>
      <c r="D321" s="84"/>
    </row>
    <row r="322">
      <c r="A322" s="82"/>
      <c r="B322" s="83"/>
      <c r="C322" s="83"/>
      <c r="D322" s="84"/>
    </row>
    <row r="323">
      <c r="A323" s="82"/>
      <c r="B323" s="83"/>
      <c r="C323" s="83"/>
      <c r="D323" s="84"/>
    </row>
    <row r="324">
      <c r="A324" s="82"/>
      <c r="B324" s="83"/>
      <c r="C324" s="83"/>
      <c r="D324" s="84"/>
    </row>
    <row r="325">
      <c r="A325" s="82"/>
      <c r="B325" s="83"/>
      <c r="C325" s="83"/>
      <c r="D325" s="84"/>
    </row>
    <row r="326">
      <c r="A326" s="82"/>
      <c r="B326" s="83"/>
      <c r="C326" s="83"/>
      <c r="D326" s="84"/>
    </row>
    <row r="327">
      <c r="A327" s="82"/>
      <c r="B327" s="83"/>
      <c r="C327" s="83"/>
      <c r="D327" s="84"/>
    </row>
    <row r="328">
      <c r="A328" s="82"/>
      <c r="B328" s="83"/>
      <c r="C328" s="83"/>
      <c r="D328" s="84"/>
    </row>
    <row r="329">
      <c r="A329" s="82"/>
      <c r="B329" s="83"/>
      <c r="C329" s="83"/>
      <c r="D329" s="84"/>
    </row>
    <row r="330">
      <c r="A330" s="82"/>
      <c r="B330" s="83"/>
      <c r="C330" s="83"/>
      <c r="D330" s="84"/>
    </row>
    <row r="331">
      <c r="A331" s="82"/>
      <c r="B331" s="83"/>
      <c r="C331" s="83"/>
      <c r="D331" s="84"/>
    </row>
    <row r="332">
      <c r="A332" s="82"/>
      <c r="B332" s="83"/>
      <c r="C332" s="83"/>
      <c r="D332" s="84"/>
    </row>
    <row r="333">
      <c r="A333" s="82"/>
      <c r="B333" s="83"/>
      <c r="C333" s="83"/>
      <c r="D333" s="84"/>
    </row>
    <row r="334">
      <c r="A334" s="82"/>
      <c r="B334" s="83"/>
      <c r="C334" s="83"/>
      <c r="D334" s="84"/>
    </row>
    <row r="335">
      <c r="A335" s="82"/>
      <c r="B335" s="83"/>
      <c r="C335" s="83"/>
      <c r="D335" s="84"/>
    </row>
    <row r="336">
      <c r="A336" s="82"/>
      <c r="B336" s="83"/>
      <c r="C336" s="83"/>
      <c r="D336" s="84"/>
    </row>
    <row r="337">
      <c r="A337" s="82"/>
      <c r="B337" s="83"/>
      <c r="C337" s="83"/>
      <c r="D337" s="84"/>
    </row>
    <row r="338">
      <c r="A338" s="82"/>
      <c r="B338" s="83"/>
      <c r="C338" s="83"/>
      <c r="D338" s="84"/>
    </row>
    <row r="339">
      <c r="A339" s="82"/>
      <c r="B339" s="83"/>
      <c r="C339" s="83"/>
      <c r="D339" s="84"/>
    </row>
    <row r="340">
      <c r="A340" s="82"/>
      <c r="B340" s="83"/>
      <c r="C340" s="83"/>
      <c r="D340" s="84"/>
    </row>
    <row r="341">
      <c r="A341" s="82"/>
      <c r="B341" s="83"/>
      <c r="C341" s="83"/>
      <c r="D341" s="84"/>
    </row>
    <row r="342">
      <c r="A342" s="82"/>
      <c r="B342" s="83"/>
      <c r="C342" s="83"/>
      <c r="D342" s="84"/>
    </row>
    <row r="343">
      <c r="A343" s="82"/>
      <c r="B343" s="83"/>
      <c r="C343" s="83"/>
      <c r="D343" s="84"/>
    </row>
    <row r="344">
      <c r="A344" s="82"/>
      <c r="B344" s="83"/>
      <c r="C344" s="83"/>
      <c r="D344" s="84"/>
    </row>
    <row r="345">
      <c r="A345" s="82"/>
      <c r="B345" s="83"/>
      <c r="C345" s="83"/>
      <c r="D345" s="84"/>
    </row>
    <row r="346">
      <c r="A346" s="82"/>
      <c r="B346" s="83"/>
      <c r="C346" s="83"/>
      <c r="D346" s="84"/>
    </row>
    <row r="347">
      <c r="A347" s="82"/>
      <c r="B347" s="83"/>
      <c r="C347" s="83"/>
      <c r="D347" s="84"/>
    </row>
    <row r="348">
      <c r="A348" s="82"/>
      <c r="B348" s="83"/>
      <c r="C348" s="83"/>
      <c r="D348" s="84"/>
    </row>
    <row r="349">
      <c r="A349" s="82"/>
      <c r="B349" s="83"/>
      <c r="C349" s="83"/>
      <c r="D349" s="84"/>
    </row>
    <row r="350">
      <c r="A350" s="82"/>
      <c r="B350" s="83"/>
      <c r="C350" s="83"/>
      <c r="D350" s="84"/>
    </row>
    <row r="351">
      <c r="A351" s="82"/>
      <c r="B351" s="83"/>
      <c r="C351" s="83"/>
      <c r="D351" s="84"/>
    </row>
    <row r="352">
      <c r="A352" s="82"/>
      <c r="B352" s="83"/>
      <c r="C352" s="83"/>
      <c r="D352" s="84"/>
    </row>
    <row r="353">
      <c r="A353" s="82"/>
      <c r="B353" s="83"/>
      <c r="C353" s="83"/>
      <c r="D353" s="84"/>
    </row>
    <row r="354">
      <c r="A354" s="82"/>
      <c r="B354" s="83"/>
      <c r="C354" s="83"/>
      <c r="D354" s="84"/>
    </row>
    <row r="355">
      <c r="A355" s="82"/>
      <c r="B355" s="83"/>
      <c r="C355" s="83"/>
      <c r="D355" s="84"/>
    </row>
    <row r="356">
      <c r="A356" s="82"/>
      <c r="B356" s="83"/>
      <c r="C356" s="83"/>
      <c r="D356" s="84"/>
    </row>
    <row r="357">
      <c r="A357" s="82"/>
      <c r="B357" s="83"/>
      <c r="C357" s="83"/>
      <c r="D357" s="84"/>
    </row>
    <row r="358">
      <c r="A358" s="82"/>
      <c r="B358" s="83"/>
      <c r="C358" s="83"/>
      <c r="D358" s="84"/>
    </row>
    <row r="359">
      <c r="A359" s="82"/>
      <c r="B359" s="83"/>
      <c r="C359" s="83"/>
      <c r="D359" s="84"/>
    </row>
    <row r="360">
      <c r="A360" s="82"/>
      <c r="B360" s="83"/>
      <c r="C360" s="83"/>
      <c r="D360" s="84"/>
    </row>
    <row r="361">
      <c r="A361" s="82"/>
      <c r="B361" s="83"/>
      <c r="C361" s="83"/>
      <c r="D361" s="84"/>
    </row>
    <row r="362">
      <c r="A362" s="82"/>
      <c r="B362" s="83"/>
      <c r="C362" s="83"/>
      <c r="D362" s="84"/>
    </row>
    <row r="363">
      <c r="A363" s="82"/>
      <c r="B363" s="83"/>
      <c r="C363" s="83"/>
      <c r="D363" s="84"/>
    </row>
    <row r="364">
      <c r="A364" s="82"/>
      <c r="B364" s="83"/>
      <c r="C364" s="83"/>
      <c r="D364" s="84"/>
    </row>
    <row r="365">
      <c r="A365" s="82"/>
      <c r="B365" s="83"/>
      <c r="C365" s="83"/>
      <c r="D365" s="84"/>
    </row>
    <row r="366">
      <c r="A366" s="82"/>
      <c r="B366" s="83"/>
      <c r="C366" s="83"/>
      <c r="D366" s="84"/>
    </row>
    <row r="367">
      <c r="A367" s="82"/>
      <c r="B367" s="83"/>
      <c r="C367" s="83"/>
      <c r="D367" s="84"/>
    </row>
    <row r="368">
      <c r="A368" s="82"/>
      <c r="B368" s="83"/>
      <c r="C368" s="83"/>
      <c r="D368" s="84"/>
    </row>
    <row r="369">
      <c r="A369" s="82"/>
      <c r="B369" s="83"/>
      <c r="C369" s="83"/>
      <c r="D369" s="84"/>
    </row>
    <row r="370">
      <c r="A370" s="82"/>
      <c r="B370" s="83"/>
      <c r="C370" s="83"/>
      <c r="D370" s="84"/>
    </row>
    <row r="371">
      <c r="A371" s="82"/>
      <c r="B371" s="83"/>
      <c r="C371" s="83"/>
      <c r="D371" s="84"/>
    </row>
    <row r="372">
      <c r="A372" s="82"/>
      <c r="B372" s="83"/>
      <c r="C372" s="83"/>
      <c r="D372" s="84"/>
    </row>
    <row r="373">
      <c r="A373" s="82"/>
      <c r="B373" s="83"/>
      <c r="C373" s="83"/>
      <c r="D373" s="84"/>
    </row>
    <row r="374">
      <c r="A374" s="82"/>
      <c r="B374" s="83"/>
      <c r="C374" s="83"/>
      <c r="D374" s="84"/>
    </row>
    <row r="375">
      <c r="A375" s="82"/>
      <c r="B375" s="83"/>
      <c r="C375" s="83"/>
      <c r="D375" s="84"/>
    </row>
    <row r="376">
      <c r="A376" s="82"/>
      <c r="B376" s="83"/>
      <c r="C376" s="83"/>
      <c r="D376" s="84"/>
    </row>
    <row r="377">
      <c r="A377" s="82"/>
      <c r="B377" s="83"/>
      <c r="C377" s="83"/>
      <c r="D377" s="84"/>
    </row>
    <row r="378">
      <c r="A378" s="82"/>
      <c r="B378" s="83"/>
      <c r="C378" s="83"/>
      <c r="D378" s="84"/>
    </row>
    <row r="379">
      <c r="A379" s="82"/>
      <c r="B379" s="83"/>
      <c r="C379" s="83"/>
      <c r="D379" s="84"/>
    </row>
    <row r="380">
      <c r="A380" s="82"/>
      <c r="B380" s="83"/>
      <c r="C380" s="83"/>
      <c r="D380" s="84"/>
    </row>
    <row r="381">
      <c r="A381" s="82"/>
      <c r="B381" s="83"/>
      <c r="C381" s="83"/>
      <c r="D381" s="84"/>
    </row>
    <row r="382">
      <c r="A382" s="82"/>
      <c r="B382" s="83"/>
      <c r="C382" s="83"/>
      <c r="D382" s="84"/>
    </row>
    <row r="383">
      <c r="A383" s="82"/>
      <c r="B383" s="83"/>
      <c r="C383" s="83"/>
      <c r="D383" s="84"/>
    </row>
    <row r="384">
      <c r="A384" s="82"/>
      <c r="B384" s="83"/>
      <c r="C384" s="83"/>
      <c r="D384" s="84"/>
    </row>
    <row r="385">
      <c r="A385" s="82"/>
      <c r="B385" s="83"/>
      <c r="C385" s="83"/>
      <c r="D385" s="84"/>
    </row>
    <row r="386">
      <c r="A386" s="82"/>
      <c r="B386" s="83"/>
      <c r="C386" s="83"/>
      <c r="D386" s="84"/>
    </row>
    <row r="387">
      <c r="A387" s="82"/>
      <c r="B387" s="83"/>
      <c r="C387" s="83"/>
      <c r="D387" s="84"/>
    </row>
    <row r="388">
      <c r="A388" s="82"/>
      <c r="B388" s="83"/>
      <c r="C388" s="83"/>
      <c r="D388" s="84"/>
    </row>
    <row r="389">
      <c r="A389" s="82"/>
      <c r="B389" s="83"/>
      <c r="C389" s="83"/>
      <c r="D389" s="84"/>
    </row>
    <row r="390">
      <c r="A390" s="82"/>
      <c r="B390" s="83"/>
      <c r="C390" s="83"/>
      <c r="D390" s="84"/>
    </row>
    <row r="391">
      <c r="A391" s="82"/>
      <c r="B391" s="83"/>
      <c r="C391" s="83"/>
      <c r="D391" s="84"/>
    </row>
    <row r="392">
      <c r="A392" s="82"/>
      <c r="B392" s="83"/>
      <c r="C392" s="83"/>
      <c r="D392" s="84"/>
    </row>
    <row r="393">
      <c r="A393" s="82"/>
      <c r="B393" s="83"/>
      <c r="C393" s="83"/>
      <c r="D393" s="84"/>
    </row>
    <row r="394">
      <c r="A394" s="82"/>
      <c r="B394" s="83"/>
      <c r="C394" s="83"/>
      <c r="D394" s="84"/>
    </row>
    <row r="395">
      <c r="A395" s="82"/>
      <c r="B395" s="83"/>
      <c r="C395" s="83"/>
      <c r="D395" s="84"/>
    </row>
    <row r="396">
      <c r="A396" s="82"/>
      <c r="B396" s="83"/>
      <c r="C396" s="83"/>
      <c r="D396" s="84"/>
    </row>
    <row r="397">
      <c r="A397" s="82"/>
      <c r="B397" s="83"/>
      <c r="C397" s="83"/>
      <c r="D397" s="84"/>
    </row>
    <row r="398">
      <c r="A398" s="82"/>
      <c r="B398" s="83"/>
      <c r="C398" s="83"/>
      <c r="D398" s="84"/>
    </row>
    <row r="399">
      <c r="A399" s="82"/>
      <c r="B399" s="83"/>
      <c r="C399" s="83"/>
      <c r="D399" s="84"/>
    </row>
    <row r="400">
      <c r="A400" s="82"/>
      <c r="B400" s="83"/>
      <c r="C400" s="83"/>
      <c r="D400" s="84"/>
    </row>
    <row r="401">
      <c r="A401" s="82"/>
      <c r="B401" s="83"/>
      <c r="C401" s="83"/>
      <c r="D401" s="84"/>
    </row>
    <row r="402">
      <c r="A402" s="82"/>
      <c r="B402" s="83"/>
      <c r="C402" s="83"/>
      <c r="D402" s="84"/>
    </row>
    <row r="403">
      <c r="A403" s="82"/>
      <c r="B403" s="83"/>
      <c r="C403" s="83"/>
      <c r="D403" s="84"/>
    </row>
    <row r="404">
      <c r="A404" s="82"/>
      <c r="B404" s="83"/>
      <c r="C404" s="83"/>
      <c r="D404" s="84"/>
    </row>
    <row r="405">
      <c r="A405" s="82"/>
      <c r="B405" s="83"/>
      <c r="C405" s="83"/>
      <c r="D405" s="84"/>
    </row>
    <row r="406">
      <c r="A406" s="82"/>
      <c r="B406" s="83"/>
      <c r="C406" s="83"/>
      <c r="D406" s="84"/>
    </row>
    <row r="407">
      <c r="A407" s="82"/>
      <c r="B407" s="83"/>
      <c r="C407" s="83"/>
      <c r="D407" s="84"/>
    </row>
    <row r="408">
      <c r="A408" s="82"/>
      <c r="B408" s="83"/>
      <c r="C408" s="83"/>
      <c r="D408" s="84"/>
    </row>
    <row r="409">
      <c r="A409" s="82"/>
      <c r="B409" s="83"/>
      <c r="C409" s="83"/>
      <c r="D409" s="84"/>
    </row>
    <row r="410">
      <c r="A410" s="82"/>
      <c r="B410" s="83"/>
      <c r="C410" s="83"/>
      <c r="D410" s="84"/>
    </row>
    <row r="411">
      <c r="A411" s="82"/>
      <c r="B411" s="83"/>
      <c r="C411" s="83"/>
      <c r="D411" s="84"/>
    </row>
    <row r="412">
      <c r="A412" s="82"/>
      <c r="B412" s="83"/>
      <c r="C412" s="83"/>
      <c r="D412" s="84"/>
    </row>
    <row r="413">
      <c r="A413" s="82"/>
      <c r="B413" s="83"/>
      <c r="C413" s="83"/>
      <c r="D413" s="84"/>
    </row>
    <row r="414">
      <c r="A414" s="82"/>
      <c r="B414" s="83"/>
      <c r="C414" s="83"/>
      <c r="D414" s="84"/>
    </row>
    <row r="415">
      <c r="A415" s="82"/>
      <c r="B415" s="83"/>
      <c r="C415" s="83"/>
      <c r="D415" s="84"/>
    </row>
    <row r="416">
      <c r="A416" s="82"/>
      <c r="B416" s="83"/>
      <c r="C416" s="83"/>
      <c r="D416" s="84"/>
    </row>
    <row r="417">
      <c r="A417" s="82"/>
      <c r="B417" s="83"/>
      <c r="C417" s="83"/>
      <c r="D417" s="84"/>
    </row>
    <row r="418">
      <c r="A418" s="82"/>
      <c r="B418" s="83"/>
      <c r="C418" s="83"/>
      <c r="D418" s="84"/>
    </row>
    <row r="419">
      <c r="A419" s="82"/>
      <c r="B419" s="83"/>
      <c r="C419" s="83"/>
      <c r="D419" s="84"/>
    </row>
    <row r="420">
      <c r="A420" s="82"/>
      <c r="B420" s="83"/>
      <c r="C420" s="83"/>
      <c r="D420" s="84"/>
    </row>
    <row r="421">
      <c r="A421" s="82"/>
      <c r="B421" s="83"/>
      <c r="C421" s="83"/>
      <c r="D421" s="84"/>
    </row>
    <row r="422">
      <c r="A422" s="82"/>
      <c r="B422" s="83"/>
      <c r="C422" s="83"/>
      <c r="D422" s="84"/>
    </row>
    <row r="423">
      <c r="A423" s="82"/>
      <c r="B423" s="83"/>
      <c r="C423" s="83"/>
      <c r="D423" s="84"/>
    </row>
    <row r="424">
      <c r="A424" s="82"/>
      <c r="B424" s="83"/>
      <c r="C424" s="83"/>
      <c r="D424" s="84"/>
    </row>
    <row r="425">
      <c r="A425" s="82"/>
      <c r="B425" s="83"/>
      <c r="C425" s="83"/>
      <c r="D425" s="84"/>
    </row>
    <row r="426">
      <c r="A426" s="82"/>
      <c r="B426" s="83"/>
      <c r="C426" s="83"/>
      <c r="D426" s="84"/>
    </row>
    <row r="427">
      <c r="A427" s="82"/>
      <c r="B427" s="83"/>
      <c r="C427" s="83"/>
      <c r="D427" s="84"/>
    </row>
    <row r="428">
      <c r="A428" s="82"/>
      <c r="B428" s="83"/>
      <c r="C428" s="83"/>
      <c r="D428" s="84"/>
    </row>
    <row r="429">
      <c r="A429" s="82"/>
      <c r="B429" s="83"/>
      <c r="C429" s="83"/>
      <c r="D429" s="84"/>
    </row>
    <row r="430">
      <c r="A430" s="82"/>
      <c r="B430" s="83"/>
      <c r="C430" s="83"/>
      <c r="D430" s="84"/>
    </row>
    <row r="431">
      <c r="A431" s="82"/>
      <c r="B431" s="83"/>
      <c r="C431" s="83"/>
      <c r="D431" s="84"/>
    </row>
    <row r="432">
      <c r="A432" s="82"/>
      <c r="B432" s="83"/>
      <c r="C432" s="83"/>
      <c r="D432" s="84"/>
    </row>
    <row r="433">
      <c r="A433" s="82"/>
      <c r="B433" s="83"/>
      <c r="C433" s="83"/>
      <c r="D433" s="84"/>
    </row>
    <row r="434">
      <c r="A434" s="82"/>
      <c r="B434" s="83"/>
      <c r="C434" s="83"/>
      <c r="D434" s="84"/>
    </row>
    <row r="435">
      <c r="A435" s="82"/>
      <c r="B435" s="83"/>
      <c r="C435" s="83"/>
      <c r="D435" s="84"/>
    </row>
    <row r="436">
      <c r="A436" s="82"/>
      <c r="B436" s="83"/>
      <c r="C436" s="83"/>
      <c r="D436" s="84"/>
    </row>
    <row r="437">
      <c r="A437" s="82"/>
      <c r="B437" s="83"/>
      <c r="C437" s="83"/>
      <c r="D437" s="84"/>
    </row>
    <row r="438">
      <c r="A438" s="82"/>
      <c r="B438" s="83"/>
      <c r="C438" s="83"/>
      <c r="D438" s="84"/>
    </row>
    <row r="439">
      <c r="A439" s="82"/>
      <c r="B439" s="83"/>
      <c r="C439" s="83"/>
      <c r="D439" s="84"/>
    </row>
    <row r="440">
      <c r="A440" s="82"/>
      <c r="B440" s="83"/>
      <c r="C440" s="83"/>
      <c r="D440" s="84"/>
    </row>
    <row r="441">
      <c r="A441" s="82"/>
      <c r="B441" s="83"/>
      <c r="C441" s="83"/>
      <c r="D441" s="84"/>
    </row>
    <row r="442">
      <c r="A442" s="82"/>
      <c r="B442" s="83"/>
      <c r="C442" s="83"/>
      <c r="D442" s="84"/>
    </row>
    <row r="443">
      <c r="A443" s="82"/>
      <c r="B443" s="83"/>
      <c r="C443" s="83"/>
      <c r="D443" s="84"/>
    </row>
    <row r="444">
      <c r="A444" s="82"/>
      <c r="B444" s="83"/>
      <c r="C444" s="83"/>
      <c r="D444" s="84"/>
    </row>
    <row r="445">
      <c r="A445" s="82"/>
      <c r="B445" s="83"/>
      <c r="C445" s="83"/>
      <c r="D445" s="84"/>
    </row>
    <row r="446">
      <c r="A446" s="82"/>
      <c r="B446" s="83"/>
      <c r="C446" s="83"/>
      <c r="D446" s="84"/>
    </row>
    <row r="447">
      <c r="A447" s="82"/>
      <c r="B447" s="83"/>
      <c r="C447" s="83"/>
      <c r="D447" s="84"/>
    </row>
    <row r="448">
      <c r="A448" s="82"/>
      <c r="B448" s="83"/>
      <c r="C448" s="83"/>
      <c r="D448" s="84"/>
    </row>
    <row r="449">
      <c r="A449" s="82"/>
      <c r="B449" s="83"/>
      <c r="C449" s="83"/>
      <c r="D449" s="84"/>
    </row>
    <row r="450">
      <c r="A450" s="82"/>
      <c r="B450" s="83"/>
      <c r="C450" s="83"/>
      <c r="D450" s="84"/>
    </row>
    <row r="451">
      <c r="A451" s="82"/>
      <c r="B451" s="83"/>
      <c r="C451" s="83"/>
      <c r="D451" s="84"/>
    </row>
    <row r="452">
      <c r="A452" s="82"/>
      <c r="B452" s="83"/>
      <c r="C452" s="83"/>
      <c r="D452" s="84"/>
    </row>
    <row r="453">
      <c r="A453" s="82"/>
      <c r="B453" s="83"/>
      <c r="C453" s="83"/>
      <c r="D453" s="84"/>
    </row>
    <row r="454">
      <c r="A454" s="82"/>
      <c r="B454" s="83"/>
      <c r="C454" s="83"/>
      <c r="D454" s="84"/>
    </row>
    <row r="455">
      <c r="A455" s="82"/>
      <c r="B455" s="83"/>
      <c r="C455" s="83"/>
      <c r="D455" s="84"/>
    </row>
    <row r="456">
      <c r="A456" s="82"/>
      <c r="B456" s="83"/>
      <c r="C456" s="83"/>
      <c r="D456" s="84"/>
    </row>
    <row r="457">
      <c r="A457" s="82"/>
      <c r="B457" s="83"/>
      <c r="C457" s="83"/>
      <c r="D457" s="84"/>
    </row>
    <row r="458">
      <c r="A458" s="82"/>
      <c r="B458" s="83"/>
      <c r="C458" s="83"/>
      <c r="D458" s="84"/>
    </row>
    <row r="459">
      <c r="A459" s="82"/>
      <c r="B459" s="83"/>
      <c r="C459" s="83"/>
      <c r="D459" s="84"/>
    </row>
    <row r="460">
      <c r="A460" s="82"/>
      <c r="B460" s="83"/>
      <c r="C460" s="83"/>
      <c r="D460" s="84"/>
    </row>
    <row r="461">
      <c r="A461" s="82"/>
      <c r="B461" s="83"/>
      <c r="C461" s="83"/>
      <c r="D461" s="84"/>
    </row>
    <row r="462">
      <c r="A462" s="82"/>
      <c r="B462" s="83"/>
      <c r="C462" s="83"/>
      <c r="D462" s="84"/>
    </row>
    <row r="463">
      <c r="A463" s="82"/>
      <c r="B463" s="83"/>
      <c r="C463" s="83"/>
      <c r="D463" s="84"/>
    </row>
    <row r="464">
      <c r="A464" s="82"/>
      <c r="B464" s="83"/>
      <c r="C464" s="83"/>
      <c r="D464" s="84"/>
    </row>
    <row r="465">
      <c r="A465" s="82"/>
      <c r="B465" s="83"/>
      <c r="C465" s="83"/>
      <c r="D465" s="84"/>
    </row>
    <row r="466">
      <c r="A466" s="82"/>
      <c r="B466" s="83"/>
      <c r="C466" s="83"/>
      <c r="D466" s="84"/>
    </row>
    <row r="467">
      <c r="A467" s="82"/>
      <c r="B467" s="83"/>
      <c r="C467" s="83"/>
      <c r="D467" s="84"/>
    </row>
    <row r="468">
      <c r="A468" s="82"/>
      <c r="B468" s="83"/>
      <c r="C468" s="83"/>
      <c r="D468" s="84"/>
    </row>
    <row r="469">
      <c r="A469" s="82"/>
      <c r="B469" s="83"/>
      <c r="C469" s="83"/>
      <c r="D469" s="84"/>
    </row>
    <row r="470">
      <c r="A470" s="82"/>
      <c r="B470" s="83"/>
      <c r="C470" s="83"/>
      <c r="D470" s="84"/>
    </row>
    <row r="471">
      <c r="A471" s="82"/>
      <c r="B471" s="83"/>
      <c r="C471" s="83"/>
      <c r="D471" s="84"/>
    </row>
    <row r="472">
      <c r="A472" s="82"/>
      <c r="B472" s="83"/>
      <c r="C472" s="83"/>
      <c r="D472" s="84"/>
    </row>
    <row r="473">
      <c r="A473" s="82"/>
      <c r="B473" s="83"/>
      <c r="C473" s="83"/>
      <c r="D473" s="84"/>
    </row>
    <row r="474">
      <c r="A474" s="82"/>
      <c r="B474" s="83"/>
      <c r="C474" s="83"/>
      <c r="D474" s="84"/>
    </row>
    <row r="475">
      <c r="A475" s="82"/>
      <c r="B475" s="83"/>
      <c r="C475" s="83"/>
      <c r="D475" s="84"/>
    </row>
    <row r="476">
      <c r="A476" s="82"/>
      <c r="B476" s="83"/>
      <c r="C476" s="83"/>
      <c r="D476" s="84"/>
    </row>
    <row r="477">
      <c r="A477" s="82"/>
      <c r="B477" s="83"/>
      <c r="C477" s="83"/>
      <c r="D477" s="84"/>
    </row>
    <row r="478">
      <c r="A478" s="82"/>
      <c r="B478" s="83"/>
      <c r="C478" s="83"/>
      <c r="D478" s="84"/>
    </row>
    <row r="479">
      <c r="A479" s="82"/>
      <c r="B479" s="83"/>
      <c r="C479" s="83"/>
      <c r="D479" s="84"/>
    </row>
    <row r="480">
      <c r="A480" s="82"/>
      <c r="B480" s="83"/>
      <c r="C480" s="83"/>
      <c r="D480" s="84"/>
    </row>
    <row r="481">
      <c r="A481" s="82"/>
      <c r="B481" s="83"/>
      <c r="C481" s="83"/>
      <c r="D481" s="84"/>
    </row>
    <row r="482">
      <c r="A482" s="82"/>
      <c r="B482" s="83"/>
      <c r="C482" s="83"/>
      <c r="D482" s="84"/>
    </row>
    <row r="483">
      <c r="A483" s="82"/>
      <c r="B483" s="83"/>
      <c r="C483" s="83"/>
      <c r="D483" s="84"/>
    </row>
    <row r="484">
      <c r="A484" s="82"/>
      <c r="B484" s="83"/>
      <c r="C484" s="83"/>
      <c r="D484" s="84"/>
    </row>
    <row r="485">
      <c r="A485" s="82"/>
      <c r="B485" s="83"/>
      <c r="C485" s="83"/>
      <c r="D485" s="84"/>
    </row>
    <row r="486">
      <c r="A486" s="82"/>
      <c r="B486" s="83"/>
      <c r="C486" s="83"/>
      <c r="D486" s="84"/>
    </row>
    <row r="487">
      <c r="A487" s="82"/>
      <c r="B487" s="83"/>
      <c r="C487" s="83"/>
      <c r="D487" s="84"/>
    </row>
    <row r="488">
      <c r="A488" s="82"/>
      <c r="B488" s="83"/>
      <c r="C488" s="83"/>
      <c r="D488" s="84"/>
    </row>
    <row r="489">
      <c r="A489" s="82"/>
      <c r="B489" s="83"/>
      <c r="C489" s="83"/>
      <c r="D489" s="84"/>
    </row>
    <row r="490">
      <c r="A490" s="82"/>
      <c r="B490" s="83"/>
      <c r="C490" s="83"/>
      <c r="D490" s="84"/>
    </row>
    <row r="491">
      <c r="A491" s="82"/>
      <c r="B491" s="83"/>
      <c r="C491" s="83"/>
      <c r="D491" s="84"/>
    </row>
    <row r="492">
      <c r="A492" s="82"/>
      <c r="B492" s="83"/>
      <c r="C492" s="83"/>
      <c r="D492" s="84"/>
    </row>
    <row r="493">
      <c r="A493" s="82"/>
      <c r="B493" s="83"/>
      <c r="C493" s="83"/>
      <c r="D493" s="84"/>
    </row>
    <row r="494">
      <c r="A494" s="82"/>
      <c r="B494" s="83"/>
      <c r="C494" s="83"/>
      <c r="D494" s="84"/>
    </row>
    <row r="495">
      <c r="A495" s="82"/>
      <c r="B495" s="83"/>
      <c r="C495" s="83"/>
      <c r="D495" s="84"/>
    </row>
    <row r="496">
      <c r="A496" s="82"/>
      <c r="B496" s="83"/>
      <c r="C496" s="83"/>
      <c r="D496" s="84"/>
    </row>
    <row r="497">
      <c r="A497" s="82"/>
      <c r="B497" s="83"/>
      <c r="C497" s="83"/>
      <c r="D497" s="84"/>
    </row>
    <row r="498">
      <c r="A498" s="82"/>
      <c r="B498" s="83"/>
      <c r="C498" s="83"/>
      <c r="D498" s="84"/>
    </row>
    <row r="499">
      <c r="A499" s="82"/>
      <c r="B499" s="83"/>
      <c r="C499" s="83"/>
      <c r="D499" s="84"/>
    </row>
    <row r="500">
      <c r="A500" s="82"/>
      <c r="B500" s="83"/>
      <c r="C500" s="83"/>
      <c r="D500" s="84"/>
    </row>
    <row r="501">
      <c r="A501" s="82"/>
      <c r="B501" s="83"/>
      <c r="C501" s="83"/>
      <c r="D501" s="84"/>
    </row>
    <row r="502">
      <c r="A502" s="82"/>
      <c r="B502" s="83"/>
      <c r="C502" s="83"/>
      <c r="D502" s="84"/>
    </row>
    <row r="503">
      <c r="A503" s="82"/>
      <c r="B503" s="83"/>
      <c r="C503" s="83"/>
      <c r="D503" s="84"/>
    </row>
    <row r="504">
      <c r="A504" s="82"/>
      <c r="B504" s="83"/>
      <c r="C504" s="83"/>
      <c r="D504" s="84"/>
    </row>
    <row r="505">
      <c r="A505" s="82"/>
      <c r="B505" s="83"/>
      <c r="C505" s="83"/>
      <c r="D505" s="84"/>
    </row>
    <row r="506">
      <c r="A506" s="82"/>
      <c r="B506" s="83"/>
      <c r="C506" s="83"/>
      <c r="D506" s="84"/>
    </row>
    <row r="507">
      <c r="A507" s="82"/>
      <c r="B507" s="83"/>
      <c r="C507" s="83"/>
      <c r="D507" s="84"/>
    </row>
    <row r="508">
      <c r="A508" s="82"/>
      <c r="B508" s="83"/>
      <c r="C508" s="83"/>
      <c r="D508" s="84"/>
    </row>
    <row r="509">
      <c r="A509" s="82"/>
      <c r="B509" s="83"/>
      <c r="C509" s="83"/>
      <c r="D509" s="84"/>
    </row>
    <row r="510">
      <c r="A510" s="82"/>
      <c r="B510" s="83"/>
      <c r="C510" s="83"/>
      <c r="D510" s="84"/>
    </row>
    <row r="511">
      <c r="A511" s="82"/>
      <c r="B511" s="83"/>
      <c r="C511" s="83"/>
      <c r="D511" s="84"/>
    </row>
    <row r="512">
      <c r="A512" s="82"/>
      <c r="B512" s="83"/>
      <c r="C512" s="83"/>
      <c r="D512" s="84"/>
    </row>
    <row r="513">
      <c r="A513" s="82"/>
      <c r="B513" s="83"/>
      <c r="C513" s="83"/>
      <c r="D513" s="84"/>
    </row>
    <row r="514">
      <c r="A514" s="82"/>
      <c r="B514" s="83"/>
      <c r="C514" s="83"/>
      <c r="D514" s="84"/>
    </row>
    <row r="515">
      <c r="A515" s="82"/>
      <c r="B515" s="83"/>
      <c r="C515" s="83"/>
      <c r="D515" s="84"/>
    </row>
    <row r="516">
      <c r="A516" s="82"/>
      <c r="B516" s="83"/>
      <c r="C516" s="83"/>
      <c r="D516" s="84"/>
    </row>
    <row r="517">
      <c r="A517" s="82"/>
      <c r="B517" s="83"/>
      <c r="C517" s="83"/>
      <c r="D517" s="84"/>
    </row>
    <row r="518">
      <c r="A518" s="82"/>
      <c r="B518" s="83"/>
      <c r="C518" s="83"/>
      <c r="D518" s="84"/>
    </row>
    <row r="519">
      <c r="A519" s="82"/>
      <c r="B519" s="83"/>
      <c r="C519" s="83"/>
      <c r="D519" s="84"/>
    </row>
    <row r="520">
      <c r="A520" s="82"/>
      <c r="B520" s="83"/>
      <c r="C520" s="83"/>
      <c r="D520" s="84"/>
    </row>
    <row r="521">
      <c r="A521" s="82"/>
      <c r="B521" s="83"/>
      <c r="C521" s="83"/>
      <c r="D521" s="84"/>
    </row>
    <row r="522">
      <c r="A522" s="82"/>
      <c r="B522" s="83"/>
      <c r="C522" s="83"/>
      <c r="D522" s="84"/>
    </row>
    <row r="523">
      <c r="A523" s="82"/>
      <c r="B523" s="83"/>
      <c r="C523" s="83"/>
      <c r="D523" s="84"/>
    </row>
    <row r="524">
      <c r="A524" s="82"/>
      <c r="B524" s="83"/>
      <c r="C524" s="83"/>
      <c r="D524" s="84"/>
    </row>
    <row r="525">
      <c r="A525" s="82"/>
      <c r="B525" s="83"/>
      <c r="C525" s="83"/>
      <c r="D525" s="84"/>
    </row>
    <row r="526">
      <c r="A526" s="82"/>
      <c r="B526" s="83"/>
      <c r="C526" s="83"/>
      <c r="D526" s="84"/>
    </row>
    <row r="527">
      <c r="A527" s="82"/>
      <c r="B527" s="83"/>
      <c r="C527" s="83"/>
      <c r="D527" s="84"/>
    </row>
    <row r="528">
      <c r="A528" s="82"/>
      <c r="B528" s="83"/>
      <c r="C528" s="83"/>
      <c r="D528" s="84"/>
    </row>
    <row r="529">
      <c r="A529" s="82"/>
      <c r="B529" s="83"/>
      <c r="C529" s="83"/>
      <c r="D529" s="84"/>
    </row>
    <row r="530">
      <c r="A530" s="82"/>
      <c r="B530" s="83"/>
      <c r="C530" s="83"/>
      <c r="D530" s="84"/>
    </row>
    <row r="531">
      <c r="A531" s="82"/>
      <c r="B531" s="83"/>
      <c r="C531" s="83"/>
      <c r="D531" s="84"/>
    </row>
    <row r="532">
      <c r="A532" s="82"/>
      <c r="B532" s="83"/>
      <c r="C532" s="83"/>
      <c r="D532" s="84"/>
    </row>
    <row r="533">
      <c r="A533" s="82"/>
      <c r="B533" s="83"/>
      <c r="C533" s="83"/>
      <c r="D533" s="84"/>
    </row>
    <row r="534">
      <c r="A534" s="82"/>
      <c r="B534" s="83"/>
      <c r="C534" s="83"/>
      <c r="D534" s="84"/>
    </row>
    <row r="535">
      <c r="A535" s="82"/>
      <c r="B535" s="83"/>
      <c r="C535" s="83"/>
      <c r="D535" s="84"/>
    </row>
    <row r="536">
      <c r="A536" s="82"/>
      <c r="B536" s="83"/>
      <c r="C536" s="83"/>
      <c r="D536" s="84"/>
    </row>
    <row r="537">
      <c r="A537" s="82"/>
      <c r="B537" s="83"/>
      <c r="C537" s="83"/>
      <c r="D537" s="84"/>
    </row>
    <row r="538">
      <c r="A538" s="82"/>
      <c r="B538" s="83"/>
      <c r="C538" s="83"/>
      <c r="D538" s="84"/>
    </row>
    <row r="539">
      <c r="A539" s="82"/>
      <c r="B539" s="83"/>
      <c r="C539" s="83"/>
      <c r="D539" s="84"/>
    </row>
    <row r="540">
      <c r="A540" s="82"/>
      <c r="B540" s="83"/>
      <c r="C540" s="83"/>
      <c r="D540" s="84"/>
    </row>
    <row r="541">
      <c r="A541" s="82"/>
      <c r="B541" s="83"/>
      <c r="C541" s="83"/>
      <c r="D541" s="84"/>
    </row>
    <row r="542">
      <c r="A542" s="82"/>
      <c r="B542" s="83"/>
      <c r="C542" s="83"/>
      <c r="D542" s="84"/>
    </row>
    <row r="543">
      <c r="A543" s="82"/>
      <c r="B543" s="83"/>
      <c r="C543" s="83"/>
      <c r="D543" s="84"/>
    </row>
    <row r="544">
      <c r="A544" s="82"/>
      <c r="B544" s="83"/>
      <c r="C544" s="83"/>
      <c r="D544" s="84"/>
    </row>
    <row r="545">
      <c r="A545" s="82"/>
      <c r="B545" s="83"/>
      <c r="C545" s="83"/>
      <c r="D545" s="84"/>
    </row>
    <row r="546">
      <c r="A546" s="82"/>
      <c r="B546" s="83"/>
      <c r="C546" s="83"/>
      <c r="D546" s="84"/>
    </row>
    <row r="547">
      <c r="A547" s="82"/>
      <c r="B547" s="83"/>
      <c r="C547" s="83"/>
      <c r="D547" s="84"/>
    </row>
    <row r="548">
      <c r="A548" s="82"/>
      <c r="B548" s="83"/>
      <c r="C548" s="83"/>
      <c r="D548" s="84"/>
    </row>
    <row r="549">
      <c r="A549" s="82"/>
      <c r="B549" s="83"/>
      <c r="C549" s="83"/>
      <c r="D549" s="84"/>
    </row>
    <row r="550">
      <c r="A550" s="82"/>
      <c r="B550" s="83"/>
      <c r="C550" s="83"/>
      <c r="D550" s="84"/>
    </row>
    <row r="551">
      <c r="A551" s="82"/>
      <c r="B551" s="83"/>
      <c r="C551" s="83"/>
      <c r="D551" s="84"/>
    </row>
    <row r="552">
      <c r="A552" s="82"/>
      <c r="B552" s="83"/>
      <c r="C552" s="83"/>
      <c r="D552" s="84"/>
    </row>
    <row r="553">
      <c r="A553" s="82"/>
      <c r="B553" s="83"/>
      <c r="C553" s="83"/>
      <c r="D553" s="84"/>
    </row>
    <row r="554">
      <c r="A554" s="82"/>
      <c r="B554" s="83"/>
      <c r="C554" s="83"/>
      <c r="D554" s="84"/>
    </row>
    <row r="555">
      <c r="A555" s="82"/>
      <c r="B555" s="83"/>
      <c r="C555" s="83"/>
      <c r="D555" s="84"/>
    </row>
    <row r="556">
      <c r="A556" s="82"/>
      <c r="B556" s="83"/>
      <c r="C556" s="83"/>
      <c r="D556" s="84"/>
    </row>
    <row r="557">
      <c r="A557" s="82"/>
      <c r="B557" s="83"/>
      <c r="C557" s="83"/>
      <c r="D557" s="84"/>
    </row>
    <row r="558">
      <c r="A558" s="82"/>
      <c r="B558" s="83"/>
      <c r="C558" s="83"/>
      <c r="D558" s="84"/>
    </row>
    <row r="559">
      <c r="A559" s="82"/>
      <c r="B559" s="83"/>
      <c r="C559" s="83"/>
      <c r="D559" s="84"/>
    </row>
    <row r="560">
      <c r="A560" s="82"/>
      <c r="B560" s="83"/>
      <c r="C560" s="83"/>
      <c r="D560" s="84"/>
    </row>
    <row r="561">
      <c r="A561" s="82"/>
      <c r="B561" s="83"/>
      <c r="C561" s="83"/>
      <c r="D561" s="84"/>
    </row>
    <row r="562">
      <c r="A562" s="82"/>
      <c r="B562" s="83"/>
      <c r="C562" s="83"/>
      <c r="D562" s="84"/>
    </row>
    <row r="563">
      <c r="A563" s="82"/>
      <c r="B563" s="83"/>
      <c r="C563" s="83"/>
      <c r="D563" s="84"/>
    </row>
    <row r="564">
      <c r="A564" s="82"/>
      <c r="B564" s="83"/>
      <c r="C564" s="83"/>
      <c r="D564" s="84"/>
    </row>
    <row r="565">
      <c r="A565" s="82"/>
      <c r="B565" s="83"/>
      <c r="C565" s="83"/>
      <c r="D565" s="84"/>
    </row>
    <row r="566">
      <c r="A566" s="82"/>
      <c r="B566" s="83"/>
      <c r="C566" s="83"/>
      <c r="D566" s="84"/>
    </row>
    <row r="567">
      <c r="A567" s="82"/>
      <c r="B567" s="83"/>
      <c r="C567" s="83"/>
      <c r="D567" s="84"/>
    </row>
    <row r="568">
      <c r="A568" s="82"/>
      <c r="B568" s="83"/>
      <c r="C568" s="83"/>
      <c r="D568" s="84"/>
    </row>
    <row r="569">
      <c r="A569" s="82"/>
      <c r="B569" s="83"/>
      <c r="C569" s="83"/>
      <c r="D569" s="84"/>
    </row>
    <row r="570">
      <c r="A570" s="82"/>
      <c r="B570" s="83"/>
      <c r="C570" s="83"/>
      <c r="D570" s="84"/>
    </row>
    <row r="571">
      <c r="A571" s="82"/>
      <c r="B571" s="83"/>
      <c r="C571" s="83"/>
      <c r="D571" s="84"/>
    </row>
    <row r="572">
      <c r="A572" s="82"/>
      <c r="B572" s="83"/>
      <c r="C572" s="83"/>
      <c r="D572" s="84"/>
    </row>
    <row r="573">
      <c r="A573" s="82"/>
      <c r="B573" s="83"/>
      <c r="C573" s="83"/>
      <c r="D573" s="84"/>
    </row>
    <row r="574">
      <c r="A574" s="82"/>
      <c r="B574" s="83"/>
      <c r="C574" s="83"/>
      <c r="D574" s="84"/>
    </row>
    <row r="575">
      <c r="A575" s="82"/>
      <c r="B575" s="83"/>
      <c r="C575" s="83"/>
      <c r="D575" s="84"/>
    </row>
    <row r="576">
      <c r="A576" s="82"/>
      <c r="B576" s="83"/>
      <c r="C576" s="83"/>
      <c r="D576" s="84"/>
    </row>
    <row r="577">
      <c r="A577" s="82"/>
      <c r="B577" s="83"/>
      <c r="C577" s="83"/>
      <c r="D577" s="84"/>
    </row>
    <row r="578">
      <c r="A578" s="82"/>
      <c r="B578" s="83"/>
      <c r="C578" s="83"/>
      <c r="D578" s="84"/>
    </row>
    <row r="579">
      <c r="A579" s="82"/>
      <c r="B579" s="83"/>
      <c r="C579" s="83"/>
      <c r="D579" s="84"/>
    </row>
    <row r="580">
      <c r="A580" s="82"/>
      <c r="B580" s="83"/>
      <c r="C580" s="83"/>
      <c r="D580" s="84"/>
    </row>
    <row r="581">
      <c r="A581" s="82"/>
      <c r="B581" s="83"/>
      <c r="C581" s="83"/>
      <c r="D581" s="84"/>
    </row>
    <row r="582">
      <c r="A582" s="82"/>
      <c r="B582" s="83"/>
      <c r="C582" s="83"/>
      <c r="D582" s="84"/>
    </row>
    <row r="583">
      <c r="A583" s="82"/>
      <c r="B583" s="83"/>
      <c r="C583" s="83"/>
      <c r="D583" s="84"/>
    </row>
    <row r="584">
      <c r="A584" s="82"/>
      <c r="B584" s="83"/>
      <c r="C584" s="83"/>
      <c r="D584" s="84"/>
    </row>
    <row r="585">
      <c r="A585" s="82"/>
      <c r="B585" s="83"/>
      <c r="C585" s="83"/>
      <c r="D585" s="84"/>
    </row>
    <row r="586">
      <c r="A586" s="82"/>
      <c r="B586" s="83"/>
      <c r="C586" s="83"/>
      <c r="D586" s="84"/>
    </row>
    <row r="587">
      <c r="A587" s="82"/>
      <c r="B587" s="83"/>
      <c r="C587" s="83"/>
      <c r="D587" s="84"/>
    </row>
    <row r="588">
      <c r="A588" s="82"/>
      <c r="B588" s="83"/>
      <c r="C588" s="83"/>
      <c r="D588" s="84"/>
    </row>
    <row r="589">
      <c r="A589" s="82"/>
      <c r="B589" s="83"/>
      <c r="C589" s="83"/>
      <c r="D589" s="84"/>
    </row>
    <row r="590">
      <c r="A590" s="82"/>
      <c r="B590" s="83"/>
      <c r="C590" s="83"/>
      <c r="D590" s="84"/>
    </row>
    <row r="591">
      <c r="A591" s="82"/>
      <c r="B591" s="83"/>
      <c r="C591" s="83"/>
      <c r="D591" s="84"/>
    </row>
    <row r="592">
      <c r="A592" s="82"/>
      <c r="B592" s="83"/>
      <c r="C592" s="83"/>
      <c r="D592" s="84"/>
    </row>
    <row r="593">
      <c r="A593" s="82"/>
      <c r="B593" s="83"/>
      <c r="C593" s="83"/>
      <c r="D593" s="84"/>
    </row>
    <row r="594">
      <c r="A594" s="82"/>
      <c r="B594" s="83"/>
      <c r="C594" s="83"/>
      <c r="D594" s="84"/>
    </row>
    <row r="595">
      <c r="A595" s="82"/>
      <c r="B595" s="83"/>
      <c r="C595" s="83"/>
      <c r="D595" s="84"/>
    </row>
    <row r="596">
      <c r="A596" s="82"/>
      <c r="B596" s="83"/>
      <c r="C596" s="83"/>
      <c r="D596" s="84"/>
    </row>
    <row r="597">
      <c r="A597" s="82"/>
      <c r="B597" s="83"/>
      <c r="C597" s="83"/>
      <c r="D597" s="84"/>
    </row>
    <row r="598">
      <c r="A598" s="82"/>
      <c r="B598" s="83"/>
      <c r="C598" s="83"/>
      <c r="D598" s="84"/>
    </row>
    <row r="599">
      <c r="A599" s="82"/>
      <c r="B599" s="83"/>
      <c r="C599" s="83"/>
      <c r="D599" s="84"/>
    </row>
    <row r="600">
      <c r="A600" s="82"/>
      <c r="B600" s="83"/>
      <c r="C600" s="83"/>
      <c r="D600" s="84"/>
    </row>
    <row r="601">
      <c r="A601" s="82"/>
      <c r="B601" s="83"/>
      <c r="C601" s="83"/>
      <c r="D601" s="84"/>
    </row>
    <row r="602">
      <c r="A602" s="82"/>
      <c r="B602" s="83"/>
      <c r="C602" s="83"/>
      <c r="D602" s="84"/>
    </row>
    <row r="603">
      <c r="A603" s="82"/>
      <c r="B603" s="83"/>
      <c r="C603" s="83"/>
      <c r="D603" s="84"/>
    </row>
    <row r="604">
      <c r="A604" s="82"/>
      <c r="B604" s="83"/>
      <c r="C604" s="83"/>
      <c r="D604" s="84"/>
    </row>
    <row r="605">
      <c r="A605" s="82"/>
      <c r="B605" s="83"/>
      <c r="C605" s="83"/>
      <c r="D605" s="84"/>
    </row>
    <row r="606">
      <c r="A606" s="82"/>
      <c r="B606" s="83"/>
      <c r="C606" s="83"/>
      <c r="D606" s="84"/>
    </row>
    <row r="607">
      <c r="A607" s="82"/>
      <c r="B607" s="83"/>
      <c r="C607" s="83"/>
      <c r="D607" s="84"/>
    </row>
    <row r="608">
      <c r="A608" s="82"/>
      <c r="B608" s="83"/>
      <c r="C608" s="83"/>
      <c r="D608" s="84"/>
    </row>
    <row r="609">
      <c r="A609" s="82"/>
      <c r="B609" s="83"/>
      <c r="C609" s="83"/>
      <c r="D609" s="84"/>
    </row>
    <row r="610">
      <c r="A610" s="82"/>
      <c r="B610" s="83"/>
      <c r="C610" s="83"/>
      <c r="D610" s="84"/>
    </row>
    <row r="611">
      <c r="A611" s="82"/>
      <c r="B611" s="83"/>
      <c r="C611" s="83"/>
      <c r="D611" s="84"/>
    </row>
    <row r="612">
      <c r="A612" s="82"/>
      <c r="B612" s="83"/>
      <c r="C612" s="83"/>
      <c r="D612" s="84"/>
    </row>
    <row r="613">
      <c r="A613" s="82"/>
      <c r="B613" s="83"/>
      <c r="C613" s="83"/>
      <c r="D613" s="84"/>
    </row>
    <row r="614">
      <c r="A614" s="82"/>
      <c r="B614" s="83"/>
      <c r="C614" s="83"/>
      <c r="D614" s="84"/>
    </row>
    <row r="615">
      <c r="A615" s="82"/>
      <c r="B615" s="83"/>
      <c r="C615" s="83"/>
      <c r="D615" s="84"/>
    </row>
    <row r="616">
      <c r="A616" s="82"/>
      <c r="B616" s="83"/>
      <c r="C616" s="83"/>
      <c r="D616" s="84"/>
    </row>
    <row r="617">
      <c r="A617" s="82"/>
      <c r="B617" s="83"/>
      <c r="C617" s="83"/>
      <c r="D617" s="84"/>
    </row>
    <row r="618">
      <c r="A618" s="82"/>
      <c r="B618" s="83"/>
      <c r="C618" s="83"/>
      <c r="D618" s="84"/>
    </row>
    <row r="619">
      <c r="A619" s="82"/>
      <c r="B619" s="83"/>
      <c r="C619" s="83"/>
      <c r="D619" s="84"/>
    </row>
    <row r="620">
      <c r="A620" s="82"/>
      <c r="B620" s="83"/>
      <c r="C620" s="83"/>
      <c r="D620" s="84"/>
    </row>
    <row r="621">
      <c r="A621" s="82"/>
      <c r="B621" s="83"/>
      <c r="C621" s="83"/>
      <c r="D621" s="84"/>
    </row>
    <row r="622">
      <c r="A622" s="82"/>
      <c r="B622" s="83"/>
      <c r="C622" s="83"/>
      <c r="D622" s="84"/>
    </row>
    <row r="623">
      <c r="A623" s="82"/>
      <c r="B623" s="83"/>
      <c r="C623" s="83"/>
      <c r="D623" s="84"/>
    </row>
    <row r="624">
      <c r="A624" s="82"/>
      <c r="B624" s="83"/>
      <c r="C624" s="83"/>
      <c r="D624" s="84"/>
    </row>
    <row r="625">
      <c r="A625" s="82"/>
      <c r="B625" s="83"/>
      <c r="C625" s="83"/>
      <c r="D625" s="84"/>
    </row>
    <row r="626">
      <c r="A626" s="82"/>
      <c r="B626" s="83"/>
      <c r="C626" s="83"/>
      <c r="D626" s="84"/>
    </row>
    <row r="627">
      <c r="A627" s="82"/>
      <c r="B627" s="83"/>
      <c r="C627" s="83"/>
      <c r="D627" s="84"/>
    </row>
    <row r="628">
      <c r="A628" s="82"/>
      <c r="B628" s="83"/>
      <c r="C628" s="83"/>
      <c r="D628" s="84"/>
    </row>
    <row r="629">
      <c r="A629" s="82"/>
      <c r="B629" s="83"/>
      <c r="C629" s="83"/>
      <c r="D629" s="84"/>
    </row>
    <row r="630">
      <c r="A630" s="82"/>
      <c r="B630" s="83"/>
      <c r="C630" s="83"/>
      <c r="D630" s="84"/>
    </row>
    <row r="631">
      <c r="A631" s="82"/>
      <c r="B631" s="83"/>
      <c r="C631" s="83"/>
      <c r="D631" s="84"/>
    </row>
    <row r="632">
      <c r="A632" s="82"/>
      <c r="B632" s="83"/>
      <c r="C632" s="83"/>
      <c r="D632" s="84"/>
    </row>
    <row r="633">
      <c r="A633" s="82"/>
      <c r="B633" s="83"/>
      <c r="C633" s="83"/>
      <c r="D633" s="84"/>
    </row>
    <row r="634">
      <c r="A634" s="82"/>
      <c r="B634" s="83"/>
      <c r="C634" s="83"/>
      <c r="D634" s="84"/>
    </row>
    <row r="635">
      <c r="A635" s="82"/>
      <c r="B635" s="83"/>
      <c r="C635" s="83"/>
      <c r="D635" s="84"/>
    </row>
    <row r="636">
      <c r="A636" s="82"/>
      <c r="B636" s="83"/>
      <c r="C636" s="83"/>
      <c r="D636" s="84"/>
    </row>
    <row r="637">
      <c r="A637" s="82"/>
      <c r="B637" s="83"/>
      <c r="C637" s="83"/>
      <c r="D637" s="84"/>
    </row>
    <row r="638">
      <c r="A638" s="82"/>
      <c r="B638" s="83"/>
      <c r="C638" s="83"/>
      <c r="D638" s="84"/>
    </row>
    <row r="639">
      <c r="A639" s="82"/>
      <c r="B639" s="83"/>
      <c r="C639" s="83"/>
      <c r="D639" s="84"/>
    </row>
    <row r="640">
      <c r="A640" s="82"/>
      <c r="B640" s="83"/>
      <c r="C640" s="83"/>
      <c r="D640" s="84"/>
    </row>
    <row r="641">
      <c r="A641" s="82"/>
      <c r="B641" s="83"/>
      <c r="C641" s="83"/>
      <c r="D641" s="84"/>
    </row>
    <row r="642">
      <c r="A642" s="82"/>
      <c r="B642" s="83"/>
      <c r="C642" s="83"/>
      <c r="D642" s="84"/>
    </row>
    <row r="643">
      <c r="A643" s="82"/>
      <c r="B643" s="83"/>
      <c r="C643" s="83"/>
      <c r="D643" s="84"/>
    </row>
    <row r="644">
      <c r="A644" s="82"/>
      <c r="B644" s="83"/>
      <c r="C644" s="83"/>
      <c r="D644" s="84"/>
    </row>
    <row r="645">
      <c r="A645" s="82"/>
      <c r="B645" s="83"/>
      <c r="C645" s="83"/>
      <c r="D645" s="84"/>
    </row>
    <row r="646">
      <c r="A646" s="82"/>
      <c r="B646" s="83"/>
      <c r="C646" s="83"/>
      <c r="D646" s="84"/>
    </row>
    <row r="647">
      <c r="A647" s="82"/>
      <c r="B647" s="83"/>
      <c r="C647" s="83"/>
      <c r="D647" s="84"/>
    </row>
    <row r="648">
      <c r="A648" s="82"/>
      <c r="B648" s="83"/>
      <c r="C648" s="83"/>
      <c r="D648" s="84"/>
    </row>
    <row r="649">
      <c r="A649" s="82"/>
      <c r="B649" s="83"/>
      <c r="C649" s="83"/>
      <c r="D649" s="84"/>
    </row>
    <row r="650">
      <c r="A650" s="82"/>
      <c r="B650" s="83"/>
      <c r="C650" s="83"/>
      <c r="D650" s="84"/>
    </row>
    <row r="651">
      <c r="A651" s="82"/>
      <c r="B651" s="83"/>
      <c r="C651" s="83"/>
      <c r="D651" s="84"/>
    </row>
    <row r="652">
      <c r="A652" s="82"/>
      <c r="B652" s="83"/>
      <c r="C652" s="83"/>
      <c r="D652" s="84"/>
    </row>
    <row r="653">
      <c r="A653" s="82"/>
      <c r="B653" s="83"/>
      <c r="C653" s="83"/>
      <c r="D653" s="84"/>
    </row>
    <row r="654">
      <c r="A654" s="82"/>
      <c r="B654" s="83"/>
      <c r="C654" s="83"/>
      <c r="D654" s="84"/>
    </row>
    <row r="655">
      <c r="A655" s="82"/>
      <c r="B655" s="83"/>
      <c r="C655" s="83"/>
      <c r="D655" s="84"/>
    </row>
    <row r="656">
      <c r="A656" s="82"/>
      <c r="B656" s="83"/>
      <c r="C656" s="83"/>
      <c r="D656" s="84"/>
    </row>
    <row r="657">
      <c r="A657" s="82"/>
      <c r="B657" s="83"/>
      <c r="C657" s="83"/>
      <c r="D657" s="84"/>
    </row>
    <row r="658">
      <c r="A658" s="82"/>
      <c r="B658" s="83"/>
      <c r="C658" s="83"/>
      <c r="D658" s="84"/>
    </row>
    <row r="659">
      <c r="A659" s="82"/>
      <c r="B659" s="83"/>
      <c r="C659" s="83"/>
      <c r="D659" s="84"/>
    </row>
    <row r="660">
      <c r="A660" s="82"/>
      <c r="B660" s="83"/>
      <c r="C660" s="83"/>
      <c r="D660" s="84"/>
    </row>
    <row r="661">
      <c r="A661" s="82"/>
      <c r="B661" s="83"/>
      <c r="C661" s="83"/>
      <c r="D661" s="84"/>
    </row>
    <row r="662">
      <c r="A662" s="82"/>
      <c r="B662" s="83"/>
      <c r="C662" s="83"/>
      <c r="D662" s="84"/>
    </row>
    <row r="663">
      <c r="A663" s="82"/>
      <c r="B663" s="83"/>
      <c r="C663" s="83"/>
      <c r="D663" s="84"/>
    </row>
    <row r="664">
      <c r="A664" s="82"/>
      <c r="B664" s="83"/>
      <c r="C664" s="83"/>
      <c r="D664" s="84"/>
    </row>
    <row r="665">
      <c r="A665" s="82"/>
      <c r="B665" s="83"/>
      <c r="C665" s="83"/>
      <c r="D665" s="84"/>
    </row>
    <row r="666">
      <c r="A666" s="82"/>
      <c r="B666" s="83"/>
      <c r="C666" s="83"/>
      <c r="D666" s="84"/>
    </row>
    <row r="667">
      <c r="A667" s="82"/>
      <c r="B667" s="83"/>
      <c r="C667" s="83"/>
      <c r="D667" s="84"/>
    </row>
    <row r="668">
      <c r="A668" s="82"/>
      <c r="B668" s="83"/>
      <c r="C668" s="83"/>
      <c r="D668" s="84"/>
    </row>
    <row r="669">
      <c r="A669" s="82"/>
      <c r="B669" s="83"/>
      <c r="C669" s="83"/>
      <c r="D669" s="84"/>
    </row>
    <row r="670">
      <c r="A670" s="82"/>
      <c r="B670" s="83"/>
      <c r="C670" s="83"/>
      <c r="D670" s="84"/>
    </row>
    <row r="671">
      <c r="A671" s="82"/>
      <c r="B671" s="83"/>
      <c r="C671" s="83"/>
      <c r="D671" s="84"/>
    </row>
    <row r="672">
      <c r="A672" s="82"/>
      <c r="B672" s="83"/>
      <c r="C672" s="83"/>
      <c r="D672" s="84"/>
    </row>
    <row r="673">
      <c r="A673" s="82"/>
      <c r="B673" s="83"/>
      <c r="C673" s="83"/>
      <c r="D673" s="84"/>
    </row>
    <row r="674">
      <c r="A674" s="82"/>
      <c r="B674" s="83"/>
      <c r="C674" s="83"/>
      <c r="D674" s="84"/>
    </row>
    <row r="675">
      <c r="A675" s="82"/>
      <c r="B675" s="83"/>
      <c r="C675" s="83"/>
      <c r="D675" s="84"/>
    </row>
    <row r="676">
      <c r="A676" s="82"/>
      <c r="B676" s="83"/>
      <c r="C676" s="83"/>
      <c r="D676" s="84"/>
    </row>
    <row r="677">
      <c r="A677" s="82"/>
      <c r="B677" s="83"/>
      <c r="C677" s="83"/>
      <c r="D677" s="84"/>
    </row>
    <row r="678">
      <c r="A678" s="82"/>
      <c r="B678" s="83"/>
      <c r="C678" s="83"/>
      <c r="D678" s="84"/>
    </row>
    <row r="679">
      <c r="A679" s="82"/>
      <c r="B679" s="83"/>
      <c r="C679" s="83"/>
      <c r="D679" s="84"/>
    </row>
    <row r="680">
      <c r="A680" s="82"/>
      <c r="B680" s="83"/>
      <c r="C680" s="83"/>
      <c r="D680" s="84"/>
    </row>
    <row r="681">
      <c r="A681" s="82"/>
      <c r="B681" s="83"/>
      <c r="C681" s="83"/>
      <c r="D681" s="84"/>
    </row>
    <row r="682">
      <c r="A682" s="82"/>
      <c r="B682" s="83"/>
      <c r="C682" s="83"/>
      <c r="D682" s="84"/>
    </row>
    <row r="683">
      <c r="A683" s="82"/>
      <c r="B683" s="83"/>
      <c r="C683" s="83"/>
      <c r="D683" s="84"/>
    </row>
    <row r="684">
      <c r="A684" s="82"/>
      <c r="B684" s="83"/>
      <c r="C684" s="83"/>
      <c r="D684" s="84"/>
    </row>
    <row r="685">
      <c r="A685" s="82"/>
      <c r="B685" s="83"/>
      <c r="C685" s="83"/>
      <c r="D685" s="84"/>
    </row>
    <row r="686">
      <c r="A686" s="82"/>
      <c r="B686" s="83"/>
      <c r="C686" s="83"/>
      <c r="D686" s="84"/>
    </row>
    <row r="687">
      <c r="A687" s="82"/>
      <c r="B687" s="83"/>
      <c r="C687" s="83"/>
      <c r="D687" s="84"/>
    </row>
    <row r="688">
      <c r="A688" s="82"/>
      <c r="B688" s="83"/>
      <c r="C688" s="83"/>
      <c r="D688" s="84"/>
    </row>
    <row r="689">
      <c r="A689" s="82"/>
      <c r="B689" s="83"/>
      <c r="C689" s="83"/>
      <c r="D689" s="84"/>
    </row>
    <row r="690">
      <c r="A690" s="82"/>
      <c r="B690" s="83"/>
      <c r="C690" s="83"/>
      <c r="D690" s="84"/>
    </row>
    <row r="691">
      <c r="A691" s="82"/>
      <c r="B691" s="83"/>
      <c r="C691" s="83"/>
      <c r="D691" s="84"/>
    </row>
    <row r="692">
      <c r="A692" s="82"/>
      <c r="B692" s="83"/>
      <c r="C692" s="83"/>
      <c r="D692" s="84"/>
    </row>
    <row r="693">
      <c r="A693" s="82"/>
      <c r="B693" s="83"/>
      <c r="C693" s="83"/>
      <c r="D693" s="84"/>
    </row>
    <row r="694">
      <c r="A694" s="82"/>
      <c r="B694" s="83"/>
      <c r="C694" s="83"/>
      <c r="D694" s="84"/>
    </row>
    <row r="695">
      <c r="A695" s="82"/>
      <c r="B695" s="83"/>
      <c r="C695" s="83"/>
      <c r="D695" s="84"/>
    </row>
    <row r="696">
      <c r="A696" s="82"/>
      <c r="B696" s="83"/>
      <c r="C696" s="83"/>
      <c r="D696" s="84"/>
    </row>
    <row r="697">
      <c r="A697" s="82"/>
      <c r="B697" s="83"/>
      <c r="C697" s="83"/>
      <c r="D697" s="84"/>
    </row>
    <row r="698">
      <c r="A698" s="82"/>
      <c r="B698" s="83"/>
      <c r="C698" s="83"/>
      <c r="D698" s="84"/>
    </row>
    <row r="699">
      <c r="A699" s="82"/>
      <c r="B699" s="83"/>
      <c r="C699" s="83"/>
      <c r="D699" s="84"/>
    </row>
    <row r="700">
      <c r="A700" s="82"/>
      <c r="B700" s="83"/>
      <c r="C700" s="83"/>
      <c r="D700" s="84"/>
    </row>
    <row r="701">
      <c r="A701" s="82"/>
      <c r="B701" s="83"/>
      <c r="C701" s="83"/>
      <c r="D701" s="84"/>
    </row>
    <row r="702">
      <c r="A702" s="82"/>
      <c r="B702" s="83"/>
      <c r="C702" s="83"/>
      <c r="D702" s="84"/>
    </row>
    <row r="703">
      <c r="A703" s="82"/>
      <c r="B703" s="83"/>
      <c r="C703" s="83"/>
      <c r="D703" s="84"/>
    </row>
    <row r="704">
      <c r="A704" s="82"/>
      <c r="B704" s="83"/>
      <c r="C704" s="83"/>
      <c r="D704" s="84"/>
    </row>
    <row r="705">
      <c r="A705" s="82"/>
      <c r="B705" s="83"/>
      <c r="C705" s="83"/>
      <c r="D705" s="84"/>
    </row>
    <row r="706">
      <c r="A706" s="82"/>
      <c r="B706" s="83"/>
      <c r="C706" s="83"/>
      <c r="D706" s="84"/>
    </row>
    <row r="707">
      <c r="A707" s="82"/>
      <c r="B707" s="83"/>
      <c r="C707" s="83"/>
      <c r="D707" s="84"/>
    </row>
    <row r="708">
      <c r="A708" s="82"/>
      <c r="B708" s="83"/>
      <c r="C708" s="83"/>
      <c r="D708" s="84"/>
    </row>
    <row r="709">
      <c r="A709" s="82"/>
      <c r="B709" s="83"/>
      <c r="C709" s="83"/>
      <c r="D709" s="84"/>
    </row>
    <row r="710">
      <c r="A710" s="82"/>
      <c r="B710" s="83"/>
      <c r="C710" s="83"/>
      <c r="D710" s="84"/>
    </row>
    <row r="711">
      <c r="A711" s="82"/>
      <c r="B711" s="83"/>
      <c r="C711" s="83"/>
      <c r="D711" s="84"/>
    </row>
    <row r="712">
      <c r="A712" s="82"/>
      <c r="B712" s="83"/>
      <c r="C712" s="83"/>
      <c r="D712" s="84"/>
    </row>
    <row r="713">
      <c r="A713" s="82"/>
      <c r="B713" s="83"/>
      <c r="C713" s="83"/>
      <c r="D713" s="84"/>
    </row>
    <row r="714">
      <c r="A714" s="82"/>
      <c r="B714" s="83"/>
      <c r="C714" s="83"/>
      <c r="D714" s="84"/>
    </row>
    <row r="715">
      <c r="A715" s="82"/>
      <c r="B715" s="83"/>
      <c r="C715" s="83"/>
      <c r="D715" s="84"/>
    </row>
    <row r="716">
      <c r="A716" s="82"/>
      <c r="B716" s="83"/>
      <c r="C716" s="83"/>
      <c r="D716" s="84"/>
    </row>
    <row r="717">
      <c r="A717" s="82"/>
      <c r="B717" s="83"/>
      <c r="C717" s="83"/>
      <c r="D717" s="84"/>
    </row>
    <row r="718">
      <c r="A718" s="82"/>
      <c r="B718" s="83"/>
      <c r="C718" s="83"/>
      <c r="D718" s="84"/>
    </row>
    <row r="719">
      <c r="A719" s="82"/>
      <c r="B719" s="83"/>
      <c r="C719" s="83"/>
      <c r="D719" s="84"/>
    </row>
    <row r="720">
      <c r="A720" s="82"/>
      <c r="B720" s="83"/>
      <c r="C720" s="83"/>
      <c r="D720" s="84"/>
    </row>
    <row r="721">
      <c r="A721" s="82"/>
      <c r="B721" s="83"/>
      <c r="C721" s="83"/>
      <c r="D721" s="84"/>
    </row>
    <row r="722">
      <c r="A722" s="82"/>
      <c r="B722" s="83"/>
      <c r="C722" s="83"/>
      <c r="D722" s="84"/>
    </row>
    <row r="723">
      <c r="A723" s="82"/>
      <c r="B723" s="83"/>
      <c r="C723" s="83"/>
      <c r="D723" s="84"/>
    </row>
    <row r="724">
      <c r="A724" s="82"/>
      <c r="B724" s="83"/>
      <c r="C724" s="83"/>
      <c r="D724" s="84"/>
    </row>
    <row r="725">
      <c r="A725" s="82"/>
      <c r="B725" s="83"/>
      <c r="C725" s="83"/>
      <c r="D725" s="84"/>
    </row>
    <row r="726">
      <c r="A726" s="82"/>
      <c r="B726" s="83"/>
      <c r="C726" s="83"/>
      <c r="D726" s="84"/>
    </row>
    <row r="727">
      <c r="A727" s="82"/>
      <c r="B727" s="83"/>
      <c r="C727" s="83"/>
      <c r="D727" s="84"/>
    </row>
    <row r="728">
      <c r="A728" s="82"/>
      <c r="B728" s="83"/>
      <c r="C728" s="83"/>
      <c r="D728" s="84"/>
    </row>
    <row r="729">
      <c r="A729" s="82"/>
      <c r="B729" s="83"/>
      <c r="C729" s="83"/>
      <c r="D729" s="84"/>
    </row>
    <row r="730">
      <c r="A730" s="82"/>
      <c r="B730" s="83"/>
      <c r="C730" s="83"/>
      <c r="D730" s="84"/>
    </row>
    <row r="731">
      <c r="A731" s="82"/>
      <c r="B731" s="83"/>
      <c r="C731" s="83"/>
      <c r="D731" s="84"/>
    </row>
    <row r="732">
      <c r="A732" s="82"/>
      <c r="B732" s="83"/>
      <c r="C732" s="83"/>
      <c r="D732" s="84"/>
    </row>
    <row r="733">
      <c r="A733" s="82"/>
      <c r="B733" s="83"/>
      <c r="C733" s="83"/>
      <c r="D733" s="84"/>
    </row>
    <row r="734">
      <c r="A734" s="82"/>
      <c r="B734" s="83"/>
      <c r="C734" s="83"/>
      <c r="D734" s="84"/>
    </row>
    <row r="735">
      <c r="A735" s="82"/>
      <c r="B735" s="83"/>
      <c r="C735" s="83"/>
      <c r="D735" s="84"/>
    </row>
    <row r="736">
      <c r="A736" s="82"/>
      <c r="B736" s="83"/>
      <c r="C736" s="83"/>
      <c r="D736" s="84"/>
    </row>
    <row r="737">
      <c r="A737" s="82"/>
      <c r="B737" s="83"/>
      <c r="C737" s="83"/>
      <c r="D737" s="84"/>
    </row>
    <row r="738">
      <c r="A738" s="82"/>
      <c r="B738" s="83"/>
      <c r="C738" s="83"/>
      <c r="D738" s="84"/>
    </row>
    <row r="739">
      <c r="A739" s="82"/>
      <c r="B739" s="83"/>
      <c r="C739" s="83"/>
      <c r="D739" s="84"/>
    </row>
    <row r="740">
      <c r="A740" s="82"/>
      <c r="B740" s="83"/>
      <c r="C740" s="83"/>
      <c r="D740" s="84"/>
    </row>
    <row r="741">
      <c r="A741" s="82"/>
      <c r="B741" s="83"/>
      <c r="C741" s="83"/>
      <c r="D741" s="84"/>
    </row>
    <row r="742">
      <c r="A742" s="82"/>
      <c r="B742" s="83"/>
      <c r="C742" s="83"/>
      <c r="D742" s="84"/>
    </row>
    <row r="743">
      <c r="A743" s="82"/>
      <c r="B743" s="83"/>
      <c r="C743" s="83"/>
      <c r="D743" s="84"/>
    </row>
    <row r="744">
      <c r="A744" s="82"/>
      <c r="B744" s="83"/>
      <c r="C744" s="83"/>
      <c r="D744" s="84"/>
    </row>
    <row r="745">
      <c r="A745" s="82"/>
      <c r="B745" s="83"/>
      <c r="C745" s="83"/>
      <c r="D745" s="84"/>
    </row>
    <row r="746">
      <c r="A746" s="82"/>
      <c r="B746" s="83"/>
      <c r="C746" s="83"/>
      <c r="D746" s="84"/>
    </row>
    <row r="747">
      <c r="A747" s="82"/>
      <c r="B747" s="83"/>
      <c r="C747" s="83"/>
      <c r="D747" s="84"/>
    </row>
    <row r="748">
      <c r="A748" s="82"/>
      <c r="B748" s="83"/>
      <c r="C748" s="83"/>
      <c r="D748" s="84"/>
    </row>
    <row r="749">
      <c r="A749" s="82"/>
      <c r="B749" s="83"/>
      <c r="C749" s="83"/>
      <c r="D749" s="84"/>
    </row>
    <row r="750">
      <c r="A750" s="82"/>
      <c r="B750" s="83"/>
      <c r="C750" s="83"/>
      <c r="D750" s="84"/>
    </row>
    <row r="751">
      <c r="A751" s="82"/>
      <c r="B751" s="83"/>
      <c r="C751" s="83"/>
      <c r="D751" s="84"/>
    </row>
    <row r="752">
      <c r="A752" s="82"/>
      <c r="B752" s="83"/>
      <c r="C752" s="83"/>
      <c r="D752" s="84"/>
    </row>
    <row r="753">
      <c r="A753" s="82"/>
      <c r="B753" s="83"/>
      <c r="C753" s="83"/>
      <c r="D753" s="84"/>
    </row>
    <row r="754">
      <c r="A754" s="82"/>
      <c r="B754" s="83"/>
      <c r="C754" s="83"/>
      <c r="D754" s="84"/>
    </row>
    <row r="755">
      <c r="A755" s="82"/>
      <c r="B755" s="83"/>
      <c r="C755" s="83"/>
      <c r="D755" s="84"/>
    </row>
    <row r="756">
      <c r="A756" s="82"/>
      <c r="B756" s="83"/>
      <c r="C756" s="83"/>
      <c r="D756" s="84"/>
    </row>
    <row r="757">
      <c r="A757" s="82"/>
      <c r="B757" s="83"/>
      <c r="C757" s="83"/>
      <c r="D757" s="84"/>
    </row>
    <row r="758">
      <c r="A758" s="82"/>
      <c r="B758" s="83"/>
      <c r="C758" s="83"/>
      <c r="D758" s="84"/>
    </row>
    <row r="759">
      <c r="A759" s="82"/>
      <c r="B759" s="83"/>
      <c r="C759" s="83"/>
      <c r="D759" s="84"/>
    </row>
    <row r="760">
      <c r="A760" s="82"/>
      <c r="B760" s="83"/>
      <c r="C760" s="83"/>
      <c r="D760" s="84"/>
    </row>
    <row r="761">
      <c r="A761" s="82"/>
      <c r="B761" s="83"/>
      <c r="C761" s="83"/>
      <c r="D761" s="84"/>
    </row>
    <row r="762">
      <c r="A762" s="82"/>
      <c r="B762" s="83"/>
      <c r="C762" s="83"/>
      <c r="D762" s="84"/>
    </row>
    <row r="763">
      <c r="A763" s="82"/>
      <c r="B763" s="83"/>
      <c r="C763" s="83"/>
      <c r="D763" s="84"/>
    </row>
    <row r="764">
      <c r="A764" s="82"/>
      <c r="B764" s="83"/>
      <c r="C764" s="83"/>
      <c r="D764" s="84"/>
    </row>
    <row r="765">
      <c r="A765" s="82"/>
      <c r="B765" s="83"/>
      <c r="C765" s="83"/>
      <c r="D765" s="84"/>
    </row>
    <row r="766">
      <c r="A766" s="82"/>
      <c r="B766" s="83"/>
      <c r="C766" s="83"/>
      <c r="D766" s="84"/>
    </row>
    <row r="767">
      <c r="A767" s="82"/>
      <c r="B767" s="83"/>
      <c r="C767" s="83"/>
      <c r="D767" s="84"/>
    </row>
    <row r="768">
      <c r="A768" s="82"/>
      <c r="B768" s="83"/>
      <c r="C768" s="83"/>
      <c r="D768" s="84"/>
    </row>
    <row r="769">
      <c r="A769" s="82"/>
      <c r="B769" s="83"/>
      <c r="C769" s="83"/>
      <c r="D769" s="84"/>
    </row>
    <row r="770">
      <c r="A770" s="82"/>
      <c r="B770" s="83"/>
      <c r="C770" s="83"/>
      <c r="D770" s="84"/>
    </row>
    <row r="771">
      <c r="A771" s="82"/>
      <c r="B771" s="83"/>
      <c r="C771" s="83"/>
      <c r="D771" s="84"/>
    </row>
    <row r="772">
      <c r="A772" s="82"/>
      <c r="B772" s="83"/>
      <c r="C772" s="83"/>
      <c r="D772" s="84"/>
    </row>
    <row r="773">
      <c r="A773" s="82"/>
      <c r="B773" s="83"/>
      <c r="C773" s="83"/>
      <c r="D773" s="84"/>
    </row>
    <row r="774">
      <c r="A774" s="82"/>
      <c r="B774" s="83"/>
      <c r="C774" s="83"/>
      <c r="D774" s="84"/>
    </row>
    <row r="775">
      <c r="A775" s="82"/>
      <c r="B775" s="83"/>
      <c r="C775" s="83"/>
      <c r="D775" s="84"/>
    </row>
    <row r="776">
      <c r="A776" s="82"/>
      <c r="B776" s="83"/>
      <c r="C776" s="83"/>
      <c r="D776" s="84"/>
    </row>
    <row r="777">
      <c r="A777" s="82"/>
      <c r="B777" s="83"/>
      <c r="C777" s="83"/>
      <c r="D777" s="84"/>
    </row>
    <row r="778">
      <c r="A778" s="82"/>
      <c r="B778" s="83"/>
      <c r="C778" s="83"/>
      <c r="D778" s="84"/>
    </row>
    <row r="779">
      <c r="A779" s="82"/>
      <c r="B779" s="83"/>
      <c r="C779" s="83"/>
      <c r="D779" s="84"/>
    </row>
    <row r="780">
      <c r="A780" s="82"/>
      <c r="B780" s="83"/>
      <c r="C780" s="83"/>
      <c r="D780" s="84"/>
    </row>
    <row r="781">
      <c r="A781" s="82"/>
      <c r="B781" s="83"/>
      <c r="C781" s="83"/>
      <c r="D781" s="84"/>
    </row>
    <row r="782">
      <c r="A782" s="82"/>
      <c r="B782" s="83"/>
      <c r="C782" s="83"/>
      <c r="D782" s="84"/>
    </row>
    <row r="783">
      <c r="A783" s="82"/>
      <c r="B783" s="83"/>
      <c r="C783" s="83"/>
      <c r="D783" s="84"/>
    </row>
    <row r="784">
      <c r="A784" s="82"/>
      <c r="B784" s="83"/>
      <c r="C784" s="83"/>
      <c r="D784" s="84"/>
    </row>
    <row r="785">
      <c r="A785" s="82"/>
      <c r="B785" s="83"/>
      <c r="C785" s="83"/>
      <c r="D785" s="84"/>
    </row>
    <row r="786">
      <c r="A786" s="82"/>
      <c r="B786" s="83"/>
      <c r="C786" s="83"/>
      <c r="D786" s="84"/>
    </row>
    <row r="787">
      <c r="A787" s="82"/>
      <c r="B787" s="83"/>
      <c r="C787" s="83"/>
      <c r="D787" s="84"/>
    </row>
    <row r="788">
      <c r="A788" s="82"/>
      <c r="B788" s="83"/>
      <c r="C788" s="83"/>
      <c r="D788" s="84"/>
    </row>
    <row r="789">
      <c r="A789" s="82"/>
      <c r="B789" s="83"/>
      <c r="C789" s="83"/>
      <c r="D789" s="84"/>
    </row>
    <row r="790">
      <c r="A790" s="82"/>
      <c r="B790" s="83"/>
      <c r="C790" s="83"/>
      <c r="D790" s="84"/>
    </row>
    <row r="791">
      <c r="A791" s="82"/>
      <c r="B791" s="83"/>
      <c r="C791" s="83"/>
      <c r="D791" s="84"/>
    </row>
    <row r="792">
      <c r="A792" s="82"/>
      <c r="B792" s="83"/>
      <c r="C792" s="83"/>
      <c r="D792" s="84"/>
    </row>
    <row r="793">
      <c r="A793" s="82"/>
      <c r="B793" s="83"/>
      <c r="C793" s="83"/>
      <c r="D793" s="84"/>
    </row>
    <row r="794">
      <c r="A794" s="82"/>
      <c r="B794" s="83"/>
      <c r="C794" s="83"/>
      <c r="D794" s="84"/>
    </row>
    <row r="795">
      <c r="A795" s="82"/>
      <c r="B795" s="83"/>
      <c r="C795" s="83"/>
      <c r="D795" s="84"/>
    </row>
    <row r="796">
      <c r="A796" s="82"/>
      <c r="B796" s="83"/>
      <c r="C796" s="83"/>
      <c r="D796" s="84"/>
    </row>
    <row r="797">
      <c r="A797" s="82"/>
      <c r="B797" s="83"/>
      <c r="C797" s="83"/>
      <c r="D797" s="84"/>
    </row>
    <row r="798">
      <c r="A798" s="82"/>
      <c r="B798" s="83"/>
      <c r="C798" s="83"/>
      <c r="D798" s="84"/>
    </row>
    <row r="799">
      <c r="A799" s="82"/>
      <c r="B799" s="83"/>
      <c r="C799" s="83"/>
      <c r="D799" s="84"/>
    </row>
    <row r="800">
      <c r="A800" s="82"/>
      <c r="B800" s="83"/>
      <c r="C800" s="83"/>
      <c r="D800" s="84"/>
    </row>
    <row r="801">
      <c r="A801" s="82"/>
      <c r="B801" s="83"/>
      <c r="C801" s="83"/>
      <c r="D801" s="84"/>
    </row>
    <row r="802">
      <c r="A802" s="82"/>
      <c r="B802" s="83"/>
      <c r="C802" s="83"/>
      <c r="D802" s="84"/>
    </row>
    <row r="803">
      <c r="A803" s="82"/>
      <c r="B803" s="83"/>
      <c r="C803" s="83"/>
      <c r="D803" s="84"/>
    </row>
    <row r="804">
      <c r="A804" s="82"/>
      <c r="B804" s="83"/>
      <c r="C804" s="83"/>
      <c r="D804" s="84"/>
    </row>
    <row r="805">
      <c r="A805" s="82"/>
      <c r="B805" s="83"/>
      <c r="C805" s="83"/>
      <c r="D805" s="84"/>
    </row>
    <row r="806">
      <c r="A806" s="82"/>
      <c r="B806" s="83"/>
      <c r="C806" s="83"/>
      <c r="D806" s="84"/>
    </row>
    <row r="807">
      <c r="A807" s="82"/>
      <c r="B807" s="83"/>
      <c r="C807" s="83"/>
      <c r="D807" s="84"/>
    </row>
    <row r="808">
      <c r="A808" s="82"/>
      <c r="B808" s="83"/>
      <c r="C808" s="83"/>
      <c r="D808" s="84"/>
    </row>
    <row r="809">
      <c r="A809" s="82"/>
      <c r="B809" s="83"/>
      <c r="C809" s="83"/>
      <c r="D809" s="84"/>
    </row>
    <row r="810">
      <c r="A810" s="82"/>
      <c r="B810" s="83"/>
      <c r="C810" s="83"/>
      <c r="D810" s="84"/>
    </row>
    <row r="811">
      <c r="A811" s="82"/>
      <c r="B811" s="83"/>
      <c r="C811" s="83"/>
      <c r="D811" s="84"/>
    </row>
    <row r="812">
      <c r="A812" s="82"/>
      <c r="B812" s="83"/>
      <c r="C812" s="83"/>
      <c r="D812" s="84"/>
    </row>
    <row r="813">
      <c r="A813" s="82"/>
      <c r="B813" s="83"/>
      <c r="C813" s="83"/>
      <c r="D813" s="84"/>
    </row>
    <row r="814">
      <c r="A814" s="82"/>
      <c r="B814" s="83"/>
      <c r="C814" s="83"/>
      <c r="D814" s="84"/>
    </row>
    <row r="815">
      <c r="A815" s="82"/>
      <c r="B815" s="83"/>
      <c r="C815" s="83"/>
      <c r="D815" s="84"/>
    </row>
    <row r="816">
      <c r="A816" s="82"/>
      <c r="B816" s="83"/>
      <c r="C816" s="83"/>
      <c r="D816" s="84"/>
    </row>
    <row r="817">
      <c r="A817" s="82"/>
      <c r="B817" s="83"/>
      <c r="C817" s="83"/>
      <c r="D817" s="84"/>
    </row>
    <row r="818">
      <c r="A818" s="82"/>
      <c r="B818" s="83"/>
      <c r="C818" s="83"/>
      <c r="D818" s="84"/>
    </row>
    <row r="819">
      <c r="A819" s="82"/>
      <c r="B819" s="83"/>
      <c r="C819" s="83"/>
      <c r="D819" s="84"/>
    </row>
    <row r="820">
      <c r="A820" s="82"/>
      <c r="B820" s="83"/>
      <c r="C820" s="83"/>
      <c r="D820" s="84"/>
    </row>
    <row r="821">
      <c r="A821" s="82"/>
      <c r="B821" s="83"/>
      <c r="C821" s="83"/>
      <c r="D821" s="84"/>
    </row>
    <row r="822">
      <c r="A822" s="82"/>
      <c r="B822" s="83"/>
      <c r="C822" s="83"/>
      <c r="D822" s="84"/>
    </row>
    <row r="823">
      <c r="A823" s="82"/>
      <c r="B823" s="83"/>
      <c r="C823" s="83"/>
      <c r="D823" s="84"/>
    </row>
    <row r="824">
      <c r="A824" s="82"/>
      <c r="B824" s="83"/>
      <c r="C824" s="83"/>
      <c r="D824" s="84"/>
    </row>
    <row r="825">
      <c r="A825" s="82"/>
      <c r="B825" s="83"/>
      <c r="C825" s="83"/>
      <c r="D825" s="84"/>
    </row>
    <row r="826">
      <c r="A826" s="82"/>
      <c r="B826" s="83"/>
      <c r="C826" s="83"/>
      <c r="D826" s="84"/>
    </row>
    <row r="827">
      <c r="A827" s="82"/>
      <c r="B827" s="83"/>
      <c r="C827" s="83"/>
      <c r="D827" s="84"/>
    </row>
    <row r="828">
      <c r="A828" s="82"/>
      <c r="B828" s="83"/>
      <c r="C828" s="83"/>
      <c r="D828" s="84"/>
    </row>
    <row r="829">
      <c r="A829" s="82"/>
      <c r="B829" s="83"/>
      <c r="C829" s="83"/>
      <c r="D829" s="84"/>
    </row>
    <row r="830">
      <c r="A830" s="82"/>
      <c r="B830" s="83"/>
      <c r="C830" s="83"/>
      <c r="D830" s="84"/>
    </row>
    <row r="831">
      <c r="A831" s="82"/>
      <c r="B831" s="83"/>
      <c r="C831" s="83"/>
      <c r="D831" s="84"/>
    </row>
    <row r="832">
      <c r="A832" s="82"/>
      <c r="B832" s="83"/>
      <c r="C832" s="83"/>
      <c r="D832" s="84"/>
    </row>
    <row r="833">
      <c r="A833" s="82"/>
      <c r="B833" s="83"/>
      <c r="C833" s="83"/>
      <c r="D833" s="84"/>
    </row>
    <row r="834">
      <c r="A834" s="82"/>
      <c r="B834" s="83"/>
      <c r="C834" s="83"/>
      <c r="D834" s="84"/>
    </row>
    <row r="835">
      <c r="A835" s="82"/>
      <c r="B835" s="83"/>
      <c r="C835" s="83"/>
      <c r="D835" s="84"/>
    </row>
    <row r="836">
      <c r="A836" s="82"/>
      <c r="B836" s="83"/>
      <c r="C836" s="83"/>
      <c r="D836" s="84"/>
    </row>
    <row r="837">
      <c r="A837" s="82"/>
      <c r="B837" s="83"/>
      <c r="C837" s="83"/>
      <c r="D837" s="84"/>
    </row>
    <row r="838">
      <c r="A838" s="82"/>
      <c r="B838" s="83"/>
      <c r="C838" s="83"/>
      <c r="D838" s="84"/>
    </row>
    <row r="839">
      <c r="A839" s="82"/>
      <c r="B839" s="83"/>
      <c r="C839" s="83"/>
      <c r="D839" s="84"/>
    </row>
    <row r="840">
      <c r="A840" s="82"/>
      <c r="B840" s="83"/>
      <c r="C840" s="83"/>
      <c r="D840" s="84"/>
    </row>
    <row r="841">
      <c r="A841" s="82"/>
      <c r="B841" s="83"/>
      <c r="C841" s="83"/>
      <c r="D841" s="84"/>
    </row>
    <row r="842">
      <c r="A842" s="82"/>
      <c r="B842" s="83"/>
      <c r="C842" s="83"/>
      <c r="D842" s="84"/>
    </row>
    <row r="843">
      <c r="A843" s="82"/>
      <c r="B843" s="83"/>
      <c r="C843" s="83"/>
      <c r="D843" s="84"/>
    </row>
    <row r="844">
      <c r="A844" s="82"/>
      <c r="B844" s="83"/>
      <c r="C844" s="83"/>
      <c r="D844" s="84"/>
    </row>
    <row r="845">
      <c r="A845" s="82"/>
      <c r="B845" s="83"/>
      <c r="C845" s="83"/>
      <c r="D845" s="84"/>
    </row>
    <row r="846">
      <c r="A846" s="82"/>
      <c r="B846" s="83"/>
      <c r="C846" s="83"/>
      <c r="D846" s="84"/>
    </row>
    <row r="847">
      <c r="A847" s="82"/>
      <c r="B847" s="83"/>
      <c r="C847" s="83"/>
      <c r="D847" s="84"/>
    </row>
    <row r="848">
      <c r="A848" s="82"/>
      <c r="B848" s="83"/>
      <c r="C848" s="83"/>
      <c r="D848" s="84"/>
    </row>
    <row r="849">
      <c r="A849" s="82"/>
      <c r="B849" s="83"/>
      <c r="C849" s="83"/>
      <c r="D849" s="84"/>
    </row>
    <row r="850">
      <c r="A850" s="82"/>
      <c r="B850" s="83"/>
      <c r="C850" s="83"/>
      <c r="D850" s="84"/>
    </row>
    <row r="851">
      <c r="A851" s="82"/>
      <c r="B851" s="83"/>
      <c r="C851" s="83"/>
      <c r="D851" s="84"/>
    </row>
    <row r="852">
      <c r="A852" s="82"/>
      <c r="B852" s="83"/>
      <c r="C852" s="83"/>
      <c r="D852" s="84"/>
    </row>
    <row r="853">
      <c r="A853" s="82"/>
      <c r="B853" s="83"/>
      <c r="C853" s="83"/>
      <c r="D853" s="84"/>
    </row>
    <row r="854">
      <c r="A854" s="82"/>
      <c r="B854" s="83"/>
      <c r="C854" s="83"/>
      <c r="D854" s="84"/>
    </row>
    <row r="855">
      <c r="A855" s="82"/>
      <c r="B855" s="83"/>
      <c r="C855" s="83"/>
      <c r="D855" s="84"/>
    </row>
    <row r="856">
      <c r="A856" s="82"/>
      <c r="B856" s="83"/>
      <c r="C856" s="83"/>
      <c r="D856" s="84"/>
    </row>
    <row r="857">
      <c r="A857" s="82"/>
      <c r="B857" s="83"/>
      <c r="C857" s="83"/>
      <c r="D857" s="84"/>
    </row>
    <row r="858">
      <c r="A858" s="82"/>
      <c r="B858" s="83"/>
      <c r="C858" s="83"/>
      <c r="D858" s="84"/>
    </row>
    <row r="859">
      <c r="A859" s="82"/>
      <c r="B859" s="83"/>
      <c r="C859" s="83"/>
      <c r="D859" s="84"/>
    </row>
    <row r="860">
      <c r="A860" s="82"/>
      <c r="B860" s="83"/>
      <c r="C860" s="83"/>
      <c r="D860" s="84"/>
    </row>
    <row r="861">
      <c r="A861" s="82"/>
      <c r="B861" s="83"/>
      <c r="C861" s="83"/>
      <c r="D861" s="84"/>
    </row>
    <row r="862">
      <c r="A862" s="82"/>
      <c r="B862" s="83"/>
      <c r="C862" s="83"/>
      <c r="D862" s="84"/>
    </row>
    <row r="863">
      <c r="A863" s="82"/>
      <c r="B863" s="83"/>
      <c r="C863" s="83"/>
      <c r="D863" s="84"/>
    </row>
    <row r="864">
      <c r="A864" s="82"/>
      <c r="B864" s="83"/>
      <c r="C864" s="83"/>
      <c r="D864" s="84"/>
    </row>
    <row r="865">
      <c r="A865" s="82"/>
      <c r="B865" s="83"/>
      <c r="C865" s="83"/>
      <c r="D865" s="84"/>
    </row>
    <row r="866">
      <c r="A866" s="82"/>
      <c r="B866" s="83"/>
      <c r="C866" s="83"/>
      <c r="D866" s="84"/>
    </row>
    <row r="867">
      <c r="A867" s="82"/>
      <c r="B867" s="83"/>
      <c r="C867" s="83"/>
      <c r="D867" s="84"/>
    </row>
    <row r="868">
      <c r="A868" s="82"/>
      <c r="B868" s="83"/>
      <c r="C868" s="83"/>
      <c r="D868" s="84"/>
    </row>
    <row r="869">
      <c r="A869" s="82"/>
      <c r="B869" s="83"/>
      <c r="C869" s="83"/>
      <c r="D869" s="84"/>
    </row>
    <row r="870">
      <c r="A870" s="82"/>
      <c r="B870" s="83"/>
      <c r="C870" s="83"/>
      <c r="D870" s="84"/>
    </row>
    <row r="871">
      <c r="A871" s="82"/>
      <c r="B871" s="83"/>
      <c r="C871" s="83"/>
      <c r="D871" s="84"/>
    </row>
    <row r="872">
      <c r="A872" s="82"/>
      <c r="B872" s="83"/>
      <c r="C872" s="83"/>
      <c r="D872" s="84"/>
    </row>
    <row r="873">
      <c r="A873" s="82"/>
      <c r="B873" s="83"/>
      <c r="C873" s="83"/>
      <c r="D873" s="84"/>
    </row>
    <row r="874">
      <c r="A874" s="82"/>
      <c r="B874" s="83"/>
      <c r="C874" s="83"/>
      <c r="D874" s="84"/>
    </row>
    <row r="875">
      <c r="A875" s="82"/>
      <c r="B875" s="83"/>
      <c r="C875" s="83"/>
      <c r="D875" s="84"/>
    </row>
    <row r="876">
      <c r="A876" s="82"/>
      <c r="B876" s="83"/>
      <c r="C876" s="83"/>
      <c r="D876" s="84"/>
    </row>
    <row r="877">
      <c r="A877" s="82"/>
      <c r="B877" s="83"/>
      <c r="C877" s="83"/>
      <c r="D877" s="84"/>
    </row>
    <row r="878">
      <c r="A878" s="82"/>
      <c r="B878" s="83"/>
      <c r="C878" s="83"/>
      <c r="D878" s="84"/>
    </row>
    <row r="879">
      <c r="A879" s="82"/>
      <c r="B879" s="83"/>
      <c r="C879" s="83"/>
      <c r="D879" s="84"/>
    </row>
    <row r="880">
      <c r="A880" s="82"/>
      <c r="B880" s="83"/>
      <c r="C880" s="83"/>
      <c r="D880" s="84"/>
    </row>
    <row r="881">
      <c r="A881" s="82"/>
      <c r="B881" s="83"/>
      <c r="C881" s="83"/>
      <c r="D881" s="84"/>
    </row>
    <row r="882">
      <c r="A882" s="82"/>
      <c r="B882" s="83"/>
      <c r="C882" s="83"/>
      <c r="D882" s="84"/>
    </row>
    <row r="883">
      <c r="A883" s="82"/>
      <c r="B883" s="83"/>
      <c r="C883" s="83"/>
      <c r="D883" s="84"/>
    </row>
    <row r="884">
      <c r="A884" s="82"/>
      <c r="B884" s="83"/>
      <c r="C884" s="83"/>
      <c r="D884" s="84"/>
    </row>
    <row r="885">
      <c r="A885" s="82"/>
      <c r="B885" s="83"/>
      <c r="C885" s="83"/>
      <c r="D885" s="84"/>
    </row>
    <row r="886">
      <c r="A886" s="82"/>
      <c r="B886" s="83"/>
      <c r="C886" s="83"/>
      <c r="D886" s="84"/>
    </row>
    <row r="887">
      <c r="A887" s="82"/>
      <c r="B887" s="83"/>
      <c r="C887" s="83"/>
      <c r="D887" s="84"/>
    </row>
    <row r="888">
      <c r="A888" s="82"/>
      <c r="B888" s="83"/>
      <c r="C888" s="83"/>
      <c r="D888" s="84"/>
    </row>
    <row r="889">
      <c r="A889" s="82"/>
      <c r="B889" s="83"/>
      <c r="C889" s="83"/>
      <c r="D889" s="84"/>
    </row>
    <row r="890">
      <c r="A890" s="82"/>
      <c r="B890" s="83"/>
      <c r="C890" s="83"/>
      <c r="D890" s="84"/>
    </row>
    <row r="891">
      <c r="A891" s="82"/>
      <c r="B891" s="83"/>
      <c r="C891" s="83"/>
      <c r="D891" s="84"/>
    </row>
    <row r="892">
      <c r="A892" s="82"/>
      <c r="B892" s="83"/>
      <c r="C892" s="83"/>
      <c r="D892" s="84"/>
    </row>
    <row r="893">
      <c r="A893" s="82"/>
      <c r="B893" s="83"/>
      <c r="C893" s="83"/>
      <c r="D893" s="84"/>
    </row>
    <row r="894">
      <c r="A894" s="82"/>
      <c r="B894" s="83"/>
      <c r="C894" s="83"/>
      <c r="D894" s="84"/>
    </row>
    <row r="895">
      <c r="A895" s="82"/>
      <c r="B895" s="83"/>
      <c r="C895" s="83"/>
      <c r="D895" s="84"/>
    </row>
    <row r="896">
      <c r="A896" s="82"/>
      <c r="B896" s="83"/>
      <c r="C896" s="83"/>
      <c r="D896" s="84"/>
    </row>
    <row r="897">
      <c r="A897" s="82"/>
      <c r="B897" s="83"/>
      <c r="C897" s="83"/>
      <c r="D897" s="84"/>
    </row>
    <row r="898">
      <c r="A898" s="82"/>
      <c r="B898" s="83"/>
      <c r="C898" s="83"/>
      <c r="D898" s="84"/>
    </row>
    <row r="899">
      <c r="A899" s="82"/>
      <c r="B899" s="83"/>
      <c r="C899" s="83"/>
      <c r="D899" s="84"/>
    </row>
    <row r="900">
      <c r="A900" s="82"/>
      <c r="B900" s="83"/>
      <c r="C900" s="83"/>
      <c r="D900" s="84"/>
    </row>
    <row r="901">
      <c r="A901" s="82"/>
      <c r="B901" s="83"/>
      <c r="C901" s="83"/>
      <c r="D901" s="84"/>
    </row>
    <row r="902">
      <c r="A902" s="82"/>
      <c r="B902" s="83"/>
      <c r="C902" s="83"/>
      <c r="D902" s="84"/>
    </row>
    <row r="903">
      <c r="A903" s="82"/>
      <c r="B903" s="83"/>
      <c r="C903" s="83"/>
      <c r="D903" s="84"/>
    </row>
    <row r="904">
      <c r="A904" s="82"/>
      <c r="B904" s="83"/>
      <c r="C904" s="83"/>
      <c r="D904" s="84"/>
    </row>
    <row r="905">
      <c r="A905" s="82"/>
      <c r="B905" s="83"/>
      <c r="C905" s="83"/>
      <c r="D905" s="84"/>
    </row>
    <row r="906">
      <c r="A906" s="82"/>
      <c r="B906" s="83"/>
      <c r="C906" s="83"/>
      <c r="D906" s="84"/>
    </row>
    <row r="907">
      <c r="A907" s="82"/>
      <c r="B907" s="83"/>
      <c r="C907" s="83"/>
      <c r="D907" s="84"/>
    </row>
    <row r="908">
      <c r="A908" s="82"/>
      <c r="B908" s="83"/>
      <c r="C908" s="83"/>
      <c r="D908" s="84"/>
    </row>
    <row r="909">
      <c r="A909" s="82"/>
      <c r="B909" s="83"/>
      <c r="C909" s="83"/>
      <c r="D909" s="84"/>
    </row>
    <row r="910">
      <c r="A910" s="82"/>
      <c r="B910" s="83"/>
      <c r="C910" s="83"/>
      <c r="D910" s="84"/>
    </row>
    <row r="911">
      <c r="A911" s="82"/>
      <c r="B911" s="83"/>
      <c r="C911" s="83"/>
      <c r="D911" s="84"/>
    </row>
    <row r="912">
      <c r="A912" s="82"/>
      <c r="B912" s="83"/>
      <c r="C912" s="83"/>
      <c r="D912" s="84"/>
    </row>
    <row r="913">
      <c r="A913" s="82"/>
      <c r="B913" s="83"/>
      <c r="C913" s="83"/>
      <c r="D913" s="84"/>
    </row>
    <row r="914">
      <c r="A914" s="82"/>
      <c r="B914" s="83"/>
      <c r="C914" s="83"/>
      <c r="D914" s="84"/>
    </row>
    <row r="915">
      <c r="A915" s="82"/>
      <c r="B915" s="83"/>
      <c r="C915" s="83"/>
      <c r="D915" s="84"/>
    </row>
    <row r="916">
      <c r="A916" s="82"/>
      <c r="B916" s="83"/>
      <c r="C916" s="83"/>
      <c r="D916" s="84"/>
    </row>
    <row r="917">
      <c r="A917" s="82"/>
      <c r="B917" s="83"/>
      <c r="C917" s="83"/>
      <c r="D917" s="84"/>
    </row>
    <row r="918">
      <c r="A918" s="82"/>
      <c r="B918" s="83"/>
      <c r="C918" s="83"/>
      <c r="D918" s="84"/>
    </row>
    <row r="919">
      <c r="A919" s="82"/>
      <c r="B919" s="83"/>
      <c r="C919" s="83"/>
      <c r="D919" s="84"/>
    </row>
    <row r="920">
      <c r="A920" s="82"/>
      <c r="B920" s="83"/>
      <c r="C920" s="83"/>
      <c r="D920" s="84"/>
    </row>
    <row r="921">
      <c r="A921" s="82"/>
      <c r="B921" s="83"/>
      <c r="C921" s="83"/>
      <c r="D921" s="84"/>
    </row>
    <row r="922">
      <c r="A922" s="82"/>
      <c r="B922" s="83"/>
      <c r="C922" s="83"/>
      <c r="D922" s="84"/>
    </row>
    <row r="923">
      <c r="A923" s="82"/>
      <c r="B923" s="83"/>
      <c r="C923" s="83"/>
      <c r="D923" s="84"/>
    </row>
    <row r="924">
      <c r="A924" s="82"/>
      <c r="B924" s="83"/>
      <c r="C924" s="83"/>
      <c r="D924" s="84"/>
    </row>
    <row r="925">
      <c r="A925" s="82"/>
      <c r="B925" s="83"/>
      <c r="C925" s="83"/>
      <c r="D925" s="84"/>
    </row>
    <row r="926">
      <c r="A926" s="82"/>
      <c r="B926" s="83"/>
      <c r="C926" s="83"/>
      <c r="D926" s="84"/>
    </row>
    <row r="927">
      <c r="A927" s="82"/>
      <c r="B927" s="83"/>
      <c r="C927" s="83"/>
      <c r="D927" s="84"/>
    </row>
    <row r="928">
      <c r="A928" s="82"/>
      <c r="B928" s="83"/>
      <c r="C928" s="83"/>
      <c r="D928" s="84"/>
    </row>
    <row r="929">
      <c r="A929" s="82"/>
      <c r="B929" s="83"/>
      <c r="C929" s="83"/>
      <c r="D929" s="84"/>
    </row>
    <row r="930">
      <c r="A930" s="82"/>
      <c r="B930" s="83"/>
      <c r="C930" s="83"/>
      <c r="D930" s="84"/>
    </row>
    <row r="931">
      <c r="A931" s="82"/>
      <c r="B931" s="83"/>
      <c r="C931" s="83"/>
      <c r="D931" s="84"/>
    </row>
    <row r="932">
      <c r="A932" s="82"/>
      <c r="B932" s="83"/>
      <c r="C932" s="83"/>
      <c r="D932" s="84"/>
    </row>
    <row r="933">
      <c r="A933" s="82"/>
      <c r="B933" s="83"/>
      <c r="C933" s="83"/>
      <c r="D933" s="84"/>
    </row>
    <row r="934">
      <c r="A934" s="82"/>
      <c r="B934" s="83"/>
      <c r="C934" s="83"/>
      <c r="D934" s="84"/>
    </row>
    <row r="935">
      <c r="A935" s="82"/>
      <c r="B935" s="83"/>
      <c r="C935" s="83"/>
      <c r="D935" s="84"/>
    </row>
    <row r="936">
      <c r="A936" s="82"/>
      <c r="B936" s="83"/>
      <c r="C936" s="83"/>
      <c r="D936" s="84"/>
    </row>
    <row r="937">
      <c r="A937" s="82"/>
      <c r="B937" s="83"/>
      <c r="C937" s="83"/>
      <c r="D937" s="84"/>
    </row>
    <row r="938">
      <c r="A938" s="82"/>
      <c r="B938" s="83"/>
      <c r="C938" s="83"/>
      <c r="D938" s="84"/>
    </row>
    <row r="939">
      <c r="A939" s="82"/>
      <c r="B939" s="83"/>
      <c r="C939" s="83"/>
      <c r="D939" s="84"/>
    </row>
    <row r="940">
      <c r="A940" s="82"/>
      <c r="B940" s="83"/>
      <c r="C940" s="83"/>
      <c r="D940" s="84"/>
    </row>
    <row r="941">
      <c r="A941" s="82"/>
      <c r="B941" s="83"/>
      <c r="C941" s="83"/>
      <c r="D941" s="84"/>
    </row>
    <row r="942">
      <c r="A942" s="82"/>
      <c r="B942" s="83"/>
      <c r="C942" s="83"/>
      <c r="D942" s="84"/>
    </row>
    <row r="943">
      <c r="A943" s="82"/>
      <c r="B943" s="83"/>
      <c r="C943" s="83"/>
      <c r="D943" s="84"/>
    </row>
    <row r="944">
      <c r="A944" s="82"/>
      <c r="B944" s="83"/>
      <c r="C944" s="83"/>
      <c r="D944" s="84"/>
    </row>
    <row r="945">
      <c r="A945" s="82"/>
      <c r="B945" s="83"/>
      <c r="C945" s="83"/>
      <c r="D945" s="84"/>
    </row>
    <row r="946">
      <c r="A946" s="82"/>
      <c r="B946" s="83"/>
      <c r="C946" s="83"/>
      <c r="D946" s="84"/>
    </row>
    <row r="947">
      <c r="A947" s="82"/>
      <c r="B947" s="83"/>
      <c r="C947" s="83"/>
      <c r="D947" s="84"/>
    </row>
    <row r="948">
      <c r="A948" s="82"/>
      <c r="B948" s="83"/>
      <c r="C948" s="83"/>
      <c r="D948" s="84"/>
    </row>
    <row r="949">
      <c r="A949" s="82"/>
      <c r="B949" s="83"/>
      <c r="C949" s="83"/>
      <c r="D949" s="84"/>
    </row>
    <row r="950">
      <c r="A950" s="82"/>
      <c r="B950" s="83"/>
      <c r="C950" s="83"/>
      <c r="D950" s="84"/>
    </row>
    <row r="951">
      <c r="A951" s="82"/>
      <c r="B951" s="83"/>
      <c r="C951" s="83"/>
      <c r="D951" s="84"/>
    </row>
    <row r="952">
      <c r="A952" s="82"/>
      <c r="B952" s="83"/>
      <c r="C952" s="83"/>
      <c r="D952" s="84"/>
    </row>
    <row r="953">
      <c r="A953" s="82"/>
      <c r="B953" s="83"/>
      <c r="C953" s="83"/>
      <c r="D953" s="84"/>
    </row>
    <row r="954">
      <c r="A954" s="82"/>
      <c r="B954" s="83"/>
      <c r="C954" s="83"/>
      <c r="D954" s="84"/>
    </row>
    <row r="955">
      <c r="A955" s="82"/>
      <c r="B955" s="83"/>
      <c r="C955" s="83"/>
      <c r="D955" s="84"/>
    </row>
    <row r="956">
      <c r="A956" s="82"/>
      <c r="B956" s="83"/>
      <c r="C956" s="83"/>
      <c r="D956" s="84"/>
    </row>
    <row r="957">
      <c r="A957" s="82"/>
      <c r="B957" s="83"/>
      <c r="C957" s="83"/>
      <c r="D957" s="84"/>
    </row>
    <row r="958">
      <c r="A958" s="82"/>
      <c r="B958" s="83"/>
      <c r="C958" s="83"/>
      <c r="D958" s="84"/>
    </row>
    <row r="959">
      <c r="A959" s="82"/>
      <c r="B959" s="83"/>
      <c r="C959" s="83"/>
      <c r="D959" s="84"/>
    </row>
    <row r="960">
      <c r="A960" s="82"/>
      <c r="B960" s="83"/>
      <c r="C960" s="83"/>
      <c r="D960" s="84"/>
    </row>
    <row r="961">
      <c r="A961" s="82"/>
      <c r="B961" s="83"/>
      <c r="C961" s="83"/>
      <c r="D961" s="84"/>
    </row>
    <row r="962">
      <c r="A962" s="82"/>
      <c r="B962" s="83"/>
      <c r="C962" s="83"/>
      <c r="D962" s="84"/>
    </row>
    <row r="963">
      <c r="A963" s="82"/>
      <c r="B963" s="83"/>
      <c r="C963" s="83"/>
      <c r="D963" s="84"/>
    </row>
    <row r="964">
      <c r="A964" s="82"/>
      <c r="B964" s="83"/>
      <c r="C964" s="83"/>
      <c r="D964" s="84"/>
    </row>
    <row r="965">
      <c r="A965" s="82"/>
      <c r="B965" s="83"/>
      <c r="C965" s="83"/>
      <c r="D965" s="84"/>
    </row>
    <row r="966">
      <c r="A966" s="82"/>
      <c r="B966" s="83"/>
      <c r="C966" s="83"/>
      <c r="D966" s="84"/>
    </row>
    <row r="967">
      <c r="A967" s="82"/>
      <c r="B967" s="83"/>
      <c r="C967" s="83"/>
      <c r="D967" s="84"/>
    </row>
    <row r="968">
      <c r="A968" s="82"/>
      <c r="B968" s="83"/>
      <c r="C968" s="83"/>
      <c r="D968" s="84"/>
    </row>
    <row r="969">
      <c r="A969" s="82"/>
      <c r="B969" s="83"/>
      <c r="C969" s="83"/>
      <c r="D969" s="84"/>
    </row>
    <row r="970">
      <c r="A970" s="82"/>
      <c r="B970" s="83"/>
      <c r="C970" s="83"/>
      <c r="D970" s="84"/>
    </row>
    <row r="971">
      <c r="A971" s="82"/>
      <c r="B971" s="83"/>
      <c r="C971" s="83"/>
      <c r="D971" s="84"/>
    </row>
    <row r="972">
      <c r="A972" s="82"/>
      <c r="B972" s="83"/>
      <c r="C972" s="83"/>
      <c r="D972" s="84"/>
    </row>
    <row r="973">
      <c r="A973" s="82"/>
      <c r="B973" s="83"/>
      <c r="C973" s="83"/>
      <c r="D973" s="84"/>
    </row>
    <row r="974">
      <c r="A974" s="82"/>
      <c r="B974" s="83"/>
      <c r="C974" s="83"/>
      <c r="D974" s="84"/>
    </row>
    <row r="975">
      <c r="A975" s="82"/>
      <c r="B975" s="83"/>
      <c r="C975" s="83"/>
      <c r="D975" s="84"/>
    </row>
    <row r="976">
      <c r="A976" s="82"/>
      <c r="B976" s="83"/>
      <c r="C976" s="83"/>
      <c r="D976" s="84"/>
    </row>
    <row r="977">
      <c r="A977" s="82"/>
      <c r="B977" s="83"/>
      <c r="C977" s="83"/>
      <c r="D977" s="84"/>
    </row>
    <row r="978">
      <c r="A978" s="82"/>
      <c r="B978" s="83"/>
      <c r="C978" s="83"/>
      <c r="D978" s="84"/>
    </row>
    <row r="979">
      <c r="A979" s="82"/>
      <c r="B979" s="83"/>
      <c r="C979" s="83"/>
      <c r="D979" s="84"/>
    </row>
    <row r="980">
      <c r="A980" s="82"/>
      <c r="B980" s="83"/>
      <c r="C980" s="83"/>
      <c r="D980" s="84"/>
    </row>
    <row r="981">
      <c r="A981" s="82"/>
      <c r="B981" s="83"/>
      <c r="C981" s="83"/>
      <c r="D981" s="84"/>
    </row>
    <row r="982">
      <c r="A982" s="82"/>
      <c r="B982" s="83"/>
      <c r="C982" s="83"/>
      <c r="D982" s="84"/>
    </row>
    <row r="983">
      <c r="A983" s="82"/>
      <c r="B983" s="83"/>
      <c r="C983" s="83"/>
      <c r="D983" s="84"/>
    </row>
    <row r="984">
      <c r="A984" s="82"/>
      <c r="B984" s="83"/>
      <c r="C984" s="83"/>
      <c r="D984" s="84"/>
    </row>
    <row r="985">
      <c r="A985" s="82"/>
      <c r="B985" s="83"/>
      <c r="C985" s="83"/>
      <c r="D985" s="84"/>
    </row>
    <row r="986">
      <c r="A986" s="82"/>
      <c r="B986" s="83"/>
      <c r="C986" s="83"/>
      <c r="D986" s="84"/>
    </row>
    <row r="987">
      <c r="A987" s="82"/>
      <c r="B987" s="83"/>
      <c r="C987" s="83"/>
      <c r="D987" s="84"/>
    </row>
    <row r="988">
      <c r="A988" s="82"/>
      <c r="B988" s="83"/>
      <c r="C988" s="83"/>
      <c r="D988" s="84"/>
    </row>
    <row r="989">
      <c r="A989" s="82"/>
      <c r="B989" s="83"/>
      <c r="C989" s="83"/>
      <c r="D989" s="84"/>
    </row>
    <row r="990">
      <c r="A990" s="82"/>
      <c r="B990" s="83"/>
      <c r="C990" s="83"/>
      <c r="D990" s="84"/>
    </row>
    <row r="991">
      <c r="A991" s="82"/>
      <c r="B991" s="83"/>
      <c r="C991" s="83"/>
      <c r="D991" s="84"/>
    </row>
    <row r="992">
      <c r="A992" s="82"/>
      <c r="B992" s="83"/>
      <c r="C992" s="83"/>
      <c r="D992" s="84"/>
    </row>
    <row r="993">
      <c r="A993" s="82"/>
      <c r="B993" s="83"/>
      <c r="C993" s="83"/>
      <c r="D993" s="84"/>
    </row>
    <row r="994">
      <c r="A994" s="82"/>
      <c r="B994" s="83"/>
      <c r="C994" s="83"/>
      <c r="D994" s="8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3.25"/>
    <col customWidth="1" min="2" max="2" width="10.75"/>
    <col customWidth="1" min="8" max="8" width="14.0"/>
    <col customWidth="1" min="11" max="11" width="14.0"/>
  </cols>
  <sheetData>
    <row r="1">
      <c r="A1" s="88"/>
      <c r="B1" s="88"/>
      <c r="C1" s="89"/>
      <c r="D1" s="90" t="s">
        <v>247</v>
      </c>
      <c r="F1" s="91"/>
      <c r="G1" s="90" t="s">
        <v>248</v>
      </c>
      <c r="I1" s="91"/>
      <c r="J1" s="90" t="s">
        <v>249</v>
      </c>
      <c r="L1" s="91"/>
    </row>
    <row r="2">
      <c r="A2" s="88"/>
      <c r="B2" s="88"/>
      <c r="C2" s="92" t="s">
        <v>35</v>
      </c>
      <c r="D2" s="90" t="s">
        <v>3</v>
      </c>
      <c r="E2" s="89" t="s">
        <v>9</v>
      </c>
      <c r="F2" s="93" t="s">
        <v>15</v>
      </c>
      <c r="G2" s="90" t="s">
        <v>3</v>
      </c>
      <c r="H2" s="89" t="s">
        <v>9</v>
      </c>
      <c r="I2" s="93" t="s">
        <v>15</v>
      </c>
      <c r="J2" s="90" t="s">
        <v>3</v>
      </c>
      <c r="K2" s="89" t="s">
        <v>9</v>
      </c>
      <c r="L2" s="93" t="s">
        <v>15</v>
      </c>
    </row>
    <row r="3">
      <c r="A3" s="56"/>
      <c r="B3" s="56"/>
      <c r="C3" s="67"/>
      <c r="D3" s="94"/>
      <c r="E3" s="95"/>
      <c r="F3" s="96"/>
      <c r="G3" s="95"/>
      <c r="H3" s="95"/>
      <c r="I3" s="97"/>
      <c r="J3" s="98"/>
      <c r="K3" s="95"/>
      <c r="L3" s="97"/>
    </row>
    <row r="4">
      <c r="A4" s="56"/>
      <c r="B4" s="56"/>
      <c r="C4" s="67"/>
      <c r="D4" s="94"/>
      <c r="E4" s="95"/>
      <c r="F4" s="96"/>
      <c r="G4" s="95"/>
      <c r="H4" s="95"/>
      <c r="I4" s="97"/>
      <c r="J4" s="98"/>
      <c r="K4" s="95"/>
      <c r="L4" s="97"/>
    </row>
    <row r="5">
      <c r="A5" s="37"/>
      <c r="B5" s="56"/>
      <c r="C5" s="67"/>
      <c r="D5" s="99"/>
      <c r="E5" s="95"/>
      <c r="F5" s="100"/>
      <c r="G5" s="95"/>
      <c r="H5" s="95"/>
      <c r="I5" s="97"/>
      <c r="J5" s="98"/>
      <c r="K5" s="95"/>
      <c r="L5" s="97"/>
    </row>
    <row r="6">
      <c r="A6" s="56"/>
      <c r="B6" s="37"/>
      <c r="C6" s="67"/>
      <c r="D6" s="101"/>
      <c r="E6" s="102"/>
      <c r="F6" s="103"/>
      <c r="G6" s="104"/>
      <c r="H6" s="64"/>
      <c r="I6" s="105"/>
      <c r="J6" s="106"/>
      <c r="K6" s="104"/>
      <c r="L6" s="105"/>
    </row>
    <row r="7">
      <c r="A7" s="56"/>
      <c r="B7" s="56"/>
      <c r="C7" s="67"/>
      <c r="D7" s="101"/>
      <c r="E7" s="102"/>
      <c r="F7" s="103"/>
      <c r="G7" s="64"/>
      <c r="H7" s="64"/>
      <c r="I7" s="105"/>
      <c r="J7" s="106"/>
      <c r="K7" s="104"/>
      <c r="L7" s="105"/>
    </row>
    <row r="8">
      <c r="A8" s="56"/>
      <c r="B8" s="56"/>
      <c r="C8" s="67"/>
      <c r="D8" s="101"/>
      <c r="E8" s="102"/>
      <c r="F8" s="103"/>
      <c r="G8" s="64"/>
      <c r="H8" s="104"/>
      <c r="I8" s="105"/>
      <c r="J8" s="106"/>
      <c r="K8" s="104"/>
      <c r="L8" s="105"/>
    </row>
    <row r="9">
      <c r="A9" s="56"/>
      <c r="B9" s="56"/>
      <c r="C9" s="67"/>
      <c r="D9" s="101"/>
      <c r="E9" s="102"/>
      <c r="F9" s="103"/>
      <c r="G9" s="107"/>
      <c r="H9" s="104"/>
      <c r="I9" s="105"/>
      <c r="J9" s="106"/>
      <c r="K9" s="104"/>
      <c r="L9" s="105"/>
    </row>
    <row r="10">
      <c r="A10" s="56"/>
      <c r="B10" s="56"/>
      <c r="C10" s="67"/>
      <c r="D10" s="101"/>
      <c r="E10" s="102"/>
      <c r="F10" s="103"/>
      <c r="G10" s="104"/>
      <c r="H10" s="64"/>
      <c r="I10" s="105"/>
      <c r="J10" s="106"/>
      <c r="K10" s="104"/>
      <c r="L10" s="105"/>
    </row>
    <row r="11">
      <c r="A11" s="56"/>
      <c r="B11" s="56"/>
      <c r="C11" s="67"/>
      <c r="D11" s="108"/>
      <c r="E11" s="95"/>
      <c r="F11" s="100"/>
      <c r="G11" s="64"/>
      <c r="H11" s="104"/>
      <c r="I11" s="105"/>
      <c r="J11" s="109"/>
      <c r="K11" s="104"/>
      <c r="L11" s="105"/>
    </row>
    <row r="12">
      <c r="A12" s="56"/>
      <c r="B12" s="56"/>
      <c r="C12" s="67"/>
      <c r="D12" s="108"/>
      <c r="E12" s="95"/>
      <c r="F12" s="100"/>
      <c r="G12" s="64"/>
      <c r="H12" s="104"/>
      <c r="I12" s="105"/>
      <c r="J12" s="106"/>
      <c r="K12" s="104"/>
      <c r="L12" s="105"/>
    </row>
    <row r="13">
      <c r="A13" s="37"/>
      <c r="B13" s="56"/>
      <c r="C13" s="67"/>
      <c r="D13" s="108"/>
      <c r="E13" s="95"/>
      <c r="F13" s="100"/>
      <c r="G13" s="95"/>
      <c r="H13" s="95"/>
      <c r="I13" s="97"/>
      <c r="J13" s="98"/>
      <c r="K13" s="95"/>
      <c r="L13" s="105"/>
    </row>
    <row r="14">
      <c r="A14" s="56"/>
      <c r="B14" s="56"/>
      <c r="C14" s="67"/>
      <c r="D14" s="108"/>
      <c r="E14" s="95"/>
      <c r="F14" s="100"/>
      <c r="G14" s="64"/>
      <c r="H14" s="104"/>
      <c r="I14" s="105"/>
      <c r="J14" s="106"/>
      <c r="K14" s="104"/>
      <c r="L14" s="105"/>
    </row>
    <row r="15">
      <c r="A15" s="56"/>
      <c r="B15" s="56"/>
      <c r="C15" s="67"/>
      <c r="D15" s="108"/>
      <c r="E15" s="95"/>
      <c r="F15" s="100"/>
      <c r="G15" s="64"/>
      <c r="H15" s="104"/>
      <c r="I15" s="105"/>
      <c r="J15" s="106"/>
      <c r="K15" s="104"/>
      <c r="L15" s="105"/>
    </row>
    <row r="16">
      <c r="A16" s="56"/>
      <c r="B16" s="56"/>
      <c r="C16" s="67"/>
      <c r="D16" s="108"/>
      <c r="E16" s="95"/>
      <c r="F16" s="100"/>
      <c r="G16" s="94"/>
      <c r="H16" s="95"/>
      <c r="I16" s="96"/>
      <c r="J16" s="94"/>
      <c r="K16" s="95"/>
      <c r="L16" s="96"/>
    </row>
    <row r="17">
      <c r="A17" s="56"/>
      <c r="B17" s="56"/>
      <c r="C17" s="67"/>
      <c r="D17" s="108"/>
      <c r="E17" s="95"/>
      <c r="F17" s="100"/>
      <c r="G17" s="94"/>
      <c r="H17" s="95"/>
      <c r="I17" s="96"/>
      <c r="J17" s="94"/>
      <c r="K17" s="95"/>
      <c r="L17" s="96"/>
    </row>
    <row r="18">
      <c r="A18" s="56"/>
      <c r="B18" s="56"/>
      <c r="C18" s="67"/>
      <c r="D18" s="108"/>
      <c r="E18" s="95"/>
      <c r="F18" s="100"/>
      <c r="G18" s="99"/>
      <c r="H18" s="95"/>
      <c r="I18" s="100"/>
      <c r="J18" s="94"/>
      <c r="K18" s="95"/>
      <c r="L18" s="96"/>
    </row>
    <row r="19">
      <c r="A19" s="56"/>
      <c r="B19" s="56"/>
      <c r="C19" s="67"/>
      <c r="D19" s="94"/>
      <c r="E19" s="95"/>
      <c r="F19" s="96"/>
      <c r="G19" s="101"/>
      <c r="H19" s="102"/>
      <c r="I19" s="103"/>
      <c r="J19" s="99"/>
      <c r="K19" s="95"/>
      <c r="L19" s="100"/>
    </row>
    <row r="20">
      <c r="A20" s="37"/>
      <c r="B20" s="56"/>
      <c r="C20" s="67"/>
      <c r="D20" s="108"/>
      <c r="E20" s="104"/>
      <c r="F20" s="103"/>
      <c r="G20" s="101"/>
      <c r="H20" s="102"/>
      <c r="I20" s="103"/>
      <c r="J20" s="101"/>
      <c r="K20" s="102"/>
      <c r="L20" s="103"/>
    </row>
    <row r="21">
      <c r="A21" s="37"/>
      <c r="B21" s="37"/>
      <c r="C21" s="67"/>
      <c r="D21" s="108"/>
      <c r="E21" s="104"/>
      <c r="F21" s="103"/>
      <c r="G21" s="101"/>
      <c r="H21" s="102"/>
      <c r="I21" s="103"/>
      <c r="J21" s="101"/>
      <c r="K21" s="102"/>
      <c r="L21" s="103"/>
    </row>
    <row r="22">
      <c r="A22" s="56"/>
      <c r="B22" s="56"/>
      <c r="C22" s="67"/>
      <c r="D22" s="94"/>
      <c r="E22" s="95"/>
      <c r="F22" s="96"/>
      <c r="G22" s="101"/>
      <c r="H22" s="102"/>
      <c r="I22" s="103"/>
      <c r="J22" s="101"/>
      <c r="K22" s="102"/>
      <c r="L22" s="103"/>
    </row>
    <row r="23">
      <c r="A23" s="56"/>
      <c r="B23" s="56"/>
      <c r="C23" s="67"/>
      <c r="D23" s="108"/>
      <c r="E23" s="104"/>
      <c r="F23" s="110"/>
      <c r="G23" s="101"/>
      <c r="H23" s="102"/>
      <c r="I23" s="103"/>
      <c r="J23" s="101"/>
      <c r="K23" s="102"/>
      <c r="L23" s="103"/>
    </row>
    <row r="24">
      <c r="A24" s="37"/>
      <c r="B24" s="56"/>
      <c r="C24" s="67"/>
      <c r="D24" s="108"/>
      <c r="E24" s="64"/>
      <c r="F24" s="110"/>
      <c r="G24" s="108"/>
      <c r="H24" s="95"/>
      <c r="I24" s="100"/>
      <c r="J24" s="101"/>
      <c r="K24" s="102"/>
      <c r="L24" s="103"/>
    </row>
    <row r="25">
      <c r="A25" s="56"/>
      <c r="B25" s="56"/>
      <c r="C25" s="67"/>
      <c r="D25" s="106"/>
      <c r="E25" s="104"/>
      <c r="F25" s="105"/>
      <c r="G25" s="108"/>
      <c r="H25" s="95"/>
      <c r="I25" s="100"/>
      <c r="J25" s="108"/>
      <c r="K25" s="95"/>
      <c r="L25" s="100"/>
    </row>
    <row r="26">
      <c r="A26" s="56"/>
      <c r="B26" s="56"/>
      <c r="C26" s="67"/>
      <c r="D26" s="106"/>
      <c r="E26" s="104"/>
      <c r="F26" s="105"/>
      <c r="G26" s="108"/>
      <c r="H26" s="95"/>
      <c r="I26" s="100"/>
      <c r="J26" s="108"/>
      <c r="K26" s="95"/>
      <c r="L26" s="100"/>
    </row>
    <row r="27">
      <c r="A27" s="56"/>
      <c r="B27" s="56"/>
      <c r="C27" s="67"/>
      <c r="D27" s="106"/>
      <c r="E27" s="104"/>
      <c r="F27" s="105"/>
      <c r="G27" s="108"/>
      <c r="H27" s="95"/>
      <c r="I27" s="100"/>
      <c r="J27" s="108"/>
      <c r="K27" s="95"/>
      <c r="L27" s="100"/>
    </row>
    <row r="28">
      <c r="A28" s="56"/>
      <c r="B28" s="56"/>
      <c r="C28" s="67"/>
      <c r="D28" s="106"/>
      <c r="E28" s="104"/>
      <c r="F28" s="105"/>
      <c r="G28" s="108"/>
      <c r="H28" s="95"/>
      <c r="I28" s="100"/>
      <c r="J28" s="108"/>
      <c r="K28" s="95"/>
      <c r="L28" s="100"/>
    </row>
    <row r="29">
      <c r="A29" s="56"/>
      <c r="B29" s="56"/>
      <c r="C29" s="67"/>
      <c r="D29" s="106"/>
      <c r="E29" s="104"/>
      <c r="F29" s="105"/>
      <c r="G29" s="108"/>
      <c r="H29" s="95"/>
      <c r="I29" s="100"/>
      <c r="J29" s="108"/>
      <c r="K29" s="95"/>
      <c r="L29" s="100"/>
    </row>
    <row r="30">
      <c r="A30" s="56"/>
      <c r="B30" s="56"/>
      <c r="C30" s="67"/>
      <c r="D30" s="106"/>
      <c r="E30" s="104"/>
      <c r="F30" s="105"/>
      <c r="G30" s="108"/>
      <c r="H30" s="95"/>
      <c r="I30" s="100"/>
      <c r="J30" s="108"/>
      <c r="K30" s="95"/>
      <c r="L30" s="100"/>
    </row>
    <row r="31">
      <c r="A31" s="56"/>
      <c r="B31" s="56"/>
      <c r="C31" s="67"/>
      <c r="D31" s="106"/>
      <c r="E31" s="104"/>
      <c r="F31" s="105"/>
      <c r="G31" s="108"/>
      <c r="H31" s="95"/>
      <c r="I31" s="100"/>
      <c r="J31" s="108"/>
      <c r="K31" s="95"/>
      <c r="L31" s="100"/>
    </row>
    <row r="32">
      <c r="A32" s="56"/>
      <c r="B32" s="56"/>
      <c r="C32" s="67"/>
      <c r="D32" s="106"/>
      <c r="E32" s="104"/>
      <c r="F32" s="111"/>
      <c r="G32" s="94"/>
      <c r="H32" s="95"/>
      <c r="I32" s="96"/>
      <c r="J32" s="108"/>
      <c r="K32" s="95"/>
      <c r="L32" s="100"/>
    </row>
    <row r="33">
      <c r="A33" s="56"/>
      <c r="B33" s="56"/>
      <c r="C33" s="67"/>
      <c r="D33" s="106"/>
      <c r="E33" s="104"/>
      <c r="F33" s="105"/>
      <c r="G33" s="108"/>
      <c r="H33" s="104"/>
      <c r="I33" s="103"/>
      <c r="J33" s="94"/>
      <c r="K33" s="95"/>
      <c r="L33" s="96"/>
    </row>
    <row r="34">
      <c r="A34" s="56"/>
      <c r="B34" s="56"/>
      <c r="C34" s="67"/>
      <c r="D34" s="106"/>
      <c r="E34" s="104"/>
      <c r="F34" s="105"/>
      <c r="G34" s="108"/>
      <c r="H34" s="104"/>
      <c r="I34" s="103"/>
      <c r="J34" s="108"/>
      <c r="K34" s="104"/>
      <c r="L34" s="103"/>
    </row>
    <row r="35">
      <c r="A35" s="37"/>
      <c r="B35" s="37"/>
      <c r="C35" s="67"/>
      <c r="D35" s="106"/>
      <c r="E35" s="95"/>
      <c r="F35" s="105"/>
      <c r="G35" s="94"/>
      <c r="H35" s="95"/>
      <c r="I35" s="96"/>
      <c r="J35" s="108"/>
      <c r="K35" s="104"/>
      <c r="L35" s="103"/>
    </row>
    <row r="36">
      <c r="A36" s="56"/>
      <c r="B36" s="56"/>
      <c r="C36" s="67"/>
      <c r="D36" s="106"/>
      <c r="E36" s="104"/>
      <c r="F36" s="105"/>
      <c r="G36" s="108"/>
      <c r="H36" s="104"/>
      <c r="I36" s="110"/>
      <c r="J36" s="94"/>
      <c r="K36" s="95"/>
      <c r="L36" s="96"/>
    </row>
    <row r="37">
      <c r="A37" s="56"/>
      <c r="B37" s="56"/>
      <c r="C37" s="112"/>
      <c r="D37" s="106"/>
      <c r="E37" s="104"/>
      <c r="F37" s="111"/>
      <c r="G37" s="108"/>
      <c r="H37" s="64"/>
      <c r="I37" s="110"/>
      <c r="J37" s="108"/>
      <c r="K37" s="104"/>
      <c r="L37" s="110"/>
    </row>
    <row r="38">
      <c r="A38" s="56"/>
      <c r="B38" s="56"/>
      <c r="C38" s="67"/>
      <c r="D38" s="98"/>
      <c r="E38" s="104"/>
      <c r="F38" s="105"/>
      <c r="G38" s="106"/>
      <c r="H38" s="104"/>
      <c r="I38" s="105"/>
      <c r="J38" s="108"/>
      <c r="K38" s="64"/>
      <c r="L38" s="110"/>
    </row>
    <row r="39">
      <c r="A39" s="113"/>
      <c r="B39" s="113"/>
      <c r="C39" s="114"/>
      <c r="D39" s="115"/>
      <c r="E39" s="116"/>
      <c r="F39" s="117"/>
      <c r="G39" s="115"/>
      <c r="H39" s="116"/>
      <c r="I39" s="117"/>
      <c r="J39" s="115"/>
      <c r="K39" s="116"/>
      <c r="L39" s="117"/>
    </row>
    <row r="40">
      <c r="A40" s="37"/>
      <c r="B40" s="37"/>
      <c r="C40" s="112"/>
      <c r="D40" s="106"/>
      <c r="E40" s="104"/>
      <c r="F40" s="105"/>
      <c r="G40" s="106"/>
      <c r="H40" s="104"/>
      <c r="I40" s="64"/>
      <c r="J40" s="106"/>
      <c r="K40" s="64"/>
      <c r="L40" s="105"/>
    </row>
    <row r="41">
      <c r="A41" s="37"/>
      <c r="B41" s="37"/>
      <c r="C41" s="112"/>
      <c r="D41" s="106"/>
      <c r="E41" s="104"/>
      <c r="F41" s="105"/>
      <c r="G41" s="109"/>
      <c r="H41" s="64"/>
      <c r="I41" s="105"/>
      <c r="J41" s="106"/>
      <c r="K41" s="64"/>
      <c r="L41" s="97"/>
    </row>
    <row r="42">
      <c r="A42" s="37"/>
      <c r="B42" s="37"/>
      <c r="C42" s="112"/>
      <c r="D42" s="106"/>
      <c r="E42" s="104"/>
      <c r="F42" s="105"/>
      <c r="G42" s="106"/>
      <c r="H42" s="104"/>
      <c r="I42" s="64"/>
      <c r="J42" s="106"/>
      <c r="K42" s="104"/>
      <c r="L42" s="97"/>
    </row>
    <row r="43">
      <c r="A43" s="37"/>
      <c r="B43" s="37"/>
      <c r="C43" s="112"/>
      <c r="D43" s="106"/>
      <c r="E43" s="104"/>
      <c r="F43" s="111"/>
      <c r="G43" s="109"/>
      <c r="H43" s="104"/>
      <c r="I43" s="105"/>
      <c r="J43" s="106"/>
      <c r="K43" s="64"/>
      <c r="L43" s="97"/>
    </row>
    <row r="44">
      <c r="A44" s="37"/>
      <c r="B44" s="118"/>
      <c r="C44" s="112"/>
      <c r="D44" s="106"/>
      <c r="E44" s="104"/>
      <c r="F44" s="105"/>
      <c r="G44" s="64"/>
      <c r="H44" s="104"/>
      <c r="I44" s="104"/>
      <c r="J44" s="106"/>
      <c r="K44" s="104"/>
      <c r="L44" s="105"/>
    </row>
    <row r="45">
      <c r="A45" s="37"/>
      <c r="B45" s="37"/>
      <c r="C45" s="112"/>
      <c r="D45" s="106"/>
      <c r="E45" s="104"/>
      <c r="F45" s="105"/>
      <c r="G45" s="98"/>
      <c r="H45" s="104"/>
      <c r="I45" s="111"/>
      <c r="J45" s="106"/>
      <c r="K45" s="104"/>
      <c r="L45" s="105"/>
    </row>
    <row r="46">
      <c r="A46" s="37"/>
      <c r="B46" s="37"/>
      <c r="C46" s="112"/>
      <c r="D46" s="106"/>
      <c r="E46" s="104"/>
      <c r="F46" s="105"/>
      <c r="G46" s="106"/>
      <c r="H46" s="104"/>
      <c r="I46" s="64"/>
      <c r="J46" s="106"/>
      <c r="K46" s="104"/>
      <c r="L46" s="105"/>
    </row>
    <row r="47">
      <c r="A47" s="37"/>
      <c r="B47" s="118"/>
      <c r="C47" s="112"/>
      <c r="D47" s="106"/>
      <c r="E47" s="104"/>
      <c r="F47" s="105"/>
      <c r="G47" s="106"/>
      <c r="H47" s="104"/>
      <c r="I47" s="64"/>
      <c r="J47" s="106"/>
      <c r="K47" s="104"/>
      <c r="L47" s="105"/>
    </row>
    <row r="48">
      <c r="A48" s="37"/>
      <c r="B48" s="37"/>
      <c r="C48" s="112"/>
      <c r="D48" s="106"/>
      <c r="E48" s="104"/>
      <c r="F48" s="105"/>
      <c r="G48" s="98"/>
      <c r="H48" s="104"/>
      <c r="I48" s="97"/>
      <c r="J48" s="106"/>
      <c r="K48" s="104"/>
      <c r="L48" s="105"/>
    </row>
    <row r="49">
      <c r="A49" s="37"/>
      <c r="B49" s="118"/>
      <c r="C49" s="112"/>
      <c r="D49" s="106"/>
      <c r="E49" s="104"/>
      <c r="F49" s="105"/>
      <c r="G49" s="104"/>
      <c r="H49" s="104"/>
      <c r="I49" s="64"/>
      <c r="J49" s="106"/>
      <c r="K49" s="104"/>
      <c r="L49" s="105"/>
    </row>
    <row r="50">
      <c r="A50" s="37"/>
      <c r="B50" s="37"/>
      <c r="C50" s="112"/>
      <c r="D50" s="106"/>
      <c r="E50" s="95"/>
      <c r="F50" s="105"/>
      <c r="G50" s="64"/>
      <c r="H50" s="104"/>
      <c r="I50" s="104"/>
      <c r="J50" s="106"/>
      <c r="K50" s="104"/>
      <c r="L50" s="105"/>
    </row>
    <row r="51">
      <c r="A51" s="113"/>
      <c r="B51" s="113"/>
      <c r="C51" s="114"/>
      <c r="D51" s="115"/>
      <c r="E51" s="116"/>
      <c r="F51" s="117"/>
      <c r="G51" s="115"/>
      <c r="H51" s="116"/>
      <c r="I51" s="117"/>
      <c r="J51" s="115"/>
      <c r="K51" s="116"/>
      <c r="L51" s="117"/>
    </row>
    <row r="52">
      <c r="A52" s="37"/>
      <c r="B52" s="118"/>
      <c r="C52" s="112"/>
      <c r="D52" s="98"/>
      <c r="E52" s="95"/>
      <c r="F52" s="97"/>
      <c r="G52" s="109"/>
      <c r="H52" s="95"/>
      <c r="I52" s="112"/>
      <c r="J52" s="98"/>
      <c r="K52" s="64"/>
      <c r="L52" s="111"/>
    </row>
    <row r="53">
      <c r="A53" s="37"/>
      <c r="B53" s="118"/>
      <c r="C53" s="112"/>
      <c r="D53" s="109"/>
      <c r="E53" s="64"/>
      <c r="F53" s="111"/>
      <c r="G53" s="109"/>
      <c r="H53" s="64"/>
      <c r="I53" s="111"/>
      <c r="J53" s="109"/>
      <c r="K53" s="64"/>
      <c r="L53" s="111"/>
    </row>
    <row r="54">
      <c r="A54" s="37"/>
      <c r="B54" s="37"/>
      <c r="C54" s="112"/>
      <c r="D54" s="109"/>
      <c r="E54" s="104"/>
      <c r="F54" s="111"/>
      <c r="G54" s="109"/>
      <c r="H54" s="64"/>
      <c r="I54" s="112"/>
      <c r="J54" s="109"/>
      <c r="K54" s="107"/>
      <c r="L54" s="111"/>
    </row>
    <row r="55">
      <c r="A55" s="37"/>
      <c r="B55" s="37"/>
      <c r="C55" s="112"/>
      <c r="D55" s="109"/>
      <c r="E55" s="104"/>
      <c r="F55" s="111"/>
      <c r="G55" s="119"/>
      <c r="H55" s="67"/>
      <c r="I55" s="95"/>
      <c r="J55" s="109"/>
      <c r="K55" s="107"/>
      <c r="L55" s="111"/>
    </row>
    <row r="56">
      <c r="A56" s="37"/>
      <c r="B56" s="37"/>
      <c r="C56" s="112"/>
      <c r="D56" s="120"/>
      <c r="E56" s="112"/>
      <c r="F56" s="121"/>
      <c r="G56" s="119"/>
      <c r="H56" s="107"/>
      <c r="I56" s="107"/>
      <c r="J56" s="119"/>
      <c r="K56" s="112"/>
      <c r="L56" s="111"/>
    </row>
    <row r="57">
      <c r="A57" s="37"/>
      <c r="B57" s="37"/>
      <c r="C57" s="112"/>
      <c r="D57" s="119"/>
      <c r="E57" s="67"/>
      <c r="F57" s="122"/>
      <c r="G57" s="123"/>
      <c r="H57" s="107"/>
      <c r="I57" s="121"/>
      <c r="J57" s="123"/>
      <c r="K57" s="107"/>
      <c r="L57" s="111"/>
    </row>
    <row r="58">
      <c r="A58" s="37"/>
      <c r="B58" s="37"/>
      <c r="C58" s="112"/>
      <c r="D58" s="119"/>
      <c r="E58" s="67"/>
      <c r="F58" s="122"/>
      <c r="G58" s="123"/>
      <c r="H58" s="107"/>
      <c r="I58" s="121"/>
      <c r="J58" s="123"/>
      <c r="K58" s="107"/>
      <c r="L58" s="111"/>
    </row>
    <row r="59">
      <c r="A59" s="37"/>
      <c r="B59" s="37"/>
      <c r="C59" s="112"/>
      <c r="D59" s="119"/>
      <c r="E59" s="67"/>
      <c r="F59" s="122"/>
      <c r="G59" s="123"/>
      <c r="H59" s="107"/>
      <c r="I59" s="124"/>
      <c r="J59" s="123"/>
      <c r="K59" s="107"/>
      <c r="L59" s="122"/>
    </row>
    <row r="60">
      <c r="A60" s="125" t="s">
        <v>250</v>
      </c>
      <c r="B60" s="125"/>
      <c r="C60" s="126"/>
      <c r="D60" s="127">
        <f t="shared" ref="D60:L60" si="1">COUNTIF(D3:D59,"lifting")</f>
        <v>0</v>
      </c>
      <c r="E60" s="126">
        <f t="shared" si="1"/>
        <v>0</v>
      </c>
      <c r="F60" s="126">
        <f t="shared" si="1"/>
        <v>0</v>
      </c>
      <c r="G60" s="126">
        <f t="shared" si="1"/>
        <v>0</v>
      </c>
      <c r="H60" s="126">
        <f t="shared" si="1"/>
        <v>0</v>
      </c>
      <c r="I60" s="126">
        <f t="shared" si="1"/>
        <v>0</v>
      </c>
      <c r="J60" s="126">
        <f t="shared" si="1"/>
        <v>0</v>
      </c>
      <c r="K60" s="126">
        <f t="shared" si="1"/>
        <v>0</v>
      </c>
      <c r="L60" s="126">
        <f t="shared" si="1"/>
        <v>0</v>
      </c>
    </row>
    <row r="61">
      <c r="A61" s="128" t="s">
        <v>251</v>
      </c>
      <c r="B61" s="128"/>
      <c r="C61" s="67"/>
      <c r="D61" s="120">
        <f t="shared" ref="D61:L61" si="2">D60*2</f>
        <v>0</v>
      </c>
      <c r="E61" s="67">
        <f t="shared" si="2"/>
        <v>0</v>
      </c>
      <c r="F61" s="67">
        <f t="shared" si="2"/>
        <v>0</v>
      </c>
      <c r="G61" s="67">
        <f t="shared" si="2"/>
        <v>0</v>
      </c>
      <c r="H61" s="67">
        <f t="shared" si="2"/>
        <v>0</v>
      </c>
      <c r="I61" s="67">
        <f t="shared" si="2"/>
        <v>0</v>
      </c>
      <c r="J61" s="67">
        <f t="shared" si="2"/>
        <v>0</v>
      </c>
      <c r="K61" s="67">
        <f t="shared" si="2"/>
        <v>0</v>
      </c>
      <c r="L61" s="67">
        <f t="shared" si="2"/>
        <v>0</v>
      </c>
    </row>
    <row r="62">
      <c r="A62" s="128" t="s">
        <v>252</v>
      </c>
      <c r="B62" s="128"/>
      <c r="C62" s="67"/>
      <c r="D62" s="120">
        <f t="shared" ref="D62:L62" si="3">COUNTIF(D3:D59,"*Handling*")+COUNTIF(D3:D59,"warmup room")+COUNTIF(D3:D59,"coaching")</f>
        <v>0</v>
      </c>
      <c r="E62" s="67">
        <f t="shared" si="3"/>
        <v>0</v>
      </c>
      <c r="F62" s="67">
        <f t="shared" si="3"/>
        <v>0</v>
      </c>
      <c r="G62" s="67">
        <f t="shared" si="3"/>
        <v>0</v>
      </c>
      <c r="H62" s="67">
        <f t="shared" si="3"/>
        <v>0</v>
      </c>
      <c r="I62" s="67">
        <f t="shared" si="3"/>
        <v>0</v>
      </c>
      <c r="J62" s="67">
        <f t="shared" si="3"/>
        <v>0</v>
      </c>
      <c r="K62" s="67">
        <f t="shared" si="3"/>
        <v>0</v>
      </c>
      <c r="L62" s="67">
        <f t="shared" si="3"/>
        <v>0</v>
      </c>
    </row>
  </sheetData>
  <mergeCells count="3">
    <mergeCell ref="D1:F1"/>
    <mergeCell ref="G1:I1"/>
    <mergeCell ref="J1:L1"/>
  </mergeCells>
  <conditionalFormatting sqref="D1:L62">
    <cfRule type="containsText" dxfId="1" priority="1" operator="containsText" text="Lifting">
      <formula>NOT(ISERROR(SEARCH(("Lifting"),(D1))))</formula>
    </cfRule>
  </conditionalFormatting>
  <conditionalFormatting sqref="D1:L62">
    <cfRule type="containsText" dxfId="0" priority="2" operator="containsText" text="Handling">
      <formula>NOT(ISERROR(SEARCH(("Handling"),(D1))))</formula>
    </cfRule>
  </conditionalFormatting>
  <conditionalFormatting sqref="D3:L62">
    <cfRule type="expression" dxfId="2" priority="3">
      <formula>E3="lifting"</formula>
    </cfRule>
  </conditionalFormatting>
  <conditionalFormatting sqref="D3:L62">
    <cfRule type="containsText" dxfId="3" priority="4" operator="containsText" text="Video">
      <formula>NOT(ISERROR(SEARCH(("Video"),(D3))))</formula>
    </cfRule>
  </conditionalFormatting>
  <conditionalFormatting sqref="D3:L62">
    <cfRule type="containsText" dxfId="4" priority="5" operator="containsText" text="Warmup Room">
      <formula>NOT(ISERROR(SEARCH(("Warmup Room"),(D3))))</formula>
    </cfRule>
  </conditionalFormatting>
  <conditionalFormatting sqref="D62:L62">
    <cfRule type="cellIs" dxfId="5" priority="6" operator="greaterThan">
      <formula>D61</formula>
    </cfRule>
  </conditionalFormatting>
  <conditionalFormatting sqref="A52:L59">
    <cfRule type="containsText" dxfId="6" priority="7" operator="containsText" text="Coaching">
      <formula>NOT(ISERROR(SEARCH(("Coaching"),(A52))))</formula>
    </cfRule>
  </conditionalFormatting>
  <conditionalFormatting sqref="A3:L50 I52">
    <cfRule type="containsText" dxfId="7" priority="8" operator="containsText" text="Spectating">
      <formula>NOT(ISERROR(SEARCH(("Spectating"),(A3))))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75"/>
    <col customWidth="1" min="3" max="4" width="6.25"/>
    <col customWidth="1" min="5" max="5" width="8.63"/>
    <col customWidth="1" min="6" max="6" width="7.38"/>
    <col customWidth="1" min="7" max="7" width="9.5"/>
    <col customWidth="1" min="8" max="8" width="5.88"/>
    <col customWidth="1" min="9" max="9" width="11.0"/>
    <col customWidth="1" min="10" max="10" width="8.38"/>
    <col customWidth="1" min="11" max="11" width="9.0"/>
    <col customWidth="1" min="12" max="12" width="12.0"/>
    <col customWidth="1" min="13" max="13" width="5.38"/>
    <col customWidth="1" min="14" max="14" width="32.88"/>
    <col customWidth="1" min="15" max="15" width="10.0"/>
    <col customWidth="1" min="16" max="16" width="7.0"/>
  </cols>
  <sheetData>
    <row r="1">
      <c r="A1" s="129" t="s">
        <v>253</v>
      </c>
      <c r="B1" s="129" t="s">
        <v>254</v>
      </c>
      <c r="C1" s="130" t="s">
        <v>255</v>
      </c>
      <c r="D1" s="129" t="s">
        <v>31</v>
      </c>
      <c r="E1" s="129" t="s">
        <v>32</v>
      </c>
      <c r="F1" s="129" t="s">
        <v>33</v>
      </c>
      <c r="G1" s="129" t="s">
        <v>34</v>
      </c>
      <c r="H1" s="129" t="s">
        <v>256</v>
      </c>
      <c r="I1" s="129" t="s">
        <v>257</v>
      </c>
      <c r="J1" s="129" t="s">
        <v>258</v>
      </c>
      <c r="K1" s="129" t="s">
        <v>259</v>
      </c>
      <c r="L1" s="129" t="s">
        <v>260</v>
      </c>
      <c r="M1" s="129" t="s">
        <v>36</v>
      </c>
      <c r="N1" s="129" t="s">
        <v>261</v>
      </c>
      <c r="O1" s="129" t="s">
        <v>262</v>
      </c>
      <c r="P1" s="129" t="s">
        <v>263</v>
      </c>
    </row>
    <row r="2">
      <c r="A2" s="131" t="s">
        <v>264</v>
      </c>
      <c r="B2" s="132" t="s">
        <v>265</v>
      </c>
      <c r="C2" s="133"/>
      <c r="D2" s="132" t="s">
        <v>78</v>
      </c>
      <c r="E2" s="133"/>
      <c r="F2" s="133"/>
      <c r="G2" s="133"/>
      <c r="H2" s="132" t="s">
        <v>110</v>
      </c>
      <c r="I2" s="132" t="s">
        <v>142</v>
      </c>
      <c r="J2" s="132">
        <v>125.0</v>
      </c>
      <c r="K2" s="132" t="s">
        <v>135</v>
      </c>
      <c r="L2" s="134"/>
      <c r="M2" s="132">
        <v>930.0</v>
      </c>
      <c r="N2" s="133"/>
      <c r="O2" s="132" t="s">
        <v>266</v>
      </c>
      <c r="P2" s="132" t="s">
        <v>267</v>
      </c>
    </row>
    <row r="3">
      <c r="A3" s="131" t="s">
        <v>268</v>
      </c>
      <c r="B3" s="132" t="s">
        <v>269</v>
      </c>
      <c r="C3" s="133"/>
      <c r="D3" s="132" t="s">
        <v>78</v>
      </c>
      <c r="E3" s="133"/>
      <c r="F3" s="133"/>
      <c r="G3" s="133"/>
      <c r="H3" s="132" t="s">
        <v>110</v>
      </c>
      <c r="I3" s="132" t="s">
        <v>142</v>
      </c>
      <c r="J3" s="132">
        <v>125.0</v>
      </c>
      <c r="K3" s="132" t="s">
        <v>135</v>
      </c>
      <c r="L3" s="134"/>
      <c r="M3" s="132">
        <v>925.0</v>
      </c>
      <c r="N3" s="133"/>
      <c r="O3" s="134"/>
      <c r="P3" s="132" t="s">
        <v>270</v>
      </c>
    </row>
    <row r="4">
      <c r="A4" s="131" t="s">
        <v>271</v>
      </c>
      <c r="B4" s="132" t="s">
        <v>272</v>
      </c>
      <c r="C4" s="133"/>
      <c r="D4" s="132" t="s">
        <v>78</v>
      </c>
      <c r="E4" s="133"/>
      <c r="F4" s="133"/>
      <c r="G4" s="133"/>
      <c r="H4" s="132" t="s">
        <v>110</v>
      </c>
      <c r="I4" s="132" t="s">
        <v>142</v>
      </c>
      <c r="J4" s="132">
        <v>125.0</v>
      </c>
      <c r="K4" s="132" t="s">
        <v>135</v>
      </c>
      <c r="L4" s="134"/>
      <c r="M4" s="132">
        <v>915.0</v>
      </c>
      <c r="N4" s="133"/>
      <c r="O4" s="132" t="s">
        <v>266</v>
      </c>
      <c r="P4" s="132" t="s">
        <v>273</v>
      </c>
    </row>
    <row r="5">
      <c r="A5" s="135" t="s">
        <v>274</v>
      </c>
      <c r="B5" s="132" t="s">
        <v>275</v>
      </c>
      <c r="C5" s="134"/>
      <c r="D5" s="132" t="s">
        <v>78</v>
      </c>
      <c r="E5" s="134"/>
      <c r="F5" s="134"/>
      <c r="G5" s="134"/>
      <c r="H5" s="132" t="s">
        <v>110</v>
      </c>
      <c r="I5" s="132" t="s">
        <v>142</v>
      </c>
      <c r="J5" s="132" t="s">
        <v>276</v>
      </c>
      <c r="K5" s="132" t="s">
        <v>135</v>
      </c>
      <c r="L5" s="134"/>
      <c r="M5" s="132">
        <v>900.0</v>
      </c>
      <c r="N5" s="134"/>
      <c r="O5" s="132" t="s">
        <v>277</v>
      </c>
      <c r="P5" s="132" t="s">
        <v>278</v>
      </c>
    </row>
    <row r="6">
      <c r="A6" s="131" t="s">
        <v>279</v>
      </c>
      <c r="B6" s="132" t="s">
        <v>280</v>
      </c>
      <c r="C6" s="133"/>
      <c r="D6" s="132" t="s">
        <v>78</v>
      </c>
      <c r="E6" s="133"/>
      <c r="F6" s="133"/>
      <c r="G6" s="133"/>
      <c r="H6" s="132" t="s">
        <v>110</v>
      </c>
      <c r="I6" s="132" t="s">
        <v>142</v>
      </c>
      <c r="J6" s="132">
        <v>140.0</v>
      </c>
      <c r="K6" s="132" t="s">
        <v>135</v>
      </c>
      <c r="L6" s="134"/>
      <c r="M6" s="132">
        <v>877.5</v>
      </c>
      <c r="N6" s="133"/>
      <c r="O6" s="132" t="s">
        <v>266</v>
      </c>
      <c r="P6" s="132" t="s">
        <v>267</v>
      </c>
    </row>
    <row r="7">
      <c r="A7" s="135" t="s">
        <v>281</v>
      </c>
      <c r="B7" s="132" t="s">
        <v>282</v>
      </c>
      <c r="C7" s="134"/>
      <c r="D7" s="132" t="s">
        <v>78</v>
      </c>
      <c r="E7" s="134"/>
      <c r="F7" s="134"/>
      <c r="G7" s="134"/>
      <c r="H7" s="132" t="s">
        <v>110</v>
      </c>
      <c r="I7" s="132" t="s">
        <v>142</v>
      </c>
      <c r="J7" s="132" t="s">
        <v>276</v>
      </c>
      <c r="K7" s="132" t="s">
        <v>135</v>
      </c>
      <c r="L7" s="134"/>
      <c r="M7" s="132">
        <v>865.0</v>
      </c>
      <c r="N7" s="134"/>
      <c r="O7" s="132" t="s">
        <v>266</v>
      </c>
      <c r="P7" s="132" t="s">
        <v>283</v>
      </c>
    </row>
    <row r="8">
      <c r="A8" s="131" t="s">
        <v>284</v>
      </c>
      <c r="B8" s="132" t="s">
        <v>285</v>
      </c>
      <c r="C8" s="133"/>
      <c r="D8" s="132" t="s">
        <v>78</v>
      </c>
      <c r="E8" s="133"/>
      <c r="F8" s="133"/>
      <c r="G8" s="133"/>
      <c r="H8" s="132" t="s">
        <v>110</v>
      </c>
      <c r="I8" s="132" t="s">
        <v>142</v>
      </c>
      <c r="J8" s="132">
        <v>110.0</v>
      </c>
      <c r="K8" s="132" t="s">
        <v>135</v>
      </c>
      <c r="L8" s="134"/>
      <c r="M8" s="132">
        <v>862.5</v>
      </c>
      <c r="N8" s="133"/>
      <c r="O8" s="132" t="s">
        <v>266</v>
      </c>
      <c r="P8" s="132" t="s">
        <v>283</v>
      </c>
    </row>
    <row r="9">
      <c r="A9" s="131" t="s">
        <v>286</v>
      </c>
      <c r="B9" s="132" t="s">
        <v>81</v>
      </c>
      <c r="C9" s="133"/>
      <c r="D9" s="132" t="s">
        <v>78</v>
      </c>
      <c r="E9" s="133"/>
      <c r="F9" s="133"/>
      <c r="G9" s="133"/>
      <c r="H9" s="132" t="s">
        <v>110</v>
      </c>
      <c r="I9" s="132" t="s">
        <v>142</v>
      </c>
      <c r="J9" s="132">
        <v>110.0</v>
      </c>
      <c r="K9" s="132" t="s">
        <v>135</v>
      </c>
      <c r="L9" s="134"/>
      <c r="M9" s="132">
        <v>817.5</v>
      </c>
      <c r="N9" s="133"/>
      <c r="O9" s="134"/>
      <c r="P9" s="132" t="s">
        <v>270</v>
      </c>
    </row>
    <row r="10">
      <c r="A10" s="136" t="s">
        <v>287</v>
      </c>
      <c r="B10" s="132" t="s">
        <v>288</v>
      </c>
      <c r="C10" s="133"/>
      <c r="D10" s="132" t="s">
        <v>78</v>
      </c>
      <c r="E10" s="133"/>
      <c r="F10" s="133"/>
      <c r="G10" s="133"/>
      <c r="H10" s="132" t="s">
        <v>110</v>
      </c>
      <c r="I10" s="132" t="s">
        <v>142</v>
      </c>
      <c r="J10" s="132">
        <v>140.0</v>
      </c>
      <c r="K10" s="132" t="s">
        <v>135</v>
      </c>
      <c r="L10" s="134"/>
      <c r="M10" s="132">
        <v>815.0</v>
      </c>
      <c r="N10" s="133"/>
      <c r="O10" s="133"/>
      <c r="P10" s="132" t="s">
        <v>270</v>
      </c>
    </row>
    <row r="11">
      <c r="A11" s="131" t="s">
        <v>289</v>
      </c>
      <c r="B11" s="132" t="s">
        <v>290</v>
      </c>
      <c r="C11" s="133"/>
      <c r="D11" s="132" t="s">
        <v>71</v>
      </c>
      <c r="E11" s="133"/>
      <c r="F11" s="133"/>
      <c r="G11" s="133"/>
      <c r="H11" s="132" t="s">
        <v>110</v>
      </c>
      <c r="I11" s="132" t="s">
        <v>142</v>
      </c>
      <c r="J11" s="132">
        <v>90.0</v>
      </c>
      <c r="K11" s="132" t="s">
        <v>135</v>
      </c>
      <c r="L11" s="134"/>
      <c r="M11" s="132">
        <v>790.0</v>
      </c>
      <c r="N11" s="133"/>
      <c r="O11" s="132" t="s">
        <v>266</v>
      </c>
      <c r="P11" s="132" t="s">
        <v>270</v>
      </c>
    </row>
    <row r="12">
      <c r="A12" s="131" t="s">
        <v>291</v>
      </c>
      <c r="B12" s="132" t="s">
        <v>292</v>
      </c>
      <c r="C12" s="133"/>
      <c r="D12" s="132" t="s">
        <v>78</v>
      </c>
      <c r="E12" s="133"/>
      <c r="F12" s="133"/>
      <c r="G12" s="133"/>
      <c r="H12" s="132" t="s">
        <v>110</v>
      </c>
      <c r="I12" s="132" t="s">
        <v>142</v>
      </c>
      <c r="J12" s="132">
        <v>140.0</v>
      </c>
      <c r="K12" s="132" t="s">
        <v>135</v>
      </c>
      <c r="L12" s="134"/>
      <c r="M12" s="132">
        <v>787.5</v>
      </c>
      <c r="N12" s="134"/>
      <c r="O12" s="132" t="s">
        <v>266</v>
      </c>
      <c r="P12" s="132" t="s">
        <v>273</v>
      </c>
    </row>
    <row r="13">
      <c r="A13" s="131" t="s">
        <v>293</v>
      </c>
      <c r="B13" s="132" t="s">
        <v>294</v>
      </c>
      <c r="C13" s="133"/>
      <c r="D13" s="132" t="s">
        <v>71</v>
      </c>
      <c r="E13" s="133"/>
      <c r="F13" s="133"/>
      <c r="G13" s="133"/>
      <c r="H13" s="132" t="s">
        <v>110</v>
      </c>
      <c r="I13" s="132" t="s">
        <v>142</v>
      </c>
      <c r="J13" s="132">
        <v>100.0</v>
      </c>
      <c r="K13" s="132" t="s">
        <v>135</v>
      </c>
      <c r="L13" s="134"/>
      <c r="M13" s="132">
        <v>777.5</v>
      </c>
      <c r="N13" s="133"/>
      <c r="O13" s="132" t="s">
        <v>266</v>
      </c>
      <c r="P13" s="132" t="s">
        <v>273</v>
      </c>
    </row>
    <row r="14">
      <c r="A14" s="131" t="s">
        <v>295</v>
      </c>
      <c r="B14" s="132" t="s">
        <v>296</v>
      </c>
      <c r="C14" s="133"/>
      <c r="D14" s="132" t="s">
        <v>78</v>
      </c>
      <c r="E14" s="133"/>
      <c r="F14" s="133"/>
      <c r="G14" s="133"/>
      <c r="H14" s="132" t="s">
        <v>110</v>
      </c>
      <c r="I14" s="132" t="s">
        <v>142</v>
      </c>
      <c r="J14" s="132">
        <v>125.0</v>
      </c>
      <c r="K14" s="132" t="s">
        <v>135</v>
      </c>
      <c r="L14" s="134"/>
      <c r="M14" s="132">
        <v>762.5</v>
      </c>
      <c r="N14" s="133"/>
      <c r="O14" s="132" t="s">
        <v>266</v>
      </c>
      <c r="P14" s="132" t="s">
        <v>270</v>
      </c>
    </row>
    <row r="15">
      <c r="A15" s="131" t="s">
        <v>297</v>
      </c>
      <c r="B15" s="132" t="s">
        <v>298</v>
      </c>
      <c r="C15" s="133"/>
      <c r="D15" s="132" t="s">
        <v>71</v>
      </c>
      <c r="E15" s="133"/>
      <c r="F15" s="133"/>
      <c r="G15" s="133"/>
      <c r="H15" s="132" t="s">
        <v>110</v>
      </c>
      <c r="I15" s="132" t="s">
        <v>142</v>
      </c>
      <c r="J15" s="132">
        <v>100.0</v>
      </c>
      <c r="K15" s="132" t="s">
        <v>135</v>
      </c>
      <c r="L15" s="134"/>
      <c r="M15" s="132">
        <v>760.0</v>
      </c>
      <c r="N15" s="133"/>
      <c r="O15" s="132" t="s">
        <v>266</v>
      </c>
      <c r="P15" s="132" t="s">
        <v>267</v>
      </c>
    </row>
    <row r="16">
      <c r="A16" s="131" t="s">
        <v>299</v>
      </c>
      <c r="B16" s="132" t="s">
        <v>300</v>
      </c>
      <c r="C16" s="133"/>
      <c r="D16" s="132" t="s">
        <v>78</v>
      </c>
      <c r="E16" s="133"/>
      <c r="F16" s="133"/>
      <c r="G16" s="133"/>
      <c r="H16" s="132" t="s">
        <v>110</v>
      </c>
      <c r="I16" s="132" t="s">
        <v>142</v>
      </c>
      <c r="J16" s="132">
        <v>110.0</v>
      </c>
      <c r="K16" s="132" t="s">
        <v>135</v>
      </c>
      <c r="L16" s="134"/>
      <c r="M16" s="132">
        <v>755.0</v>
      </c>
      <c r="N16" s="133"/>
      <c r="O16" s="134"/>
      <c r="P16" s="132" t="s">
        <v>270</v>
      </c>
    </row>
    <row r="17">
      <c r="A17" s="131" t="s">
        <v>301</v>
      </c>
      <c r="B17" s="132" t="s">
        <v>302</v>
      </c>
      <c r="C17" s="133"/>
      <c r="D17" s="132" t="s">
        <v>71</v>
      </c>
      <c r="E17" s="133"/>
      <c r="F17" s="133"/>
      <c r="G17" s="133"/>
      <c r="H17" s="132" t="s">
        <v>110</v>
      </c>
      <c r="I17" s="132" t="s">
        <v>142</v>
      </c>
      <c r="J17" s="132">
        <v>90.0</v>
      </c>
      <c r="K17" s="132" t="s">
        <v>135</v>
      </c>
      <c r="L17" s="134"/>
      <c r="M17" s="132">
        <v>750.0</v>
      </c>
      <c r="N17" s="133"/>
      <c r="O17" s="134"/>
      <c r="P17" s="132" t="s">
        <v>270</v>
      </c>
    </row>
    <row r="18">
      <c r="A18" s="131" t="s">
        <v>303</v>
      </c>
      <c r="B18" s="132" t="s">
        <v>304</v>
      </c>
      <c r="C18" s="133"/>
      <c r="D18" s="132" t="s">
        <v>78</v>
      </c>
      <c r="E18" s="133"/>
      <c r="F18" s="133"/>
      <c r="G18" s="133"/>
      <c r="H18" s="132" t="s">
        <v>110</v>
      </c>
      <c r="I18" s="132" t="s">
        <v>142</v>
      </c>
      <c r="J18" s="132">
        <v>110.0</v>
      </c>
      <c r="K18" s="132" t="s">
        <v>135</v>
      </c>
      <c r="L18" s="134"/>
      <c r="M18" s="132">
        <v>750.0</v>
      </c>
      <c r="N18" s="133"/>
      <c r="O18" s="132" t="s">
        <v>266</v>
      </c>
      <c r="P18" s="132" t="s">
        <v>270</v>
      </c>
    </row>
    <row r="19">
      <c r="A19" s="131" t="s">
        <v>305</v>
      </c>
      <c r="B19" s="132" t="s">
        <v>306</v>
      </c>
      <c r="C19" s="133"/>
      <c r="D19" s="132" t="s">
        <v>307</v>
      </c>
      <c r="E19" s="133"/>
      <c r="F19" s="133"/>
      <c r="G19" s="133"/>
      <c r="H19" s="132" t="s">
        <v>110</v>
      </c>
      <c r="I19" s="132" t="s">
        <v>142</v>
      </c>
      <c r="J19" s="132">
        <v>67.5</v>
      </c>
      <c r="K19" s="132" t="s">
        <v>135</v>
      </c>
      <c r="L19" s="134"/>
      <c r="M19" s="132">
        <v>747.5</v>
      </c>
      <c r="N19" s="133"/>
      <c r="O19" s="132" t="s">
        <v>266</v>
      </c>
      <c r="P19" s="132" t="s">
        <v>267</v>
      </c>
    </row>
    <row r="20">
      <c r="A20" s="131" t="s">
        <v>308</v>
      </c>
      <c r="B20" s="132" t="s">
        <v>309</v>
      </c>
      <c r="C20" s="133"/>
      <c r="D20" s="132" t="s">
        <v>71</v>
      </c>
      <c r="E20" s="133"/>
      <c r="F20" s="133"/>
      <c r="G20" s="133"/>
      <c r="H20" s="132" t="s">
        <v>110</v>
      </c>
      <c r="I20" s="132" t="s">
        <v>142</v>
      </c>
      <c r="J20" s="132">
        <v>90.0</v>
      </c>
      <c r="K20" s="132" t="s">
        <v>135</v>
      </c>
      <c r="L20" s="134"/>
      <c r="M20" s="132">
        <v>742.5</v>
      </c>
      <c r="N20" s="133"/>
      <c r="O20" s="134"/>
      <c r="P20" s="132" t="s">
        <v>270</v>
      </c>
    </row>
    <row r="21">
      <c r="A21" s="131" t="s">
        <v>310</v>
      </c>
      <c r="B21" s="132" t="s">
        <v>311</v>
      </c>
      <c r="C21" s="133"/>
      <c r="D21" s="132" t="s">
        <v>71</v>
      </c>
      <c r="E21" s="133"/>
      <c r="F21" s="133"/>
      <c r="G21" s="133"/>
      <c r="H21" s="132" t="s">
        <v>110</v>
      </c>
      <c r="I21" s="132" t="s">
        <v>142</v>
      </c>
      <c r="J21" s="132">
        <v>90.0</v>
      </c>
      <c r="K21" s="132" t="s">
        <v>135</v>
      </c>
      <c r="L21" s="134"/>
      <c r="M21" s="132">
        <v>742.5</v>
      </c>
      <c r="N21" s="133"/>
      <c r="O21" s="133"/>
      <c r="P21" s="132" t="s">
        <v>270</v>
      </c>
    </row>
    <row r="22">
      <c r="A22" s="131" t="s">
        <v>312</v>
      </c>
      <c r="B22" s="132" t="s">
        <v>313</v>
      </c>
      <c r="C22" s="133"/>
      <c r="D22" s="132" t="s">
        <v>71</v>
      </c>
      <c r="E22" s="133"/>
      <c r="F22" s="133"/>
      <c r="G22" s="133"/>
      <c r="H22" s="132" t="s">
        <v>110</v>
      </c>
      <c r="I22" s="132" t="s">
        <v>142</v>
      </c>
      <c r="J22" s="132">
        <v>100.0</v>
      </c>
      <c r="K22" s="132" t="s">
        <v>135</v>
      </c>
      <c r="L22" s="134"/>
      <c r="M22" s="132">
        <v>740.0</v>
      </c>
      <c r="N22" s="133"/>
      <c r="O22" s="134"/>
      <c r="P22" s="132" t="s">
        <v>270</v>
      </c>
    </row>
    <row r="23">
      <c r="A23" s="131" t="s">
        <v>314</v>
      </c>
      <c r="B23" s="132" t="s">
        <v>315</v>
      </c>
      <c r="C23" s="133"/>
      <c r="D23" s="132" t="s">
        <v>78</v>
      </c>
      <c r="E23" s="133"/>
      <c r="F23" s="133"/>
      <c r="G23" s="133"/>
      <c r="H23" s="132" t="s">
        <v>110</v>
      </c>
      <c r="I23" s="132" t="s">
        <v>142</v>
      </c>
      <c r="J23" s="132">
        <v>140.0</v>
      </c>
      <c r="K23" s="132" t="s">
        <v>135</v>
      </c>
      <c r="L23" s="134"/>
      <c r="M23" s="132">
        <v>735.0</v>
      </c>
      <c r="N23" s="133"/>
      <c r="O23" s="132" t="s">
        <v>266</v>
      </c>
      <c r="P23" s="132" t="s">
        <v>316</v>
      </c>
    </row>
    <row r="24">
      <c r="A24" s="131" t="s">
        <v>317</v>
      </c>
      <c r="B24" s="132" t="s">
        <v>318</v>
      </c>
      <c r="C24" s="133"/>
      <c r="D24" s="132" t="s">
        <v>78</v>
      </c>
      <c r="E24" s="133"/>
      <c r="F24" s="134"/>
      <c r="G24" s="134"/>
      <c r="H24" s="132" t="s">
        <v>110</v>
      </c>
      <c r="I24" s="132" t="s">
        <v>142</v>
      </c>
      <c r="J24" s="132">
        <v>110.0</v>
      </c>
      <c r="K24" s="132" t="s">
        <v>135</v>
      </c>
      <c r="L24" s="134"/>
      <c r="M24" s="132">
        <v>735.0</v>
      </c>
      <c r="N24" s="134"/>
      <c r="O24" s="132" t="s">
        <v>266</v>
      </c>
      <c r="P24" s="132" t="s">
        <v>316</v>
      </c>
    </row>
    <row r="25">
      <c r="A25" s="131" t="s">
        <v>319</v>
      </c>
      <c r="B25" s="132" t="s">
        <v>320</v>
      </c>
      <c r="C25" s="133"/>
      <c r="D25" s="132" t="s">
        <v>78</v>
      </c>
      <c r="E25" s="133"/>
      <c r="F25" s="133"/>
      <c r="G25" s="133"/>
      <c r="H25" s="132" t="s">
        <v>110</v>
      </c>
      <c r="I25" s="132" t="s">
        <v>142</v>
      </c>
      <c r="J25" s="132">
        <v>110.0</v>
      </c>
      <c r="K25" s="132" t="s">
        <v>135</v>
      </c>
      <c r="L25" s="134"/>
      <c r="M25" s="132">
        <v>727.5</v>
      </c>
      <c r="N25" s="133"/>
      <c r="O25" s="132" t="s">
        <v>266</v>
      </c>
      <c r="P25" s="132" t="s">
        <v>270</v>
      </c>
    </row>
    <row r="26">
      <c r="A26" s="131" t="s">
        <v>321</v>
      </c>
      <c r="B26" s="132" t="s">
        <v>115</v>
      </c>
      <c r="C26" s="133"/>
      <c r="D26" s="132" t="s">
        <v>71</v>
      </c>
      <c r="E26" s="133"/>
      <c r="F26" s="133"/>
      <c r="G26" s="133"/>
      <c r="H26" s="132" t="s">
        <v>110</v>
      </c>
      <c r="I26" s="132" t="s">
        <v>142</v>
      </c>
      <c r="J26" s="132">
        <v>100.0</v>
      </c>
      <c r="K26" s="132" t="s">
        <v>135</v>
      </c>
      <c r="L26" s="134"/>
      <c r="M26" s="132">
        <v>727.5</v>
      </c>
      <c r="N26" s="133"/>
      <c r="O26" s="132" t="s">
        <v>266</v>
      </c>
      <c r="P26" s="132" t="s">
        <v>270</v>
      </c>
    </row>
    <row r="27">
      <c r="A27" s="131" t="s">
        <v>322</v>
      </c>
      <c r="B27" s="132" t="s">
        <v>269</v>
      </c>
      <c r="C27" s="133"/>
      <c r="D27" s="132" t="s">
        <v>78</v>
      </c>
      <c r="E27" s="133"/>
      <c r="F27" s="133"/>
      <c r="G27" s="133"/>
      <c r="H27" s="132" t="s">
        <v>110</v>
      </c>
      <c r="I27" s="132" t="s">
        <v>142</v>
      </c>
      <c r="J27" s="132">
        <v>125.0</v>
      </c>
      <c r="K27" s="132" t="s">
        <v>135</v>
      </c>
      <c r="L27" s="134"/>
      <c r="M27" s="132">
        <v>722.5</v>
      </c>
      <c r="N27" s="133"/>
      <c r="O27" s="132" t="s">
        <v>266</v>
      </c>
      <c r="P27" s="132" t="s">
        <v>283</v>
      </c>
    </row>
    <row r="28">
      <c r="A28" s="131" t="s">
        <v>323</v>
      </c>
      <c r="B28" s="132" t="s">
        <v>324</v>
      </c>
      <c r="C28" s="133"/>
      <c r="D28" s="132" t="s">
        <v>71</v>
      </c>
      <c r="E28" s="133"/>
      <c r="F28" s="133"/>
      <c r="G28" s="133"/>
      <c r="H28" s="132" t="s">
        <v>110</v>
      </c>
      <c r="I28" s="132" t="s">
        <v>142</v>
      </c>
      <c r="J28" s="132">
        <v>90.0</v>
      </c>
      <c r="K28" s="132" t="s">
        <v>135</v>
      </c>
      <c r="L28" s="134"/>
      <c r="M28" s="132">
        <v>722.5</v>
      </c>
      <c r="N28" s="133"/>
      <c r="O28" s="132" t="s">
        <v>266</v>
      </c>
      <c r="P28" s="132" t="s">
        <v>267</v>
      </c>
    </row>
    <row r="29">
      <c r="A29" s="136" t="s">
        <v>325</v>
      </c>
      <c r="B29" s="132" t="s">
        <v>326</v>
      </c>
      <c r="C29" s="133"/>
      <c r="D29" s="132" t="s">
        <v>78</v>
      </c>
      <c r="E29" s="133"/>
      <c r="F29" s="133"/>
      <c r="G29" s="133"/>
      <c r="H29" s="132" t="s">
        <v>110</v>
      </c>
      <c r="I29" s="132" t="s">
        <v>142</v>
      </c>
      <c r="J29" s="132">
        <v>140.0</v>
      </c>
      <c r="K29" s="132" t="s">
        <v>135</v>
      </c>
      <c r="L29" s="134"/>
      <c r="M29" s="132">
        <v>720.0</v>
      </c>
      <c r="N29" s="133"/>
      <c r="O29" s="132" t="s">
        <v>266</v>
      </c>
      <c r="P29" s="132" t="s">
        <v>283</v>
      </c>
    </row>
    <row r="30">
      <c r="A30" s="131" t="s">
        <v>327</v>
      </c>
      <c r="B30" s="132" t="s">
        <v>328</v>
      </c>
      <c r="C30" s="133"/>
      <c r="D30" s="132" t="s">
        <v>78</v>
      </c>
      <c r="E30" s="133"/>
      <c r="F30" s="133"/>
      <c r="G30" s="133"/>
      <c r="H30" s="132" t="s">
        <v>110</v>
      </c>
      <c r="I30" s="132" t="s">
        <v>142</v>
      </c>
      <c r="J30" s="132">
        <v>125.0</v>
      </c>
      <c r="K30" s="132" t="s">
        <v>135</v>
      </c>
      <c r="L30" s="134"/>
      <c r="M30" s="132">
        <v>712.5</v>
      </c>
      <c r="N30" s="133"/>
      <c r="O30" s="132"/>
      <c r="P30" s="132" t="s">
        <v>270</v>
      </c>
    </row>
    <row r="31">
      <c r="A31" s="131" t="s">
        <v>329</v>
      </c>
      <c r="B31" s="132" t="s">
        <v>330</v>
      </c>
      <c r="C31" s="133"/>
      <c r="D31" s="132" t="s">
        <v>71</v>
      </c>
      <c r="E31" s="133"/>
      <c r="F31" s="133"/>
      <c r="G31" s="133"/>
      <c r="H31" s="132" t="s">
        <v>110</v>
      </c>
      <c r="I31" s="132" t="s">
        <v>142</v>
      </c>
      <c r="J31" s="132">
        <v>100.0</v>
      </c>
      <c r="K31" s="132" t="s">
        <v>135</v>
      </c>
      <c r="L31" s="134"/>
      <c r="M31" s="132">
        <v>712.5</v>
      </c>
      <c r="N31" s="133"/>
      <c r="O31" s="134"/>
      <c r="P31" s="132" t="s">
        <v>270</v>
      </c>
    </row>
    <row r="32">
      <c r="A32" s="131" t="s">
        <v>331</v>
      </c>
      <c r="B32" s="132" t="s">
        <v>332</v>
      </c>
      <c r="C32" s="133"/>
      <c r="D32" s="132" t="s">
        <v>71</v>
      </c>
      <c r="E32" s="133"/>
      <c r="F32" s="133"/>
      <c r="G32" s="133"/>
      <c r="H32" s="132" t="s">
        <v>110</v>
      </c>
      <c r="I32" s="132" t="s">
        <v>142</v>
      </c>
      <c r="J32" s="132">
        <v>90.0</v>
      </c>
      <c r="K32" s="132" t="s">
        <v>135</v>
      </c>
      <c r="L32" s="134"/>
      <c r="M32" s="132">
        <v>712.5</v>
      </c>
      <c r="N32" s="133"/>
      <c r="O32" s="132" t="s">
        <v>266</v>
      </c>
      <c r="P32" s="132" t="s">
        <v>267</v>
      </c>
    </row>
    <row r="33">
      <c r="A33" s="131" t="s">
        <v>333</v>
      </c>
      <c r="B33" s="132" t="s">
        <v>334</v>
      </c>
      <c r="C33" s="133"/>
      <c r="D33" s="132" t="s">
        <v>64</v>
      </c>
      <c r="E33" s="133"/>
      <c r="F33" s="133"/>
      <c r="G33" s="133"/>
      <c r="H33" s="132" t="s">
        <v>110</v>
      </c>
      <c r="I33" s="132" t="s">
        <v>142</v>
      </c>
      <c r="J33" s="132">
        <v>75.0</v>
      </c>
      <c r="K33" s="132" t="s">
        <v>135</v>
      </c>
      <c r="L33" s="134"/>
      <c r="M33" s="132">
        <v>710.0</v>
      </c>
      <c r="N33" s="133"/>
      <c r="O33" s="133"/>
      <c r="P33" s="132" t="s">
        <v>270</v>
      </c>
    </row>
    <row r="34">
      <c r="A34" s="135" t="s">
        <v>335</v>
      </c>
      <c r="B34" s="132" t="s">
        <v>336</v>
      </c>
      <c r="C34" s="134"/>
      <c r="D34" s="132" t="s">
        <v>78</v>
      </c>
      <c r="E34" s="134"/>
      <c r="F34" s="134"/>
      <c r="G34" s="134"/>
      <c r="H34" s="132" t="s">
        <v>110</v>
      </c>
      <c r="I34" s="132" t="s">
        <v>142</v>
      </c>
      <c r="J34" s="132" t="s">
        <v>276</v>
      </c>
      <c r="K34" s="132" t="s">
        <v>135</v>
      </c>
      <c r="L34" s="134"/>
      <c r="M34" s="132">
        <v>710.0</v>
      </c>
      <c r="N34" s="134"/>
      <c r="O34" s="134"/>
      <c r="P34" s="132" t="s">
        <v>267</v>
      </c>
    </row>
    <row r="35">
      <c r="A35" s="131" t="s">
        <v>337</v>
      </c>
      <c r="B35" s="132" t="s">
        <v>338</v>
      </c>
      <c r="C35" s="133"/>
      <c r="D35" s="132" t="s">
        <v>71</v>
      </c>
      <c r="E35" s="133"/>
      <c r="F35" s="133"/>
      <c r="G35" s="133"/>
      <c r="H35" s="132" t="s">
        <v>110</v>
      </c>
      <c r="I35" s="132" t="s">
        <v>142</v>
      </c>
      <c r="J35" s="132">
        <v>100.0</v>
      </c>
      <c r="K35" s="132" t="s">
        <v>135</v>
      </c>
      <c r="L35" s="134"/>
      <c r="M35" s="132">
        <v>707.5</v>
      </c>
      <c r="N35" s="133"/>
      <c r="O35" s="132" t="s">
        <v>266</v>
      </c>
      <c r="P35" s="132" t="s">
        <v>316</v>
      </c>
    </row>
    <row r="36">
      <c r="A36" s="131" t="s">
        <v>122</v>
      </c>
      <c r="B36" s="132" t="s">
        <v>121</v>
      </c>
      <c r="C36" s="133"/>
      <c r="D36" s="132" t="s">
        <v>78</v>
      </c>
      <c r="E36" s="133"/>
      <c r="F36" s="133"/>
      <c r="G36" s="133"/>
      <c r="H36" s="132" t="s">
        <v>110</v>
      </c>
      <c r="I36" s="132" t="s">
        <v>142</v>
      </c>
      <c r="J36" s="132">
        <v>125.0</v>
      </c>
      <c r="K36" s="132" t="s">
        <v>135</v>
      </c>
      <c r="L36" s="134"/>
      <c r="M36" s="132">
        <v>705.0</v>
      </c>
      <c r="N36" s="133"/>
      <c r="O36" s="132" t="s">
        <v>266</v>
      </c>
      <c r="P36" s="132" t="s">
        <v>339</v>
      </c>
    </row>
    <row r="37">
      <c r="A37" s="131" t="s">
        <v>120</v>
      </c>
      <c r="B37" s="132" t="s">
        <v>119</v>
      </c>
      <c r="C37" s="133"/>
      <c r="D37" s="132" t="s">
        <v>78</v>
      </c>
      <c r="E37" s="133"/>
      <c r="F37" s="133"/>
      <c r="G37" s="133"/>
      <c r="H37" s="132" t="s">
        <v>110</v>
      </c>
      <c r="I37" s="132" t="s">
        <v>142</v>
      </c>
      <c r="J37" s="132">
        <v>110.0</v>
      </c>
      <c r="K37" s="132" t="s">
        <v>135</v>
      </c>
      <c r="L37" s="134"/>
      <c r="M37" s="132">
        <v>705.0</v>
      </c>
      <c r="N37" s="133"/>
      <c r="O37" s="132" t="s">
        <v>266</v>
      </c>
      <c r="P37" s="132" t="s">
        <v>340</v>
      </c>
    </row>
    <row r="38">
      <c r="A38" s="131" t="s">
        <v>116</v>
      </c>
      <c r="B38" s="132" t="s">
        <v>115</v>
      </c>
      <c r="C38" s="133"/>
      <c r="D38" s="132" t="s">
        <v>71</v>
      </c>
      <c r="E38" s="133"/>
      <c r="F38" s="133"/>
      <c r="G38" s="133"/>
      <c r="H38" s="132" t="s">
        <v>110</v>
      </c>
      <c r="I38" s="132" t="s">
        <v>142</v>
      </c>
      <c r="J38" s="132">
        <v>100.0</v>
      </c>
      <c r="K38" s="132" t="s">
        <v>135</v>
      </c>
      <c r="L38" s="134"/>
      <c r="M38" s="132">
        <v>702.5</v>
      </c>
      <c r="N38" s="133"/>
      <c r="O38" s="132" t="s">
        <v>266</v>
      </c>
      <c r="P38" s="132" t="s">
        <v>341</v>
      </c>
    </row>
    <row r="39">
      <c r="A39" s="131" t="s">
        <v>342</v>
      </c>
      <c r="B39" s="132" t="s">
        <v>343</v>
      </c>
      <c r="C39" s="133"/>
      <c r="D39" s="132" t="s">
        <v>78</v>
      </c>
      <c r="E39" s="133"/>
      <c r="F39" s="133"/>
      <c r="G39" s="133"/>
      <c r="H39" s="132" t="s">
        <v>110</v>
      </c>
      <c r="I39" s="132" t="s">
        <v>142</v>
      </c>
      <c r="J39" s="132">
        <v>140.0</v>
      </c>
      <c r="K39" s="132" t="s">
        <v>135</v>
      </c>
      <c r="L39" s="134"/>
      <c r="M39" s="132">
        <v>700.0</v>
      </c>
      <c r="N39" s="133"/>
      <c r="O39" s="134"/>
      <c r="P39" s="132" t="s">
        <v>267</v>
      </c>
    </row>
    <row r="40">
      <c r="A40" s="131" t="s">
        <v>344</v>
      </c>
      <c r="B40" s="132" t="s">
        <v>345</v>
      </c>
      <c r="C40" s="133"/>
      <c r="D40" s="132" t="s">
        <v>71</v>
      </c>
      <c r="E40" s="133"/>
      <c r="F40" s="133"/>
      <c r="G40" s="133"/>
      <c r="H40" s="132" t="s">
        <v>110</v>
      </c>
      <c r="I40" s="132" t="s">
        <v>142</v>
      </c>
      <c r="J40" s="132">
        <v>82.5</v>
      </c>
      <c r="K40" s="132" t="s">
        <v>135</v>
      </c>
      <c r="L40" s="134"/>
      <c r="M40" s="132">
        <v>692.5</v>
      </c>
      <c r="N40" s="133"/>
      <c r="O40" s="134"/>
      <c r="P40" s="132" t="s">
        <v>270</v>
      </c>
    </row>
    <row r="41">
      <c r="A41" s="131" t="s">
        <v>323</v>
      </c>
      <c r="B41" s="132" t="s">
        <v>346</v>
      </c>
      <c r="C41" s="133"/>
      <c r="D41" s="132" t="s">
        <v>71</v>
      </c>
      <c r="E41" s="133"/>
      <c r="F41" s="133"/>
      <c r="G41" s="133"/>
      <c r="H41" s="132" t="s">
        <v>110</v>
      </c>
      <c r="I41" s="132" t="s">
        <v>142</v>
      </c>
      <c r="J41" s="132">
        <v>90.0</v>
      </c>
      <c r="K41" s="132" t="s">
        <v>135</v>
      </c>
      <c r="L41" s="134"/>
      <c r="M41" s="132">
        <v>685.0</v>
      </c>
      <c r="N41" s="133"/>
      <c r="O41" s="132" t="s">
        <v>266</v>
      </c>
      <c r="P41" s="132" t="s">
        <v>267</v>
      </c>
    </row>
    <row r="42">
      <c r="A42" s="131" t="s">
        <v>347</v>
      </c>
      <c r="B42" s="132" t="s">
        <v>348</v>
      </c>
      <c r="C42" s="133"/>
      <c r="D42" s="132" t="s">
        <v>78</v>
      </c>
      <c r="E42" s="133"/>
      <c r="F42" s="133"/>
      <c r="G42" s="133"/>
      <c r="H42" s="132" t="s">
        <v>110</v>
      </c>
      <c r="I42" s="132" t="s">
        <v>142</v>
      </c>
      <c r="J42" s="132">
        <v>140.0</v>
      </c>
      <c r="K42" s="132" t="s">
        <v>135</v>
      </c>
      <c r="L42" s="134"/>
      <c r="M42" s="132">
        <v>682.5</v>
      </c>
      <c r="N42" s="133"/>
      <c r="O42" s="132" t="s">
        <v>266</v>
      </c>
      <c r="P42" s="132" t="s">
        <v>267</v>
      </c>
    </row>
    <row r="43">
      <c r="A43" s="131" t="s">
        <v>349</v>
      </c>
      <c r="B43" s="132" t="s">
        <v>350</v>
      </c>
      <c r="C43" s="133"/>
      <c r="D43" s="132" t="s">
        <v>71</v>
      </c>
      <c r="E43" s="133"/>
      <c r="F43" s="133"/>
      <c r="G43" s="133"/>
      <c r="H43" s="132" t="s">
        <v>110</v>
      </c>
      <c r="I43" s="132" t="s">
        <v>142</v>
      </c>
      <c r="J43" s="132">
        <v>82.5</v>
      </c>
      <c r="K43" s="132" t="s">
        <v>135</v>
      </c>
      <c r="L43" s="134"/>
      <c r="M43" s="132">
        <v>682.5</v>
      </c>
      <c r="N43" s="133"/>
      <c r="O43" s="132" t="s">
        <v>266</v>
      </c>
      <c r="P43" s="132" t="s">
        <v>267</v>
      </c>
    </row>
    <row r="44">
      <c r="A44" s="131" t="s">
        <v>351</v>
      </c>
      <c r="B44" s="132" t="s">
        <v>352</v>
      </c>
      <c r="C44" s="133"/>
      <c r="D44" s="132" t="s">
        <v>71</v>
      </c>
      <c r="E44" s="133"/>
      <c r="F44" s="133"/>
      <c r="G44" s="133"/>
      <c r="H44" s="132" t="s">
        <v>110</v>
      </c>
      <c r="I44" s="132" t="s">
        <v>142</v>
      </c>
      <c r="J44" s="132">
        <v>82.5</v>
      </c>
      <c r="K44" s="132" t="s">
        <v>135</v>
      </c>
      <c r="L44" s="134"/>
      <c r="M44" s="132">
        <v>682.5</v>
      </c>
      <c r="N44" s="133"/>
      <c r="O44" s="133"/>
      <c r="P44" s="132" t="s">
        <v>267</v>
      </c>
    </row>
    <row r="45">
      <c r="A45" s="131" t="s">
        <v>353</v>
      </c>
      <c r="B45" s="132" t="s">
        <v>354</v>
      </c>
      <c r="C45" s="133"/>
      <c r="D45" s="132" t="s">
        <v>71</v>
      </c>
      <c r="E45" s="133"/>
      <c r="F45" s="133"/>
      <c r="G45" s="133"/>
      <c r="H45" s="132" t="s">
        <v>110</v>
      </c>
      <c r="I45" s="132" t="s">
        <v>142</v>
      </c>
      <c r="J45" s="132">
        <v>100.0</v>
      </c>
      <c r="K45" s="132" t="s">
        <v>135</v>
      </c>
      <c r="L45" s="134"/>
      <c r="M45" s="132">
        <v>682.5</v>
      </c>
      <c r="N45" s="133"/>
      <c r="O45" s="134"/>
      <c r="P45" s="132" t="s">
        <v>270</v>
      </c>
    </row>
    <row r="46">
      <c r="A46" s="131" t="s">
        <v>355</v>
      </c>
      <c r="B46" s="132" t="s">
        <v>343</v>
      </c>
      <c r="C46" s="133"/>
      <c r="D46" s="132" t="s">
        <v>78</v>
      </c>
      <c r="E46" s="133"/>
      <c r="F46" s="133"/>
      <c r="G46" s="133"/>
      <c r="H46" s="132" t="s">
        <v>110</v>
      </c>
      <c r="I46" s="132" t="s">
        <v>142</v>
      </c>
      <c r="J46" s="132">
        <v>110.0</v>
      </c>
      <c r="K46" s="132" t="s">
        <v>135</v>
      </c>
      <c r="L46" s="134"/>
      <c r="M46" s="132">
        <v>682.5</v>
      </c>
      <c r="N46" s="133"/>
      <c r="O46" s="132"/>
      <c r="P46" s="132" t="s">
        <v>270</v>
      </c>
    </row>
    <row r="47">
      <c r="A47" s="131" t="s">
        <v>356</v>
      </c>
      <c r="B47" s="132" t="s">
        <v>357</v>
      </c>
      <c r="C47" s="133"/>
      <c r="D47" s="132" t="s">
        <v>71</v>
      </c>
      <c r="E47" s="133"/>
      <c r="F47" s="133"/>
      <c r="G47" s="133"/>
      <c r="H47" s="132" t="s">
        <v>110</v>
      </c>
      <c r="I47" s="132" t="s">
        <v>142</v>
      </c>
      <c r="J47" s="132">
        <v>82.5</v>
      </c>
      <c r="K47" s="132" t="s">
        <v>135</v>
      </c>
      <c r="L47" s="134"/>
      <c r="M47" s="132">
        <v>680.0</v>
      </c>
      <c r="N47" s="133"/>
      <c r="O47" s="132" t="s">
        <v>266</v>
      </c>
      <c r="P47" s="132" t="s">
        <v>270</v>
      </c>
    </row>
    <row r="48">
      <c r="A48" s="131" t="s">
        <v>358</v>
      </c>
      <c r="B48" s="132" t="s">
        <v>359</v>
      </c>
      <c r="C48" s="133"/>
      <c r="D48" s="132" t="s">
        <v>71</v>
      </c>
      <c r="E48" s="133"/>
      <c r="F48" s="133"/>
      <c r="G48" s="133"/>
      <c r="H48" s="132" t="s">
        <v>110</v>
      </c>
      <c r="I48" s="132" t="s">
        <v>142</v>
      </c>
      <c r="J48" s="132">
        <v>100.0</v>
      </c>
      <c r="K48" s="132" t="s">
        <v>135</v>
      </c>
      <c r="L48" s="134"/>
      <c r="M48" s="132">
        <v>680.0</v>
      </c>
      <c r="N48" s="133"/>
      <c r="O48" s="132"/>
      <c r="P48" s="132" t="s">
        <v>267</v>
      </c>
    </row>
    <row r="49">
      <c r="A49" s="131" t="s">
        <v>360</v>
      </c>
      <c r="B49" s="132" t="s">
        <v>361</v>
      </c>
      <c r="C49" s="133"/>
      <c r="D49" s="132" t="s">
        <v>71</v>
      </c>
      <c r="E49" s="133"/>
      <c r="F49" s="133"/>
      <c r="G49" s="133"/>
      <c r="H49" s="132" t="s">
        <v>110</v>
      </c>
      <c r="I49" s="132" t="s">
        <v>142</v>
      </c>
      <c r="J49" s="132">
        <v>90.0</v>
      </c>
      <c r="K49" s="132" t="s">
        <v>135</v>
      </c>
      <c r="L49" s="134"/>
      <c r="M49" s="132">
        <v>680.0</v>
      </c>
      <c r="N49" s="133"/>
      <c r="O49" s="132" t="s">
        <v>266</v>
      </c>
      <c r="P49" s="132" t="s">
        <v>270</v>
      </c>
    </row>
    <row r="50">
      <c r="A50" s="131" t="s">
        <v>362</v>
      </c>
      <c r="B50" s="132" t="s">
        <v>363</v>
      </c>
      <c r="C50" s="133"/>
      <c r="D50" s="132" t="s">
        <v>71</v>
      </c>
      <c r="E50" s="133"/>
      <c r="F50" s="133"/>
      <c r="G50" s="133"/>
      <c r="H50" s="132" t="s">
        <v>110</v>
      </c>
      <c r="I50" s="132" t="s">
        <v>142</v>
      </c>
      <c r="J50" s="132">
        <v>82.5</v>
      </c>
      <c r="K50" s="132" t="s">
        <v>135</v>
      </c>
      <c r="L50" s="134"/>
      <c r="M50" s="132">
        <v>677.5</v>
      </c>
      <c r="N50" s="133"/>
      <c r="O50" s="132" t="s">
        <v>266</v>
      </c>
      <c r="P50" s="132" t="s">
        <v>267</v>
      </c>
    </row>
    <row r="51">
      <c r="A51" s="131" t="s">
        <v>364</v>
      </c>
      <c r="B51" s="132" t="s">
        <v>365</v>
      </c>
      <c r="C51" s="133"/>
      <c r="D51" s="132" t="s">
        <v>64</v>
      </c>
      <c r="E51" s="133"/>
      <c r="F51" s="133"/>
      <c r="G51" s="133"/>
      <c r="H51" s="132" t="s">
        <v>110</v>
      </c>
      <c r="I51" s="132" t="s">
        <v>142</v>
      </c>
      <c r="J51" s="132">
        <v>75.0</v>
      </c>
      <c r="K51" s="132" t="s">
        <v>135</v>
      </c>
      <c r="L51" s="134"/>
      <c r="M51" s="132">
        <v>675.0</v>
      </c>
      <c r="N51" s="133"/>
      <c r="O51" s="132" t="s">
        <v>266</v>
      </c>
      <c r="P51" s="132" t="s">
        <v>267</v>
      </c>
    </row>
    <row r="52">
      <c r="A52" s="131" t="s">
        <v>366</v>
      </c>
      <c r="B52" s="132" t="s">
        <v>367</v>
      </c>
      <c r="C52" s="133"/>
      <c r="D52" s="132" t="s">
        <v>71</v>
      </c>
      <c r="E52" s="133"/>
      <c r="F52" s="133"/>
      <c r="G52" s="133"/>
      <c r="H52" s="132" t="s">
        <v>110</v>
      </c>
      <c r="I52" s="132" t="s">
        <v>142</v>
      </c>
      <c r="J52" s="132">
        <v>100.0</v>
      </c>
      <c r="K52" s="132" t="s">
        <v>135</v>
      </c>
      <c r="L52" s="134"/>
      <c r="M52" s="132">
        <v>672.5</v>
      </c>
      <c r="N52" s="133"/>
      <c r="O52" s="132" t="s">
        <v>266</v>
      </c>
      <c r="P52" s="132" t="s">
        <v>267</v>
      </c>
    </row>
    <row r="53">
      <c r="A53" s="131" t="s">
        <v>368</v>
      </c>
      <c r="B53" s="132" t="s">
        <v>369</v>
      </c>
      <c r="C53" s="133"/>
      <c r="D53" s="132" t="s">
        <v>64</v>
      </c>
      <c r="E53" s="133"/>
      <c r="F53" s="133"/>
      <c r="G53" s="133"/>
      <c r="H53" s="132" t="s">
        <v>110</v>
      </c>
      <c r="I53" s="132" t="s">
        <v>142</v>
      </c>
      <c r="J53" s="132">
        <v>75.0</v>
      </c>
      <c r="K53" s="132" t="s">
        <v>135</v>
      </c>
      <c r="L53" s="134"/>
      <c r="M53" s="132">
        <v>670.0</v>
      </c>
      <c r="N53" s="133"/>
      <c r="O53" s="134"/>
      <c r="P53" s="132" t="s">
        <v>270</v>
      </c>
    </row>
    <row r="54">
      <c r="A54" s="131" t="s">
        <v>370</v>
      </c>
      <c r="B54" s="132" t="s">
        <v>371</v>
      </c>
      <c r="C54" s="133"/>
      <c r="D54" s="132" t="s">
        <v>71</v>
      </c>
      <c r="E54" s="133"/>
      <c r="F54" s="133"/>
      <c r="G54" s="133"/>
      <c r="H54" s="132" t="s">
        <v>110</v>
      </c>
      <c r="I54" s="132" t="s">
        <v>142</v>
      </c>
      <c r="J54" s="132">
        <v>90.0</v>
      </c>
      <c r="K54" s="132" t="s">
        <v>135</v>
      </c>
      <c r="L54" s="134"/>
      <c r="M54" s="132">
        <v>667.5</v>
      </c>
      <c r="N54" s="133"/>
      <c r="O54" s="132" t="s">
        <v>266</v>
      </c>
      <c r="P54" s="132" t="s">
        <v>267</v>
      </c>
    </row>
    <row r="55">
      <c r="A55" s="131" t="s">
        <v>372</v>
      </c>
      <c r="B55" s="132" t="s">
        <v>373</v>
      </c>
      <c r="C55" s="133"/>
      <c r="D55" s="132" t="s">
        <v>71</v>
      </c>
      <c r="E55" s="133"/>
      <c r="F55" s="133"/>
      <c r="G55" s="133"/>
      <c r="H55" s="132" t="s">
        <v>110</v>
      </c>
      <c r="I55" s="132" t="s">
        <v>142</v>
      </c>
      <c r="J55" s="132">
        <v>100.0</v>
      </c>
      <c r="K55" s="132" t="s">
        <v>135</v>
      </c>
      <c r="L55" s="134"/>
      <c r="M55" s="132">
        <v>665.0</v>
      </c>
      <c r="N55" s="133"/>
      <c r="O55" s="132" t="s">
        <v>266</v>
      </c>
      <c r="P55" s="132" t="s">
        <v>270</v>
      </c>
    </row>
    <row r="56">
      <c r="A56" s="131" t="s">
        <v>374</v>
      </c>
      <c r="B56" s="132" t="s">
        <v>375</v>
      </c>
      <c r="C56" s="133"/>
      <c r="D56" s="132" t="s">
        <v>64</v>
      </c>
      <c r="E56" s="133"/>
      <c r="F56" s="133"/>
      <c r="G56" s="133"/>
      <c r="H56" s="132" t="s">
        <v>110</v>
      </c>
      <c r="I56" s="132" t="s">
        <v>142</v>
      </c>
      <c r="J56" s="132">
        <v>75.0</v>
      </c>
      <c r="K56" s="132" t="s">
        <v>135</v>
      </c>
      <c r="L56" s="134"/>
      <c r="M56" s="132">
        <v>662.5</v>
      </c>
      <c r="N56" s="133"/>
      <c r="O56" s="134"/>
      <c r="P56" s="132" t="s">
        <v>270</v>
      </c>
    </row>
    <row r="57">
      <c r="A57" s="131" t="s">
        <v>376</v>
      </c>
      <c r="B57" s="132" t="s">
        <v>336</v>
      </c>
      <c r="C57" s="133"/>
      <c r="D57" s="132" t="s">
        <v>78</v>
      </c>
      <c r="E57" s="133"/>
      <c r="F57" s="133"/>
      <c r="G57" s="133"/>
      <c r="H57" s="132" t="s">
        <v>110</v>
      </c>
      <c r="I57" s="132" t="s">
        <v>142</v>
      </c>
      <c r="J57" s="132">
        <v>110.0</v>
      </c>
      <c r="K57" s="132" t="s">
        <v>135</v>
      </c>
      <c r="L57" s="134"/>
      <c r="M57" s="132">
        <v>657.5</v>
      </c>
      <c r="N57" s="133"/>
      <c r="O57" s="132" t="s">
        <v>266</v>
      </c>
      <c r="P57" s="132" t="s">
        <v>377</v>
      </c>
    </row>
    <row r="58">
      <c r="A58" s="131" t="s">
        <v>378</v>
      </c>
      <c r="B58" s="132" t="s">
        <v>379</v>
      </c>
      <c r="C58" s="133"/>
      <c r="D58" s="132" t="s">
        <v>64</v>
      </c>
      <c r="E58" s="133"/>
      <c r="F58" s="133"/>
      <c r="G58" s="133"/>
      <c r="H58" s="132" t="s">
        <v>110</v>
      </c>
      <c r="I58" s="132" t="s">
        <v>142</v>
      </c>
      <c r="J58" s="132">
        <v>75.0</v>
      </c>
      <c r="K58" s="132" t="s">
        <v>135</v>
      </c>
      <c r="L58" s="134"/>
      <c r="M58" s="132">
        <v>657.5</v>
      </c>
      <c r="N58" s="133"/>
      <c r="O58" s="132"/>
      <c r="P58" s="132" t="s">
        <v>267</v>
      </c>
    </row>
    <row r="59">
      <c r="A59" s="131" t="s">
        <v>114</v>
      </c>
      <c r="B59" s="132" t="s">
        <v>113</v>
      </c>
      <c r="C59" s="133"/>
      <c r="D59" s="132" t="s">
        <v>71</v>
      </c>
      <c r="E59" s="133"/>
      <c r="F59" s="133"/>
      <c r="G59" s="133"/>
      <c r="H59" s="132" t="s">
        <v>110</v>
      </c>
      <c r="I59" s="132" t="s">
        <v>142</v>
      </c>
      <c r="J59" s="132">
        <v>90.0</v>
      </c>
      <c r="K59" s="132" t="s">
        <v>135</v>
      </c>
      <c r="L59" s="134"/>
      <c r="M59" s="132">
        <v>657.5</v>
      </c>
      <c r="N59" s="133"/>
      <c r="O59" s="132" t="s">
        <v>266</v>
      </c>
      <c r="P59" s="132" t="s">
        <v>380</v>
      </c>
    </row>
    <row r="60">
      <c r="A60" s="131" t="s">
        <v>381</v>
      </c>
      <c r="B60" s="132" t="s">
        <v>382</v>
      </c>
      <c r="C60" s="133"/>
      <c r="D60" s="132" t="s">
        <v>71</v>
      </c>
      <c r="E60" s="133"/>
      <c r="F60" s="133"/>
      <c r="G60" s="133"/>
      <c r="H60" s="132" t="s">
        <v>110</v>
      </c>
      <c r="I60" s="132" t="s">
        <v>142</v>
      </c>
      <c r="J60" s="132">
        <v>82.5</v>
      </c>
      <c r="K60" s="132" t="s">
        <v>135</v>
      </c>
      <c r="L60" s="134"/>
      <c r="M60" s="132">
        <v>652.5</v>
      </c>
      <c r="N60" s="133"/>
      <c r="O60" s="132" t="s">
        <v>266</v>
      </c>
      <c r="P60" s="132" t="s">
        <v>267</v>
      </c>
    </row>
    <row r="61">
      <c r="A61" s="131" t="s">
        <v>383</v>
      </c>
      <c r="B61" s="132" t="s">
        <v>369</v>
      </c>
      <c r="C61" s="133"/>
      <c r="D61" s="132" t="s">
        <v>78</v>
      </c>
      <c r="E61" s="133"/>
      <c r="F61" s="133"/>
      <c r="G61" s="133"/>
      <c r="H61" s="132" t="s">
        <v>110</v>
      </c>
      <c r="I61" s="132" t="s">
        <v>142</v>
      </c>
      <c r="J61" s="132">
        <v>110.0</v>
      </c>
      <c r="K61" s="132" t="s">
        <v>135</v>
      </c>
      <c r="L61" s="134"/>
      <c r="M61" s="132">
        <v>650.0</v>
      </c>
      <c r="N61" s="133"/>
      <c r="O61" s="133"/>
      <c r="P61" s="132" t="s">
        <v>270</v>
      </c>
    </row>
    <row r="62">
      <c r="A62" s="131" t="s">
        <v>384</v>
      </c>
      <c r="B62" s="132" t="s">
        <v>352</v>
      </c>
      <c r="C62" s="133"/>
      <c r="D62" s="132" t="s">
        <v>71</v>
      </c>
      <c r="E62" s="133"/>
      <c r="F62" s="133"/>
      <c r="G62" s="133"/>
      <c r="H62" s="132" t="s">
        <v>110</v>
      </c>
      <c r="I62" s="132" t="s">
        <v>142</v>
      </c>
      <c r="J62" s="132">
        <v>100.0</v>
      </c>
      <c r="K62" s="132" t="s">
        <v>135</v>
      </c>
      <c r="L62" s="134"/>
      <c r="M62" s="132">
        <v>647.5</v>
      </c>
      <c r="N62" s="133"/>
      <c r="O62" s="132" t="s">
        <v>266</v>
      </c>
      <c r="P62" s="132" t="s">
        <v>270</v>
      </c>
    </row>
    <row r="63">
      <c r="A63" s="131" t="s">
        <v>385</v>
      </c>
      <c r="B63" s="132" t="s">
        <v>386</v>
      </c>
      <c r="C63" s="133"/>
      <c r="D63" s="132" t="s">
        <v>78</v>
      </c>
      <c r="E63" s="133"/>
      <c r="F63" s="133"/>
      <c r="G63" s="133"/>
      <c r="H63" s="132" t="s">
        <v>147</v>
      </c>
      <c r="I63" s="132" t="s">
        <v>142</v>
      </c>
      <c r="J63" s="132" t="s">
        <v>387</v>
      </c>
      <c r="K63" s="132" t="s">
        <v>135</v>
      </c>
      <c r="L63" s="134"/>
      <c r="M63" s="132">
        <v>646.0</v>
      </c>
      <c r="N63" s="133"/>
      <c r="O63" s="132" t="s">
        <v>266</v>
      </c>
      <c r="P63" s="132" t="s">
        <v>270</v>
      </c>
    </row>
    <row r="64">
      <c r="A64" s="131" t="s">
        <v>388</v>
      </c>
      <c r="B64" s="132" t="s">
        <v>389</v>
      </c>
      <c r="C64" s="133"/>
      <c r="D64" s="132" t="s">
        <v>71</v>
      </c>
      <c r="E64" s="133"/>
      <c r="F64" s="133"/>
      <c r="G64" s="133"/>
      <c r="H64" s="132" t="s">
        <v>110</v>
      </c>
      <c r="I64" s="132" t="s">
        <v>142</v>
      </c>
      <c r="J64" s="132">
        <v>100.0</v>
      </c>
      <c r="K64" s="132" t="s">
        <v>135</v>
      </c>
      <c r="L64" s="134"/>
      <c r="M64" s="132">
        <v>645.0</v>
      </c>
      <c r="N64" s="133"/>
      <c r="O64" s="133"/>
      <c r="P64" s="132" t="s">
        <v>270</v>
      </c>
    </row>
    <row r="65">
      <c r="A65" s="131" t="s">
        <v>390</v>
      </c>
      <c r="B65" s="132" t="s">
        <v>391</v>
      </c>
      <c r="C65" s="133"/>
      <c r="D65" s="132" t="s">
        <v>71</v>
      </c>
      <c r="E65" s="133"/>
      <c r="F65" s="133"/>
      <c r="G65" s="133"/>
      <c r="H65" s="132" t="s">
        <v>110</v>
      </c>
      <c r="I65" s="132" t="s">
        <v>142</v>
      </c>
      <c r="J65" s="132">
        <v>100.0</v>
      </c>
      <c r="K65" s="132" t="s">
        <v>135</v>
      </c>
      <c r="L65" s="134"/>
      <c r="M65" s="132">
        <v>642.5</v>
      </c>
      <c r="N65" s="133"/>
      <c r="O65" s="133"/>
      <c r="P65" s="132" t="s">
        <v>270</v>
      </c>
    </row>
    <row r="66">
      <c r="A66" s="131" t="s">
        <v>392</v>
      </c>
      <c r="B66" s="132" t="s">
        <v>393</v>
      </c>
      <c r="C66" s="133"/>
      <c r="D66" s="132" t="s">
        <v>71</v>
      </c>
      <c r="E66" s="133"/>
      <c r="F66" s="133"/>
      <c r="G66" s="133"/>
      <c r="H66" s="132" t="s">
        <v>110</v>
      </c>
      <c r="I66" s="132" t="s">
        <v>142</v>
      </c>
      <c r="J66" s="132">
        <v>82.5</v>
      </c>
      <c r="K66" s="132" t="s">
        <v>135</v>
      </c>
      <c r="L66" s="134"/>
      <c r="M66" s="132">
        <v>640.0</v>
      </c>
      <c r="N66" s="133"/>
      <c r="O66" s="134"/>
      <c r="P66" s="132" t="s">
        <v>270</v>
      </c>
    </row>
    <row r="67">
      <c r="A67" s="131" t="s">
        <v>301</v>
      </c>
      <c r="B67" s="132" t="s">
        <v>394</v>
      </c>
      <c r="C67" s="133"/>
      <c r="D67" s="132" t="s">
        <v>71</v>
      </c>
      <c r="E67" s="133"/>
      <c r="F67" s="133"/>
      <c r="G67" s="133"/>
      <c r="H67" s="132" t="s">
        <v>110</v>
      </c>
      <c r="I67" s="132" t="s">
        <v>142</v>
      </c>
      <c r="J67" s="132">
        <v>82.5</v>
      </c>
      <c r="K67" s="132" t="s">
        <v>135</v>
      </c>
      <c r="L67" s="134"/>
      <c r="M67" s="132">
        <v>640.0</v>
      </c>
      <c r="N67" s="133"/>
      <c r="O67" s="132" t="s">
        <v>266</v>
      </c>
      <c r="P67" s="132" t="s">
        <v>395</v>
      </c>
    </row>
    <row r="68">
      <c r="A68" s="131" t="s">
        <v>396</v>
      </c>
      <c r="B68" s="132" t="s">
        <v>397</v>
      </c>
      <c r="C68" s="133"/>
      <c r="D68" s="132" t="s">
        <v>71</v>
      </c>
      <c r="E68" s="133"/>
      <c r="F68" s="133"/>
      <c r="G68" s="133"/>
      <c r="H68" s="132" t="s">
        <v>110</v>
      </c>
      <c r="I68" s="132" t="s">
        <v>142</v>
      </c>
      <c r="J68" s="132">
        <v>90.0</v>
      </c>
      <c r="K68" s="132" t="s">
        <v>135</v>
      </c>
      <c r="L68" s="134"/>
      <c r="M68" s="132">
        <v>640.0</v>
      </c>
      <c r="N68" s="133"/>
      <c r="O68" s="134"/>
      <c r="P68" s="132" t="s">
        <v>270</v>
      </c>
    </row>
    <row r="69">
      <c r="A69" s="131" t="s">
        <v>398</v>
      </c>
      <c r="B69" s="132" t="s">
        <v>399</v>
      </c>
      <c r="C69" s="133"/>
      <c r="D69" s="132" t="s">
        <v>71</v>
      </c>
      <c r="E69" s="133"/>
      <c r="F69" s="133"/>
      <c r="G69" s="133"/>
      <c r="H69" s="132" t="s">
        <v>110</v>
      </c>
      <c r="I69" s="132" t="s">
        <v>142</v>
      </c>
      <c r="J69" s="132">
        <v>100.0</v>
      </c>
      <c r="K69" s="132" t="s">
        <v>135</v>
      </c>
      <c r="L69" s="134"/>
      <c r="M69" s="132">
        <v>637.5</v>
      </c>
      <c r="N69" s="133"/>
      <c r="O69" s="132" t="s">
        <v>266</v>
      </c>
      <c r="P69" s="132" t="s">
        <v>270</v>
      </c>
    </row>
    <row r="70">
      <c r="A70" s="131" t="s">
        <v>400</v>
      </c>
      <c r="B70" s="132" t="s">
        <v>401</v>
      </c>
      <c r="C70" s="133"/>
      <c r="D70" s="132" t="s">
        <v>71</v>
      </c>
      <c r="E70" s="133"/>
      <c r="F70" s="133"/>
      <c r="G70" s="133"/>
      <c r="H70" s="132" t="s">
        <v>110</v>
      </c>
      <c r="I70" s="132" t="s">
        <v>142</v>
      </c>
      <c r="J70" s="132">
        <v>100.0</v>
      </c>
      <c r="K70" s="132" t="s">
        <v>135</v>
      </c>
      <c r="L70" s="134"/>
      <c r="M70" s="132">
        <v>635.0</v>
      </c>
      <c r="N70" s="133"/>
      <c r="O70" s="134"/>
      <c r="P70" s="132" t="s">
        <v>267</v>
      </c>
    </row>
    <row r="71">
      <c r="A71" s="131" t="s">
        <v>402</v>
      </c>
      <c r="B71" s="132" t="s">
        <v>403</v>
      </c>
      <c r="C71" s="133"/>
      <c r="D71" s="132" t="s">
        <v>78</v>
      </c>
      <c r="E71" s="133"/>
      <c r="F71" s="133"/>
      <c r="G71" s="133"/>
      <c r="H71" s="132" t="s">
        <v>110</v>
      </c>
      <c r="I71" s="132" t="s">
        <v>142</v>
      </c>
      <c r="J71" s="132">
        <v>110.0</v>
      </c>
      <c r="K71" s="132" t="s">
        <v>135</v>
      </c>
      <c r="L71" s="134"/>
      <c r="M71" s="132">
        <v>632.5</v>
      </c>
      <c r="N71" s="133"/>
      <c r="O71" s="134"/>
      <c r="P71" s="132" t="s">
        <v>270</v>
      </c>
    </row>
    <row r="72">
      <c r="A72" s="131" t="s">
        <v>118</v>
      </c>
      <c r="B72" s="132" t="s">
        <v>117</v>
      </c>
      <c r="C72" s="133"/>
      <c r="D72" s="132" t="s">
        <v>71</v>
      </c>
      <c r="E72" s="133"/>
      <c r="F72" s="133"/>
      <c r="G72" s="133"/>
      <c r="H72" s="132" t="s">
        <v>110</v>
      </c>
      <c r="I72" s="132" t="s">
        <v>142</v>
      </c>
      <c r="J72" s="132">
        <v>100.0</v>
      </c>
      <c r="K72" s="132" t="s">
        <v>135</v>
      </c>
      <c r="L72" s="134"/>
      <c r="M72" s="132">
        <v>630.0</v>
      </c>
      <c r="N72" s="133"/>
      <c r="O72" s="132" t="s">
        <v>266</v>
      </c>
      <c r="P72" s="132" t="s">
        <v>404</v>
      </c>
    </row>
    <row r="73">
      <c r="A73" s="131" t="s">
        <v>405</v>
      </c>
      <c r="B73" s="132" t="s">
        <v>406</v>
      </c>
      <c r="C73" s="133"/>
      <c r="D73" s="132" t="s">
        <v>71</v>
      </c>
      <c r="E73" s="133"/>
      <c r="F73" s="133"/>
      <c r="G73" s="133"/>
      <c r="H73" s="132" t="s">
        <v>110</v>
      </c>
      <c r="I73" s="132" t="s">
        <v>142</v>
      </c>
      <c r="J73" s="132">
        <v>90.0</v>
      </c>
      <c r="K73" s="132" t="s">
        <v>135</v>
      </c>
      <c r="L73" s="134"/>
      <c r="M73" s="132">
        <v>630.0</v>
      </c>
      <c r="N73" s="133"/>
      <c r="O73" s="132"/>
      <c r="P73" s="132" t="s">
        <v>270</v>
      </c>
    </row>
    <row r="74">
      <c r="A74" s="131" t="s">
        <v>407</v>
      </c>
      <c r="B74" s="132" t="s">
        <v>408</v>
      </c>
      <c r="C74" s="133"/>
      <c r="D74" s="132" t="s">
        <v>78</v>
      </c>
      <c r="E74" s="133"/>
      <c r="F74" s="133"/>
      <c r="G74" s="133"/>
      <c r="H74" s="132" t="s">
        <v>110</v>
      </c>
      <c r="I74" s="132" t="s">
        <v>142</v>
      </c>
      <c r="J74" s="132">
        <v>125.0</v>
      </c>
      <c r="K74" s="132" t="s">
        <v>135</v>
      </c>
      <c r="L74" s="134"/>
      <c r="M74" s="132">
        <v>627.5</v>
      </c>
      <c r="N74" s="133"/>
      <c r="O74" s="132" t="s">
        <v>266</v>
      </c>
      <c r="P74" s="132" t="s">
        <v>270</v>
      </c>
    </row>
    <row r="75">
      <c r="A75" s="131" t="s">
        <v>409</v>
      </c>
      <c r="B75" s="132" t="s">
        <v>410</v>
      </c>
      <c r="C75" s="133"/>
      <c r="D75" s="132" t="s">
        <v>78</v>
      </c>
      <c r="E75" s="133"/>
      <c r="F75" s="133"/>
      <c r="G75" s="133"/>
      <c r="H75" s="132" t="s">
        <v>110</v>
      </c>
      <c r="I75" s="132" t="s">
        <v>142</v>
      </c>
      <c r="J75" s="132">
        <v>125.0</v>
      </c>
      <c r="K75" s="132" t="s">
        <v>135</v>
      </c>
      <c r="L75" s="134"/>
      <c r="M75" s="132">
        <v>625.0</v>
      </c>
      <c r="N75" s="133"/>
      <c r="O75" s="132" t="s">
        <v>266</v>
      </c>
      <c r="P75" s="132" t="s">
        <v>270</v>
      </c>
    </row>
    <row r="76">
      <c r="A76" s="131" t="s">
        <v>411</v>
      </c>
      <c r="B76" s="132" t="s">
        <v>336</v>
      </c>
      <c r="C76" s="133"/>
      <c r="D76" s="132" t="s">
        <v>71</v>
      </c>
      <c r="E76" s="133"/>
      <c r="F76" s="133"/>
      <c r="G76" s="133"/>
      <c r="H76" s="132" t="s">
        <v>110</v>
      </c>
      <c r="I76" s="132" t="s">
        <v>142</v>
      </c>
      <c r="J76" s="132">
        <v>90.0</v>
      </c>
      <c r="K76" s="132" t="s">
        <v>135</v>
      </c>
      <c r="L76" s="134"/>
      <c r="M76" s="132">
        <v>625.0</v>
      </c>
      <c r="N76" s="133"/>
      <c r="O76" s="134"/>
      <c r="P76" s="132" t="s">
        <v>270</v>
      </c>
    </row>
    <row r="77">
      <c r="A77" s="131" t="s">
        <v>412</v>
      </c>
      <c r="B77" s="132" t="s">
        <v>413</v>
      </c>
      <c r="C77" s="133"/>
      <c r="D77" s="132" t="s">
        <v>71</v>
      </c>
      <c r="E77" s="133"/>
      <c r="F77" s="133"/>
      <c r="G77" s="133"/>
      <c r="H77" s="132" t="s">
        <v>110</v>
      </c>
      <c r="I77" s="132" t="s">
        <v>142</v>
      </c>
      <c r="J77" s="132">
        <v>82.5</v>
      </c>
      <c r="K77" s="132" t="s">
        <v>135</v>
      </c>
      <c r="L77" s="134"/>
      <c r="M77" s="132">
        <v>625.0</v>
      </c>
      <c r="N77" s="133"/>
      <c r="O77" s="132"/>
      <c r="P77" s="132" t="s">
        <v>270</v>
      </c>
    </row>
    <row r="78">
      <c r="A78" s="131" t="s">
        <v>414</v>
      </c>
      <c r="B78" s="132" t="s">
        <v>415</v>
      </c>
      <c r="C78" s="133"/>
      <c r="D78" s="132" t="s">
        <v>64</v>
      </c>
      <c r="E78" s="133"/>
      <c r="F78" s="133"/>
      <c r="G78" s="133"/>
      <c r="H78" s="132" t="s">
        <v>110</v>
      </c>
      <c r="I78" s="132" t="s">
        <v>142</v>
      </c>
      <c r="J78" s="132">
        <v>75.0</v>
      </c>
      <c r="K78" s="132" t="s">
        <v>135</v>
      </c>
      <c r="L78" s="134"/>
      <c r="M78" s="132">
        <v>617.5</v>
      </c>
      <c r="N78" s="133"/>
      <c r="O78" s="132" t="s">
        <v>266</v>
      </c>
      <c r="P78" s="132" t="s">
        <v>283</v>
      </c>
    </row>
    <row r="79">
      <c r="A79" s="131" t="s">
        <v>416</v>
      </c>
      <c r="B79" s="132" t="s">
        <v>417</v>
      </c>
      <c r="C79" s="133"/>
      <c r="D79" s="132" t="s">
        <v>71</v>
      </c>
      <c r="E79" s="133"/>
      <c r="F79" s="133"/>
      <c r="G79" s="133"/>
      <c r="H79" s="132" t="s">
        <v>110</v>
      </c>
      <c r="I79" s="132" t="s">
        <v>142</v>
      </c>
      <c r="J79" s="132">
        <v>82.5</v>
      </c>
      <c r="K79" s="132" t="s">
        <v>135</v>
      </c>
      <c r="L79" s="134"/>
      <c r="M79" s="132">
        <v>615.0</v>
      </c>
      <c r="N79" s="133"/>
      <c r="O79" s="133"/>
      <c r="P79" s="132" t="s">
        <v>270</v>
      </c>
    </row>
    <row r="80">
      <c r="A80" s="131" t="s">
        <v>112</v>
      </c>
      <c r="B80" s="132" t="s">
        <v>111</v>
      </c>
      <c r="C80" s="133"/>
      <c r="D80" s="132" t="s">
        <v>71</v>
      </c>
      <c r="E80" s="133"/>
      <c r="F80" s="133"/>
      <c r="G80" s="133"/>
      <c r="H80" s="132" t="s">
        <v>110</v>
      </c>
      <c r="I80" s="132" t="s">
        <v>142</v>
      </c>
      <c r="J80" s="132">
        <v>90.0</v>
      </c>
      <c r="K80" s="132" t="s">
        <v>135</v>
      </c>
      <c r="L80" s="134"/>
      <c r="M80" s="132">
        <v>615.0</v>
      </c>
      <c r="N80" s="133"/>
      <c r="O80" s="132" t="s">
        <v>266</v>
      </c>
      <c r="P80" s="132" t="s">
        <v>341</v>
      </c>
    </row>
    <row r="81">
      <c r="A81" s="131" t="s">
        <v>418</v>
      </c>
      <c r="B81" s="132" t="s">
        <v>419</v>
      </c>
      <c r="C81" s="133"/>
      <c r="D81" s="132" t="s">
        <v>307</v>
      </c>
      <c r="E81" s="133"/>
      <c r="F81" s="133"/>
      <c r="G81" s="133"/>
      <c r="H81" s="132" t="s">
        <v>110</v>
      </c>
      <c r="I81" s="132" t="s">
        <v>142</v>
      </c>
      <c r="J81" s="132">
        <v>67.5</v>
      </c>
      <c r="K81" s="132" t="s">
        <v>135</v>
      </c>
      <c r="L81" s="134"/>
      <c r="M81" s="132">
        <v>615.0</v>
      </c>
      <c r="N81" s="133"/>
      <c r="O81" s="132"/>
      <c r="P81" s="132" t="s">
        <v>270</v>
      </c>
    </row>
    <row r="82">
      <c r="A82" s="131" t="s">
        <v>420</v>
      </c>
      <c r="B82" s="132" t="s">
        <v>421</v>
      </c>
      <c r="C82" s="133"/>
      <c r="D82" s="132" t="s">
        <v>71</v>
      </c>
      <c r="E82" s="133"/>
      <c r="F82" s="133"/>
      <c r="G82" s="133"/>
      <c r="H82" s="132" t="s">
        <v>110</v>
      </c>
      <c r="I82" s="132" t="s">
        <v>142</v>
      </c>
      <c r="J82" s="132">
        <v>100.0</v>
      </c>
      <c r="K82" s="132" t="s">
        <v>135</v>
      </c>
      <c r="L82" s="134"/>
      <c r="M82" s="132">
        <v>615.0</v>
      </c>
      <c r="N82" s="133"/>
      <c r="O82" s="132" t="s">
        <v>266</v>
      </c>
      <c r="P82" s="132" t="s">
        <v>270</v>
      </c>
    </row>
    <row r="83">
      <c r="A83" s="131" t="s">
        <v>422</v>
      </c>
      <c r="B83" s="132" t="s">
        <v>423</v>
      </c>
      <c r="C83" s="133"/>
      <c r="D83" s="132" t="s">
        <v>71</v>
      </c>
      <c r="E83" s="133"/>
      <c r="F83" s="133"/>
      <c r="G83" s="133"/>
      <c r="H83" s="132" t="s">
        <v>110</v>
      </c>
      <c r="I83" s="132" t="s">
        <v>142</v>
      </c>
      <c r="J83" s="132">
        <v>90.0</v>
      </c>
      <c r="K83" s="132" t="s">
        <v>135</v>
      </c>
      <c r="L83" s="134"/>
      <c r="M83" s="132">
        <v>615.0</v>
      </c>
      <c r="N83" s="133"/>
      <c r="O83" s="132"/>
      <c r="P83" s="132" t="s">
        <v>270</v>
      </c>
    </row>
    <row r="84">
      <c r="A84" s="131" t="s">
        <v>424</v>
      </c>
      <c r="B84" s="132" t="s">
        <v>425</v>
      </c>
      <c r="C84" s="133"/>
      <c r="D84" s="132" t="s">
        <v>71</v>
      </c>
      <c r="E84" s="133"/>
      <c r="F84" s="133"/>
      <c r="G84" s="133"/>
      <c r="H84" s="132" t="s">
        <v>110</v>
      </c>
      <c r="I84" s="132" t="s">
        <v>142</v>
      </c>
      <c r="J84" s="132">
        <v>82.5</v>
      </c>
      <c r="K84" s="132" t="s">
        <v>135</v>
      </c>
      <c r="L84" s="134"/>
      <c r="M84" s="132">
        <v>612.5</v>
      </c>
      <c r="N84" s="133"/>
      <c r="O84" s="133"/>
      <c r="P84" s="132" t="s">
        <v>270</v>
      </c>
    </row>
    <row r="85">
      <c r="A85" s="131" t="s">
        <v>426</v>
      </c>
      <c r="B85" s="132" t="s">
        <v>427</v>
      </c>
      <c r="C85" s="133"/>
      <c r="D85" s="132" t="s">
        <v>71</v>
      </c>
      <c r="E85" s="133"/>
      <c r="F85" s="133"/>
      <c r="G85" s="133"/>
      <c r="H85" s="132" t="s">
        <v>110</v>
      </c>
      <c r="I85" s="132" t="s">
        <v>142</v>
      </c>
      <c r="J85" s="132">
        <v>82.5</v>
      </c>
      <c r="K85" s="132" t="s">
        <v>135</v>
      </c>
      <c r="L85" s="134"/>
      <c r="M85" s="132">
        <v>612.5</v>
      </c>
      <c r="N85" s="133"/>
      <c r="O85" s="133"/>
      <c r="P85" s="132" t="s">
        <v>270</v>
      </c>
    </row>
    <row r="86">
      <c r="A86" s="131" t="s">
        <v>428</v>
      </c>
      <c r="B86" s="132" t="s">
        <v>429</v>
      </c>
      <c r="C86" s="133"/>
      <c r="D86" s="132" t="s">
        <v>71</v>
      </c>
      <c r="E86" s="133"/>
      <c r="F86" s="133"/>
      <c r="G86" s="133"/>
      <c r="H86" s="132" t="s">
        <v>110</v>
      </c>
      <c r="I86" s="132" t="s">
        <v>142</v>
      </c>
      <c r="J86" s="132">
        <v>100.0</v>
      </c>
      <c r="K86" s="132" t="s">
        <v>135</v>
      </c>
      <c r="L86" s="134"/>
      <c r="M86" s="132">
        <v>612.5</v>
      </c>
      <c r="N86" s="133"/>
      <c r="O86" s="132" t="s">
        <v>266</v>
      </c>
      <c r="P86" s="132" t="s">
        <v>430</v>
      </c>
    </row>
    <row r="87">
      <c r="A87" s="131" t="s">
        <v>431</v>
      </c>
      <c r="B87" s="132" t="s">
        <v>309</v>
      </c>
      <c r="C87" s="133"/>
      <c r="D87" s="132" t="s">
        <v>71</v>
      </c>
      <c r="E87" s="133"/>
      <c r="F87" s="133"/>
      <c r="G87" s="133"/>
      <c r="H87" s="132" t="s">
        <v>110</v>
      </c>
      <c r="I87" s="132" t="s">
        <v>142</v>
      </c>
      <c r="J87" s="132">
        <v>100.0</v>
      </c>
      <c r="K87" s="132" t="s">
        <v>135</v>
      </c>
      <c r="L87" s="134"/>
      <c r="M87" s="132">
        <v>610.0</v>
      </c>
      <c r="N87" s="133"/>
      <c r="O87" s="132" t="s">
        <v>266</v>
      </c>
      <c r="P87" s="132" t="s">
        <v>432</v>
      </c>
    </row>
    <row r="88">
      <c r="A88" s="131" t="s">
        <v>370</v>
      </c>
      <c r="B88" s="132" t="s">
        <v>433</v>
      </c>
      <c r="C88" s="133"/>
      <c r="D88" s="132" t="s">
        <v>307</v>
      </c>
      <c r="E88" s="133"/>
      <c r="F88" s="133"/>
      <c r="G88" s="133"/>
      <c r="H88" s="132" t="s">
        <v>110</v>
      </c>
      <c r="I88" s="132" t="s">
        <v>142</v>
      </c>
      <c r="J88" s="132">
        <v>60.0</v>
      </c>
      <c r="K88" s="132" t="s">
        <v>135</v>
      </c>
      <c r="L88" s="134"/>
      <c r="M88" s="132">
        <v>607.5</v>
      </c>
      <c r="N88" s="133"/>
      <c r="O88" s="132" t="s">
        <v>266</v>
      </c>
      <c r="P88" s="132" t="s">
        <v>283</v>
      </c>
    </row>
    <row r="89">
      <c r="A89" s="131" t="s">
        <v>434</v>
      </c>
      <c r="B89" s="132" t="s">
        <v>435</v>
      </c>
      <c r="C89" s="133"/>
      <c r="D89" s="132" t="s">
        <v>71</v>
      </c>
      <c r="E89" s="133"/>
      <c r="F89" s="133"/>
      <c r="G89" s="133"/>
      <c r="H89" s="132" t="s">
        <v>110</v>
      </c>
      <c r="I89" s="132" t="s">
        <v>142</v>
      </c>
      <c r="J89" s="132">
        <v>82.5</v>
      </c>
      <c r="K89" s="132" t="s">
        <v>135</v>
      </c>
      <c r="L89" s="134"/>
      <c r="M89" s="132">
        <v>607.5</v>
      </c>
      <c r="N89" s="133"/>
      <c r="O89" s="132"/>
      <c r="P89" s="132" t="s">
        <v>267</v>
      </c>
    </row>
    <row r="90">
      <c r="A90" s="131" t="s">
        <v>436</v>
      </c>
      <c r="B90" s="132" t="s">
        <v>437</v>
      </c>
      <c r="C90" s="133"/>
      <c r="D90" s="132" t="s">
        <v>64</v>
      </c>
      <c r="E90" s="133"/>
      <c r="F90" s="133"/>
      <c r="G90" s="133"/>
      <c r="H90" s="132" t="s">
        <v>110</v>
      </c>
      <c r="I90" s="132" t="s">
        <v>142</v>
      </c>
      <c r="J90" s="132">
        <v>75.0</v>
      </c>
      <c r="K90" s="132" t="s">
        <v>135</v>
      </c>
      <c r="L90" s="134"/>
      <c r="M90" s="132">
        <v>607.5</v>
      </c>
      <c r="N90" s="133"/>
      <c r="O90" s="132" t="s">
        <v>266</v>
      </c>
      <c r="P90" s="132" t="s">
        <v>270</v>
      </c>
    </row>
    <row r="91">
      <c r="A91" s="131" t="s">
        <v>438</v>
      </c>
      <c r="B91" s="132" t="s">
        <v>369</v>
      </c>
      <c r="C91" s="133"/>
      <c r="D91" s="132" t="s">
        <v>71</v>
      </c>
      <c r="E91" s="133"/>
      <c r="F91" s="133"/>
      <c r="G91" s="133"/>
      <c r="H91" s="132" t="s">
        <v>110</v>
      </c>
      <c r="I91" s="132" t="s">
        <v>142</v>
      </c>
      <c r="J91" s="132">
        <v>100.0</v>
      </c>
      <c r="K91" s="132" t="s">
        <v>135</v>
      </c>
      <c r="L91" s="134"/>
      <c r="M91" s="132">
        <v>600.0</v>
      </c>
      <c r="N91" s="133"/>
      <c r="O91" s="132" t="s">
        <v>266</v>
      </c>
      <c r="P91" s="132" t="s">
        <v>270</v>
      </c>
    </row>
    <row r="92">
      <c r="A92" s="131" t="s">
        <v>439</v>
      </c>
      <c r="B92" s="132" t="s">
        <v>326</v>
      </c>
      <c r="C92" s="133"/>
      <c r="D92" s="132" t="s">
        <v>78</v>
      </c>
      <c r="E92" s="133"/>
      <c r="F92" s="133"/>
      <c r="G92" s="133"/>
      <c r="H92" s="132" t="s">
        <v>110</v>
      </c>
      <c r="I92" s="132" t="s">
        <v>142</v>
      </c>
      <c r="J92" s="132">
        <v>125.0</v>
      </c>
      <c r="K92" s="132" t="s">
        <v>135</v>
      </c>
      <c r="L92" s="134"/>
      <c r="M92" s="132">
        <v>600.0</v>
      </c>
      <c r="N92" s="133"/>
      <c r="O92" s="132" t="s">
        <v>266</v>
      </c>
      <c r="P92" s="132" t="s">
        <v>270</v>
      </c>
    </row>
    <row r="93">
      <c r="A93" s="131" t="s">
        <v>440</v>
      </c>
      <c r="B93" s="132" t="s">
        <v>326</v>
      </c>
      <c r="C93" s="133"/>
      <c r="D93" s="132" t="s">
        <v>71</v>
      </c>
      <c r="E93" s="133"/>
      <c r="F93" s="133"/>
      <c r="G93" s="133"/>
      <c r="H93" s="132" t="s">
        <v>110</v>
      </c>
      <c r="I93" s="132" t="s">
        <v>142</v>
      </c>
      <c r="J93" s="132">
        <v>90.0</v>
      </c>
      <c r="K93" s="132" t="s">
        <v>135</v>
      </c>
      <c r="L93" s="134"/>
      <c r="M93" s="132">
        <v>595.0</v>
      </c>
      <c r="N93" s="133"/>
      <c r="O93" s="132" t="s">
        <v>266</v>
      </c>
      <c r="P93" s="132" t="s">
        <v>404</v>
      </c>
    </row>
    <row r="94">
      <c r="A94" s="131" t="s">
        <v>441</v>
      </c>
      <c r="B94" s="132" t="s">
        <v>442</v>
      </c>
      <c r="C94" s="133"/>
      <c r="D94" s="132" t="s">
        <v>64</v>
      </c>
      <c r="E94" s="133"/>
      <c r="F94" s="133"/>
      <c r="G94" s="133"/>
      <c r="H94" s="132" t="s">
        <v>110</v>
      </c>
      <c r="I94" s="132" t="s">
        <v>142</v>
      </c>
      <c r="J94" s="132">
        <v>75.0</v>
      </c>
      <c r="K94" s="132" t="s">
        <v>135</v>
      </c>
      <c r="L94" s="134"/>
      <c r="M94" s="132">
        <v>592.5</v>
      </c>
      <c r="N94" s="133"/>
      <c r="O94" s="134"/>
      <c r="P94" s="132" t="s">
        <v>270</v>
      </c>
    </row>
    <row r="95">
      <c r="A95" s="131" t="s">
        <v>443</v>
      </c>
      <c r="B95" s="132" t="s">
        <v>394</v>
      </c>
      <c r="C95" s="133"/>
      <c r="D95" s="132" t="s">
        <v>71</v>
      </c>
      <c r="E95" s="133"/>
      <c r="F95" s="133"/>
      <c r="G95" s="133"/>
      <c r="H95" s="132" t="s">
        <v>110</v>
      </c>
      <c r="I95" s="132" t="s">
        <v>142</v>
      </c>
      <c r="J95" s="132">
        <v>82.5</v>
      </c>
      <c r="K95" s="132" t="s">
        <v>135</v>
      </c>
      <c r="L95" s="134"/>
      <c r="M95" s="132">
        <v>592.5</v>
      </c>
      <c r="N95" s="133"/>
      <c r="O95" s="132" t="s">
        <v>266</v>
      </c>
      <c r="P95" s="132" t="s">
        <v>316</v>
      </c>
    </row>
    <row r="96">
      <c r="A96" s="131" t="s">
        <v>109</v>
      </c>
      <c r="B96" s="132" t="s">
        <v>108</v>
      </c>
      <c r="C96" s="133"/>
      <c r="D96" s="132" t="s">
        <v>71</v>
      </c>
      <c r="E96" s="133"/>
      <c r="F96" s="133"/>
      <c r="G96" s="133"/>
      <c r="H96" s="132" t="s">
        <v>110</v>
      </c>
      <c r="I96" s="132" t="s">
        <v>142</v>
      </c>
      <c r="J96" s="132">
        <v>82.5</v>
      </c>
      <c r="K96" s="132" t="s">
        <v>135</v>
      </c>
      <c r="L96" s="134"/>
      <c r="M96" s="132">
        <v>582.5</v>
      </c>
      <c r="N96" s="133"/>
      <c r="O96" s="132" t="s">
        <v>266</v>
      </c>
      <c r="P96" s="132" t="s">
        <v>444</v>
      </c>
    </row>
    <row r="97">
      <c r="A97" s="131" t="s">
        <v>445</v>
      </c>
      <c r="B97" s="132" t="s">
        <v>446</v>
      </c>
      <c r="C97" s="133"/>
      <c r="D97" s="132" t="s">
        <v>71</v>
      </c>
      <c r="E97" s="133"/>
      <c r="F97" s="133"/>
      <c r="G97" s="133"/>
      <c r="H97" s="132" t="s">
        <v>110</v>
      </c>
      <c r="I97" s="132" t="s">
        <v>142</v>
      </c>
      <c r="J97" s="132">
        <v>90.0</v>
      </c>
      <c r="K97" s="132" t="s">
        <v>135</v>
      </c>
      <c r="L97" s="134"/>
      <c r="M97" s="132">
        <v>575.0</v>
      </c>
      <c r="N97" s="133"/>
      <c r="O97" s="134"/>
      <c r="P97" s="132" t="s">
        <v>267</v>
      </c>
    </row>
    <row r="98">
      <c r="A98" s="131" t="s">
        <v>447</v>
      </c>
      <c r="B98" s="132" t="s">
        <v>448</v>
      </c>
      <c r="C98" s="133"/>
      <c r="D98" s="132" t="s">
        <v>78</v>
      </c>
      <c r="E98" s="133"/>
      <c r="F98" s="133"/>
      <c r="G98" s="133"/>
      <c r="H98" s="132" t="s">
        <v>110</v>
      </c>
      <c r="I98" s="132" t="s">
        <v>142</v>
      </c>
      <c r="J98" s="132">
        <v>110.0</v>
      </c>
      <c r="K98" s="132" t="s">
        <v>135</v>
      </c>
      <c r="L98" s="134"/>
      <c r="M98" s="132">
        <v>572.5</v>
      </c>
      <c r="N98" s="133"/>
      <c r="O98" s="132"/>
      <c r="P98" s="132" t="s">
        <v>270</v>
      </c>
    </row>
    <row r="99">
      <c r="A99" s="131" t="s">
        <v>449</v>
      </c>
      <c r="B99" s="132" t="s">
        <v>326</v>
      </c>
      <c r="C99" s="133"/>
      <c r="D99" s="132" t="s">
        <v>307</v>
      </c>
      <c r="E99" s="133"/>
      <c r="F99" s="133"/>
      <c r="G99" s="133"/>
      <c r="H99" s="132" t="s">
        <v>110</v>
      </c>
      <c r="I99" s="132" t="s">
        <v>142</v>
      </c>
      <c r="J99" s="132">
        <v>67.5</v>
      </c>
      <c r="K99" s="132" t="s">
        <v>135</v>
      </c>
      <c r="L99" s="134"/>
      <c r="M99" s="132">
        <v>572.5</v>
      </c>
      <c r="N99" s="133"/>
      <c r="O99" s="132" t="s">
        <v>266</v>
      </c>
      <c r="P99" s="132" t="s">
        <v>270</v>
      </c>
    </row>
    <row r="100">
      <c r="A100" s="131" t="s">
        <v>450</v>
      </c>
      <c r="B100" s="132" t="s">
        <v>451</v>
      </c>
      <c r="C100" s="133"/>
      <c r="D100" s="132" t="s">
        <v>307</v>
      </c>
      <c r="E100" s="133"/>
      <c r="F100" s="133"/>
      <c r="G100" s="133"/>
      <c r="H100" s="132" t="s">
        <v>110</v>
      </c>
      <c r="I100" s="132" t="s">
        <v>142</v>
      </c>
      <c r="J100" s="132">
        <v>67.5</v>
      </c>
      <c r="K100" s="132" t="s">
        <v>135</v>
      </c>
      <c r="L100" s="134"/>
      <c r="M100" s="132">
        <v>570.0</v>
      </c>
      <c r="N100" s="133"/>
      <c r="O100" s="132" t="s">
        <v>266</v>
      </c>
      <c r="P100" s="132" t="s">
        <v>270</v>
      </c>
    </row>
    <row r="101">
      <c r="A101" s="131" t="s">
        <v>452</v>
      </c>
      <c r="B101" s="132" t="s">
        <v>453</v>
      </c>
      <c r="C101" s="133"/>
      <c r="D101" s="132" t="s">
        <v>64</v>
      </c>
      <c r="E101" s="133"/>
      <c r="F101" s="133"/>
      <c r="G101" s="133"/>
      <c r="H101" s="132" t="s">
        <v>110</v>
      </c>
      <c r="I101" s="132" t="s">
        <v>142</v>
      </c>
      <c r="J101" s="132">
        <v>75.0</v>
      </c>
      <c r="K101" s="132" t="s">
        <v>135</v>
      </c>
      <c r="L101" s="134"/>
      <c r="M101" s="132">
        <v>565.0</v>
      </c>
      <c r="N101" s="133"/>
      <c r="O101" s="134"/>
      <c r="P101" s="132" t="s">
        <v>270</v>
      </c>
    </row>
    <row r="102">
      <c r="A102" s="131" t="s">
        <v>454</v>
      </c>
      <c r="B102" s="132" t="s">
        <v>371</v>
      </c>
      <c r="C102" s="133"/>
      <c r="D102" s="132" t="s">
        <v>71</v>
      </c>
      <c r="E102" s="133"/>
      <c r="F102" s="133"/>
      <c r="G102" s="133"/>
      <c r="H102" s="132" t="s">
        <v>110</v>
      </c>
      <c r="I102" s="132" t="s">
        <v>142</v>
      </c>
      <c r="J102" s="132">
        <v>82.5</v>
      </c>
      <c r="K102" s="132" t="s">
        <v>135</v>
      </c>
      <c r="L102" s="134"/>
      <c r="M102" s="132">
        <v>562.5</v>
      </c>
      <c r="N102" s="133"/>
      <c r="O102" s="132" t="s">
        <v>266</v>
      </c>
      <c r="P102" s="132" t="s">
        <v>267</v>
      </c>
    </row>
    <row r="103">
      <c r="A103" s="131" t="s">
        <v>455</v>
      </c>
      <c r="B103" s="132" t="s">
        <v>117</v>
      </c>
      <c r="C103" s="133"/>
      <c r="D103" s="132" t="s">
        <v>64</v>
      </c>
      <c r="E103" s="133"/>
      <c r="F103" s="133"/>
      <c r="G103" s="133"/>
      <c r="H103" s="132" t="s">
        <v>110</v>
      </c>
      <c r="I103" s="132" t="s">
        <v>142</v>
      </c>
      <c r="J103" s="132">
        <v>75.0</v>
      </c>
      <c r="K103" s="132" t="s">
        <v>135</v>
      </c>
      <c r="L103" s="134"/>
      <c r="M103" s="132">
        <v>560.0</v>
      </c>
      <c r="N103" s="133"/>
      <c r="O103" s="134"/>
      <c r="P103" s="132" t="s">
        <v>267</v>
      </c>
    </row>
    <row r="104">
      <c r="A104" s="131" t="s">
        <v>456</v>
      </c>
      <c r="B104" s="132" t="s">
        <v>457</v>
      </c>
      <c r="C104" s="133"/>
      <c r="D104" s="132" t="s">
        <v>64</v>
      </c>
      <c r="E104" s="133"/>
      <c r="F104" s="133"/>
      <c r="G104" s="133"/>
      <c r="H104" s="132" t="s">
        <v>110</v>
      </c>
      <c r="I104" s="132" t="s">
        <v>142</v>
      </c>
      <c r="J104" s="132">
        <v>75.0</v>
      </c>
      <c r="K104" s="132" t="s">
        <v>135</v>
      </c>
      <c r="L104" s="134"/>
      <c r="M104" s="132">
        <v>560.0</v>
      </c>
      <c r="N104" s="133"/>
      <c r="O104" s="134"/>
      <c r="P104" s="132" t="s">
        <v>270</v>
      </c>
    </row>
    <row r="105">
      <c r="A105" s="131" t="s">
        <v>458</v>
      </c>
      <c r="B105" s="132" t="s">
        <v>459</v>
      </c>
      <c r="C105" s="133"/>
      <c r="D105" s="132" t="s">
        <v>78</v>
      </c>
      <c r="E105" s="133"/>
      <c r="F105" s="133"/>
      <c r="G105" s="133"/>
      <c r="H105" s="132" t="s">
        <v>147</v>
      </c>
      <c r="I105" s="132" t="s">
        <v>142</v>
      </c>
      <c r="J105" s="132">
        <v>82.5</v>
      </c>
      <c r="K105" s="132" t="s">
        <v>135</v>
      </c>
      <c r="L105" s="134"/>
      <c r="M105" s="132">
        <v>550.5</v>
      </c>
      <c r="N105" s="133"/>
      <c r="O105" s="132" t="s">
        <v>266</v>
      </c>
      <c r="P105" s="132" t="s">
        <v>395</v>
      </c>
    </row>
    <row r="106">
      <c r="A106" s="131" t="s">
        <v>460</v>
      </c>
      <c r="B106" s="132" t="s">
        <v>394</v>
      </c>
      <c r="C106" s="133"/>
      <c r="D106" s="132" t="s">
        <v>71</v>
      </c>
      <c r="E106" s="133"/>
      <c r="F106" s="133"/>
      <c r="G106" s="133"/>
      <c r="H106" s="132" t="s">
        <v>110</v>
      </c>
      <c r="I106" s="132" t="s">
        <v>142</v>
      </c>
      <c r="J106" s="132">
        <v>90.0</v>
      </c>
      <c r="K106" s="132" t="s">
        <v>135</v>
      </c>
      <c r="L106" s="134"/>
      <c r="M106" s="132">
        <v>550.0</v>
      </c>
      <c r="N106" s="133"/>
      <c r="O106" s="134"/>
      <c r="P106" s="132" t="s">
        <v>340</v>
      </c>
    </row>
    <row r="107">
      <c r="A107" s="131" t="s">
        <v>461</v>
      </c>
      <c r="B107" s="132" t="s">
        <v>462</v>
      </c>
      <c r="C107" s="133"/>
      <c r="D107" s="132" t="s">
        <v>71</v>
      </c>
      <c r="E107" s="133"/>
      <c r="F107" s="133"/>
      <c r="G107" s="133"/>
      <c r="H107" s="132" t="s">
        <v>110</v>
      </c>
      <c r="I107" s="132" t="s">
        <v>142</v>
      </c>
      <c r="J107" s="132">
        <v>90.0</v>
      </c>
      <c r="K107" s="132" t="s">
        <v>135</v>
      </c>
      <c r="L107" s="134"/>
      <c r="M107" s="132">
        <v>545.0</v>
      </c>
      <c r="N107" s="133"/>
      <c r="O107" s="132" t="s">
        <v>266</v>
      </c>
      <c r="P107" s="132" t="s">
        <v>380</v>
      </c>
    </row>
    <row r="108">
      <c r="A108" s="131" t="s">
        <v>447</v>
      </c>
      <c r="B108" s="132" t="s">
        <v>463</v>
      </c>
      <c r="C108" s="133"/>
      <c r="D108" s="132" t="s">
        <v>307</v>
      </c>
      <c r="E108" s="133"/>
      <c r="F108" s="133"/>
      <c r="G108" s="133"/>
      <c r="H108" s="132" t="s">
        <v>110</v>
      </c>
      <c r="I108" s="132" t="s">
        <v>142</v>
      </c>
      <c r="J108" s="132">
        <v>67.5</v>
      </c>
      <c r="K108" s="132" t="s">
        <v>135</v>
      </c>
      <c r="L108" s="134"/>
      <c r="M108" s="132">
        <v>542.5</v>
      </c>
      <c r="N108" s="133"/>
      <c r="O108" s="134"/>
      <c r="P108" s="132" t="s">
        <v>270</v>
      </c>
    </row>
    <row r="109">
      <c r="A109" s="131" t="s">
        <v>464</v>
      </c>
      <c r="B109" s="132" t="s">
        <v>465</v>
      </c>
      <c r="C109" s="133"/>
      <c r="D109" s="132" t="s">
        <v>64</v>
      </c>
      <c r="E109" s="133"/>
      <c r="F109" s="133"/>
      <c r="G109" s="133"/>
      <c r="H109" s="132" t="s">
        <v>110</v>
      </c>
      <c r="I109" s="132" t="s">
        <v>142</v>
      </c>
      <c r="J109" s="132">
        <v>75.0</v>
      </c>
      <c r="K109" s="132" t="s">
        <v>135</v>
      </c>
      <c r="L109" s="134"/>
      <c r="M109" s="132">
        <v>540.0</v>
      </c>
      <c r="N109" s="133"/>
      <c r="O109" s="132" t="s">
        <v>266</v>
      </c>
      <c r="P109" s="132" t="s">
        <v>316</v>
      </c>
    </row>
    <row r="110">
      <c r="A110" s="131" t="s">
        <v>466</v>
      </c>
      <c r="B110" s="132" t="s">
        <v>366</v>
      </c>
      <c r="C110" s="133"/>
      <c r="D110" s="132" t="s">
        <v>307</v>
      </c>
      <c r="E110" s="133"/>
      <c r="F110" s="133"/>
      <c r="G110" s="133"/>
      <c r="H110" s="132" t="s">
        <v>110</v>
      </c>
      <c r="I110" s="132" t="s">
        <v>142</v>
      </c>
      <c r="J110" s="132">
        <v>67.5</v>
      </c>
      <c r="K110" s="132" t="s">
        <v>135</v>
      </c>
      <c r="L110" s="134"/>
      <c r="M110" s="132">
        <v>540.0</v>
      </c>
      <c r="N110" s="133"/>
      <c r="O110" s="132"/>
      <c r="P110" s="132" t="s">
        <v>267</v>
      </c>
    </row>
    <row r="111">
      <c r="A111" s="131" t="s">
        <v>467</v>
      </c>
      <c r="B111" s="132" t="s">
        <v>468</v>
      </c>
      <c r="C111" s="133"/>
      <c r="D111" s="132" t="s">
        <v>78</v>
      </c>
      <c r="E111" s="133"/>
      <c r="F111" s="133"/>
      <c r="G111" s="133"/>
      <c r="H111" s="132" t="s">
        <v>147</v>
      </c>
      <c r="I111" s="132" t="s">
        <v>142</v>
      </c>
      <c r="J111" s="132">
        <v>90.0</v>
      </c>
      <c r="K111" s="132" t="s">
        <v>135</v>
      </c>
      <c r="L111" s="134"/>
      <c r="M111" s="132">
        <v>535.0</v>
      </c>
      <c r="N111" s="132"/>
      <c r="O111" s="132" t="s">
        <v>266</v>
      </c>
      <c r="P111" s="132" t="s">
        <v>270</v>
      </c>
    </row>
    <row r="112">
      <c r="A112" s="131" t="s">
        <v>469</v>
      </c>
      <c r="B112" s="132" t="s">
        <v>470</v>
      </c>
      <c r="C112" s="133"/>
      <c r="D112" s="132" t="s">
        <v>78</v>
      </c>
      <c r="E112" s="133"/>
      <c r="F112" s="133"/>
      <c r="G112" s="133"/>
      <c r="H112" s="132" t="s">
        <v>147</v>
      </c>
      <c r="I112" s="132" t="s">
        <v>142</v>
      </c>
      <c r="J112" s="132">
        <v>100.0</v>
      </c>
      <c r="K112" s="132" t="s">
        <v>135</v>
      </c>
      <c r="L112" s="134"/>
      <c r="M112" s="132">
        <v>530.0</v>
      </c>
      <c r="N112" s="133"/>
      <c r="O112" s="132" t="s">
        <v>266</v>
      </c>
      <c r="P112" s="132" t="s">
        <v>267</v>
      </c>
    </row>
    <row r="113">
      <c r="A113" s="131" t="s">
        <v>471</v>
      </c>
      <c r="B113" s="132" t="s">
        <v>472</v>
      </c>
      <c r="C113" s="133"/>
      <c r="D113" s="132" t="s">
        <v>78</v>
      </c>
      <c r="E113" s="133"/>
      <c r="F113" s="133"/>
      <c r="G113" s="133"/>
      <c r="H113" s="132" t="s">
        <v>147</v>
      </c>
      <c r="I113" s="132" t="s">
        <v>142</v>
      </c>
      <c r="J113" s="132" t="s">
        <v>387</v>
      </c>
      <c r="K113" s="132" t="s">
        <v>135</v>
      </c>
      <c r="L113" s="134"/>
      <c r="M113" s="132">
        <v>530.0</v>
      </c>
      <c r="N113" s="133"/>
      <c r="O113" s="132" t="s">
        <v>266</v>
      </c>
      <c r="P113" s="132" t="s">
        <v>270</v>
      </c>
    </row>
    <row r="114">
      <c r="A114" s="131" t="s">
        <v>289</v>
      </c>
      <c r="B114" s="132" t="s">
        <v>473</v>
      </c>
      <c r="C114" s="133"/>
      <c r="D114" s="132" t="s">
        <v>71</v>
      </c>
      <c r="E114" s="133"/>
      <c r="F114" s="133"/>
      <c r="G114" s="133"/>
      <c r="H114" s="132" t="s">
        <v>110</v>
      </c>
      <c r="I114" s="132" t="s">
        <v>142</v>
      </c>
      <c r="J114" s="132">
        <v>82.5</v>
      </c>
      <c r="K114" s="132" t="s">
        <v>135</v>
      </c>
      <c r="L114" s="134"/>
      <c r="M114" s="132">
        <v>530.0</v>
      </c>
      <c r="N114" s="133"/>
      <c r="O114" s="132"/>
      <c r="P114" s="132" t="s">
        <v>340</v>
      </c>
    </row>
    <row r="115">
      <c r="A115" s="131" t="s">
        <v>474</v>
      </c>
      <c r="B115" s="132" t="s">
        <v>97</v>
      </c>
      <c r="C115" s="133"/>
      <c r="D115" s="132" t="s">
        <v>64</v>
      </c>
      <c r="E115" s="133"/>
      <c r="F115" s="133"/>
      <c r="G115" s="133"/>
      <c r="H115" s="132" t="s">
        <v>147</v>
      </c>
      <c r="I115" s="132" t="s">
        <v>142</v>
      </c>
      <c r="J115" s="132">
        <v>75.0</v>
      </c>
      <c r="K115" s="132" t="s">
        <v>135</v>
      </c>
      <c r="L115" s="134"/>
      <c r="M115" s="132">
        <v>530.0</v>
      </c>
      <c r="N115" s="133"/>
      <c r="O115" s="132" t="s">
        <v>266</v>
      </c>
      <c r="P115" s="132" t="s">
        <v>380</v>
      </c>
    </row>
    <row r="116">
      <c r="A116" s="131" t="s">
        <v>475</v>
      </c>
      <c r="B116" s="132" t="s">
        <v>476</v>
      </c>
      <c r="C116" s="133"/>
      <c r="D116" s="132" t="s">
        <v>78</v>
      </c>
      <c r="E116" s="133"/>
      <c r="F116" s="133"/>
      <c r="G116" s="133"/>
      <c r="H116" s="132" t="s">
        <v>147</v>
      </c>
      <c r="I116" s="132" t="s">
        <v>142</v>
      </c>
      <c r="J116" s="132">
        <v>90.0</v>
      </c>
      <c r="K116" s="132" t="s">
        <v>135</v>
      </c>
      <c r="L116" s="134"/>
      <c r="M116" s="132">
        <v>520.0</v>
      </c>
      <c r="N116" s="133"/>
      <c r="O116" s="132" t="s">
        <v>266</v>
      </c>
      <c r="P116" s="132" t="s">
        <v>267</v>
      </c>
    </row>
    <row r="117">
      <c r="A117" s="131" t="s">
        <v>98</v>
      </c>
      <c r="B117" s="132" t="s">
        <v>97</v>
      </c>
      <c r="C117" s="133"/>
      <c r="D117" s="132" t="s">
        <v>78</v>
      </c>
      <c r="E117" s="133"/>
      <c r="F117" s="133"/>
      <c r="G117" s="133"/>
      <c r="H117" s="132" t="s">
        <v>147</v>
      </c>
      <c r="I117" s="132" t="s">
        <v>142</v>
      </c>
      <c r="J117" s="132">
        <v>82.5</v>
      </c>
      <c r="K117" s="132" t="s">
        <v>135</v>
      </c>
      <c r="L117" s="134"/>
      <c r="M117" s="132">
        <v>520.0</v>
      </c>
      <c r="N117" s="133"/>
      <c r="O117" s="132" t="s">
        <v>266</v>
      </c>
      <c r="P117" s="132" t="s">
        <v>380</v>
      </c>
    </row>
    <row r="118">
      <c r="A118" s="131" t="s">
        <v>477</v>
      </c>
      <c r="B118" s="132" t="s">
        <v>421</v>
      </c>
      <c r="C118" s="133"/>
      <c r="D118" s="132" t="s">
        <v>307</v>
      </c>
      <c r="E118" s="133"/>
      <c r="F118" s="133"/>
      <c r="G118" s="133"/>
      <c r="H118" s="132" t="s">
        <v>110</v>
      </c>
      <c r="I118" s="132" t="s">
        <v>142</v>
      </c>
      <c r="J118" s="132">
        <v>56.0</v>
      </c>
      <c r="K118" s="132" t="s">
        <v>135</v>
      </c>
      <c r="L118" s="134"/>
      <c r="M118" s="132">
        <v>510.0</v>
      </c>
      <c r="N118" s="133"/>
      <c r="O118" s="134"/>
      <c r="P118" s="132" t="s">
        <v>270</v>
      </c>
    </row>
    <row r="119">
      <c r="A119" s="131" t="s">
        <v>478</v>
      </c>
      <c r="B119" s="132" t="s">
        <v>479</v>
      </c>
      <c r="C119" s="133"/>
      <c r="D119" s="132" t="s">
        <v>64</v>
      </c>
      <c r="E119" s="133"/>
      <c r="F119" s="133"/>
      <c r="G119" s="133"/>
      <c r="H119" s="132" t="s">
        <v>110</v>
      </c>
      <c r="I119" s="132" t="s">
        <v>142</v>
      </c>
      <c r="J119" s="132">
        <v>75.0</v>
      </c>
      <c r="K119" s="132" t="s">
        <v>135</v>
      </c>
      <c r="L119" s="134"/>
      <c r="M119" s="132">
        <v>510.0</v>
      </c>
      <c r="N119" s="133"/>
      <c r="O119" s="134"/>
      <c r="P119" s="132" t="s">
        <v>270</v>
      </c>
    </row>
    <row r="120">
      <c r="A120" s="131" t="s">
        <v>480</v>
      </c>
      <c r="B120" s="132" t="s">
        <v>481</v>
      </c>
      <c r="C120" s="133"/>
      <c r="D120" s="132" t="s">
        <v>307</v>
      </c>
      <c r="E120" s="133"/>
      <c r="F120" s="133"/>
      <c r="G120" s="133"/>
      <c r="H120" s="132" t="s">
        <v>110</v>
      </c>
      <c r="I120" s="132" t="s">
        <v>142</v>
      </c>
      <c r="J120" s="132">
        <v>67.5</v>
      </c>
      <c r="K120" s="132" t="s">
        <v>135</v>
      </c>
      <c r="L120" s="134"/>
      <c r="M120" s="132">
        <v>507.5</v>
      </c>
      <c r="N120" s="133"/>
      <c r="O120" s="132" t="s">
        <v>266</v>
      </c>
      <c r="P120" s="132" t="s">
        <v>267</v>
      </c>
    </row>
    <row r="121">
      <c r="A121" s="131" t="s">
        <v>482</v>
      </c>
      <c r="B121" s="132" t="s">
        <v>483</v>
      </c>
      <c r="C121" s="133"/>
      <c r="D121" s="132" t="s">
        <v>307</v>
      </c>
      <c r="E121" s="133"/>
      <c r="F121" s="133"/>
      <c r="G121" s="133"/>
      <c r="H121" s="132" t="s">
        <v>110</v>
      </c>
      <c r="I121" s="132" t="s">
        <v>142</v>
      </c>
      <c r="J121" s="132">
        <v>60.0</v>
      </c>
      <c r="K121" s="132" t="s">
        <v>135</v>
      </c>
      <c r="L121" s="134"/>
      <c r="M121" s="132">
        <v>505.0</v>
      </c>
      <c r="N121" s="133"/>
      <c r="O121" s="132" t="s">
        <v>266</v>
      </c>
      <c r="P121" s="132" t="s">
        <v>270</v>
      </c>
    </row>
    <row r="122">
      <c r="A122" s="131" t="s">
        <v>53</v>
      </c>
      <c r="B122" s="132" t="s">
        <v>52</v>
      </c>
      <c r="C122" s="133"/>
      <c r="D122" s="132" t="s">
        <v>64</v>
      </c>
      <c r="E122" s="133"/>
      <c r="F122" s="133"/>
      <c r="G122" s="133"/>
      <c r="H122" s="132" t="s">
        <v>147</v>
      </c>
      <c r="I122" s="132" t="s">
        <v>142</v>
      </c>
      <c r="J122" s="132">
        <v>60.0</v>
      </c>
      <c r="K122" s="132" t="s">
        <v>135</v>
      </c>
      <c r="L122" s="134"/>
      <c r="M122" s="132">
        <v>505.0</v>
      </c>
      <c r="N122" s="133"/>
      <c r="O122" s="132" t="s">
        <v>266</v>
      </c>
      <c r="P122" s="132" t="s">
        <v>380</v>
      </c>
    </row>
    <row r="123">
      <c r="A123" s="131" t="s">
        <v>484</v>
      </c>
      <c r="B123" s="132" t="s">
        <v>485</v>
      </c>
      <c r="C123" s="133"/>
      <c r="D123" s="132" t="s">
        <v>64</v>
      </c>
      <c r="E123" s="133"/>
      <c r="F123" s="133"/>
      <c r="G123" s="133"/>
      <c r="H123" s="132" t="s">
        <v>147</v>
      </c>
      <c r="I123" s="132" t="s">
        <v>142</v>
      </c>
      <c r="J123" s="132">
        <v>60.0</v>
      </c>
      <c r="K123" s="132" t="s">
        <v>135</v>
      </c>
      <c r="L123" s="134"/>
      <c r="M123" s="132">
        <v>505.0</v>
      </c>
      <c r="N123" s="133"/>
      <c r="O123" s="132" t="s">
        <v>266</v>
      </c>
      <c r="P123" s="132" t="s">
        <v>270</v>
      </c>
    </row>
    <row r="124">
      <c r="A124" s="131" t="s">
        <v>486</v>
      </c>
      <c r="B124" s="132" t="s">
        <v>487</v>
      </c>
      <c r="C124" s="133"/>
      <c r="D124" s="132" t="s">
        <v>64</v>
      </c>
      <c r="E124" s="133"/>
      <c r="F124" s="133"/>
      <c r="G124" s="133"/>
      <c r="H124" s="132" t="s">
        <v>147</v>
      </c>
      <c r="I124" s="132" t="s">
        <v>142</v>
      </c>
      <c r="J124" s="132">
        <v>67.5</v>
      </c>
      <c r="K124" s="132" t="s">
        <v>135</v>
      </c>
      <c r="L124" s="134"/>
      <c r="M124" s="132">
        <v>502.5</v>
      </c>
      <c r="N124" s="133"/>
      <c r="O124" s="132" t="s">
        <v>266</v>
      </c>
      <c r="P124" s="132" t="s">
        <v>316</v>
      </c>
    </row>
    <row r="125">
      <c r="A125" s="131" t="s">
        <v>488</v>
      </c>
      <c r="B125" s="132" t="s">
        <v>489</v>
      </c>
      <c r="C125" s="133"/>
      <c r="D125" s="132" t="s">
        <v>71</v>
      </c>
      <c r="E125" s="133"/>
      <c r="F125" s="133"/>
      <c r="G125" s="133"/>
      <c r="H125" s="132" t="s">
        <v>110</v>
      </c>
      <c r="I125" s="132" t="s">
        <v>142</v>
      </c>
      <c r="J125" s="132">
        <v>82.5</v>
      </c>
      <c r="K125" s="132" t="s">
        <v>135</v>
      </c>
      <c r="L125" s="134"/>
      <c r="M125" s="132">
        <v>500.0</v>
      </c>
      <c r="N125" s="133"/>
      <c r="O125" s="132" t="s">
        <v>266</v>
      </c>
      <c r="P125" s="132" t="s">
        <v>340</v>
      </c>
    </row>
    <row r="126">
      <c r="A126" s="131" t="s">
        <v>490</v>
      </c>
      <c r="B126" s="132" t="s">
        <v>491</v>
      </c>
      <c r="C126" s="133"/>
      <c r="D126" s="132" t="s">
        <v>64</v>
      </c>
      <c r="E126" s="133"/>
      <c r="F126" s="133"/>
      <c r="G126" s="133"/>
      <c r="H126" s="132" t="s">
        <v>110</v>
      </c>
      <c r="I126" s="132" t="s">
        <v>142</v>
      </c>
      <c r="J126" s="132">
        <v>75.0</v>
      </c>
      <c r="K126" s="132" t="s">
        <v>135</v>
      </c>
      <c r="L126" s="134"/>
      <c r="M126" s="132">
        <v>500.0</v>
      </c>
      <c r="N126" s="133"/>
      <c r="O126" s="132" t="s">
        <v>266</v>
      </c>
      <c r="P126" s="132" t="s">
        <v>380</v>
      </c>
    </row>
    <row r="127">
      <c r="A127" s="131" t="s">
        <v>492</v>
      </c>
      <c r="B127" s="132" t="s">
        <v>493</v>
      </c>
      <c r="C127" s="133"/>
      <c r="D127" s="132" t="s">
        <v>78</v>
      </c>
      <c r="E127" s="133"/>
      <c r="F127" s="133"/>
      <c r="G127" s="133"/>
      <c r="H127" s="132" t="s">
        <v>147</v>
      </c>
      <c r="I127" s="132" t="s">
        <v>142</v>
      </c>
      <c r="J127" s="132">
        <v>90.0</v>
      </c>
      <c r="K127" s="132" t="s">
        <v>135</v>
      </c>
      <c r="L127" s="134"/>
      <c r="M127" s="132">
        <v>495.0</v>
      </c>
      <c r="N127" s="133"/>
      <c r="O127" s="132" t="s">
        <v>266</v>
      </c>
      <c r="P127" s="132" t="s">
        <v>283</v>
      </c>
    </row>
    <row r="128">
      <c r="A128" s="131" t="s">
        <v>494</v>
      </c>
      <c r="B128" s="132" t="s">
        <v>495</v>
      </c>
      <c r="C128" s="133"/>
      <c r="D128" s="132" t="s">
        <v>64</v>
      </c>
      <c r="E128" s="133"/>
      <c r="F128" s="133"/>
      <c r="G128" s="133"/>
      <c r="H128" s="132" t="s">
        <v>147</v>
      </c>
      <c r="I128" s="132" t="s">
        <v>142</v>
      </c>
      <c r="J128" s="132">
        <v>75.0</v>
      </c>
      <c r="K128" s="132" t="s">
        <v>135</v>
      </c>
      <c r="L128" s="134"/>
      <c r="M128" s="132">
        <v>492.5</v>
      </c>
      <c r="N128" s="133"/>
      <c r="O128" s="134"/>
      <c r="P128" s="132" t="s">
        <v>270</v>
      </c>
    </row>
    <row r="129">
      <c r="A129" s="131" t="s">
        <v>496</v>
      </c>
      <c r="B129" s="132" t="s">
        <v>497</v>
      </c>
      <c r="C129" s="133"/>
      <c r="D129" s="132" t="s">
        <v>64</v>
      </c>
      <c r="E129" s="133"/>
      <c r="F129" s="133"/>
      <c r="G129" s="133"/>
      <c r="H129" s="132" t="s">
        <v>147</v>
      </c>
      <c r="I129" s="132" t="s">
        <v>142</v>
      </c>
      <c r="J129" s="132">
        <v>75.0</v>
      </c>
      <c r="K129" s="132" t="s">
        <v>135</v>
      </c>
      <c r="L129" s="134"/>
      <c r="M129" s="132">
        <v>492.5</v>
      </c>
      <c r="N129" s="133"/>
      <c r="O129" s="132" t="s">
        <v>266</v>
      </c>
      <c r="P129" s="132" t="s">
        <v>283</v>
      </c>
    </row>
    <row r="130">
      <c r="A130" s="131" t="s">
        <v>498</v>
      </c>
      <c r="B130" s="132" t="s">
        <v>499</v>
      </c>
      <c r="C130" s="133"/>
      <c r="D130" s="132" t="s">
        <v>64</v>
      </c>
      <c r="E130" s="133"/>
      <c r="F130" s="133"/>
      <c r="G130" s="133"/>
      <c r="H130" s="132" t="s">
        <v>147</v>
      </c>
      <c r="I130" s="132" t="s">
        <v>142</v>
      </c>
      <c r="J130" s="132">
        <v>67.5</v>
      </c>
      <c r="K130" s="132" t="s">
        <v>135</v>
      </c>
      <c r="L130" s="134"/>
      <c r="M130" s="132">
        <v>490.0</v>
      </c>
      <c r="N130" s="133"/>
      <c r="O130" s="132" t="s">
        <v>266</v>
      </c>
      <c r="P130" s="132" t="s">
        <v>270</v>
      </c>
    </row>
    <row r="131">
      <c r="A131" s="131" t="s">
        <v>500</v>
      </c>
      <c r="B131" s="132" t="s">
        <v>501</v>
      </c>
      <c r="C131" s="133"/>
      <c r="D131" s="132" t="s">
        <v>307</v>
      </c>
      <c r="E131" s="133"/>
      <c r="F131" s="133"/>
      <c r="G131" s="133"/>
      <c r="H131" s="132" t="s">
        <v>110</v>
      </c>
      <c r="I131" s="132" t="s">
        <v>142</v>
      </c>
      <c r="J131" s="132">
        <v>60.0</v>
      </c>
      <c r="K131" s="132" t="s">
        <v>135</v>
      </c>
      <c r="L131" s="134"/>
      <c r="M131" s="132">
        <v>490.0</v>
      </c>
      <c r="N131" s="133"/>
      <c r="O131" s="132"/>
      <c r="P131" s="132" t="s">
        <v>270</v>
      </c>
    </row>
    <row r="132">
      <c r="A132" s="131" t="s">
        <v>502</v>
      </c>
      <c r="B132" s="132" t="s">
        <v>503</v>
      </c>
      <c r="C132" s="133"/>
      <c r="D132" s="132" t="s">
        <v>78</v>
      </c>
      <c r="E132" s="133"/>
      <c r="F132" s="133"/>
      <c r="G132" s="133"/>
      <c r="H132" s="132" t="s">
        <v>147</v>
      </c>
      <c r="I132" s="132" t="s">
        <v>142</v>
      </c>
      <c r="J132" s="132">
        <v>90.0</v>
      </c>
      <c r="K132" s="132" t="s">
        <v>135</v>
      </c>
      <c r="L132" s="134"/>
      <c r="M132" s="132">
        <v>490.0</v>
      </c>
      <c r="N132" s="133"/>
      <c r="O132" s="134"/>
      <c r="P132" s="132" t="s">
        <v>270</v>
      </c>
    </row>
    <row r="133">
      <c r="A133" s="131" t="s">
        <v>504</v>
      </c>
      <c r="B133" s="132" t="s">
        <v>49</v>
      </c>
      <c r="C133" s="133"/>
      <c r="D133" s="132" t="s">
        <v>64</v>
      </c>
      <c r="E133" s="133"/>
      <c r="F133" s="133"/>
      <c r="G133" s="133"/>
      <c r="H133" s="132" t="s">
        <v>147</v>
      </c>
      <c r="I133" s="132" t="s">
        <v>142</v>
      </c>
      <c r="J133" s="132">
        <v>60.0</v>
      </c>
      <c r="K133" s="132" t="s">
        <v>135</v>
      </c>
      <c r="L133" s="134"/>
      <c r="M133" s="132">
        <v>490.0</v>
      </c>
      <c r="N133" s="133"/>
      <c r="O133" s="133"/>
      <c r="P133" s="132" t="s">
        <v>267</v>
      </c>
    </row>
    <row r="134">
      <c r="A134" s="131" t="s">
        <v>361</v>
      </c>
      <c r="B134" s="132" t="s">
        <v>505</v>
      </c>
      <c r="C134" s="133"/>
      <c r="D134" s="132" t="s">
        <v>78</v>
      </c>
      <c r="E134" s="133"/>
      <c r="F134" s="133"/>
      <c r="G134" s="133"/>
      <c r="H134" s="132" t="s">
        <v>147</v>
      </c>
      <c r="I134" s="132" t="s">
        <v>142</v>
      </c>
      <c r="J134" s="132">
        <v>100.0</v>
      </c>
      <c r="K134" s="132" t="s">
        <v>135</v>
      </c>
      <c r="L134" s="134"/>
      <c r="M134" s="132">
        <v>487.5</v>
      </c>
      <c r="N134" s="133"/>
      <c r="O134" s="132" t="s">
        <v>266</v>
      </c>
      <c r="P134" s="132" t="s">
        <v>270</v>
      </c>
    </row>
    <row r="135">
      <c r="A135" s="131" t="s">
        <v>506</v>
      </c>
      <c r="B135" s="132" t="s">
        <v>507</v>
      </c>
      <c r="C135" s="133"/>
      <c r="D135" s="132" t="s">
        <v>64</v>
      </c>
      <c r="E135" s="133"/>
      <c r="F135" s="133"/>
      <c r="G135" s="133"/>
      <c r="H135" s="132" t="s">
        <v>147</v>
      </c>
      <c r="I135" s="132" t="s">
        <v>142</v>
      </c>
      <c r="J135" s="132">
        <v>56.0</v>
      </c>
      <c r="K135" s="132" t="s">
        <v>135</v>
      </c>
      <c r="L135" s="134"/>
      <c r="M135" s="132">
        <v>480.0</v>
      </c>
      <c r="N135" s="133"/>
      <c r="O135" s="133"/>
      <c r="P135" s="132" t="s">
        <v>270</v>
      </c>
    </row>
    <row r="136">
      <c r="A136" s="131" t="s">
        <v>319</v>
      </c>
      <c r="B136" s="132" t="s">
        <v>508</v>
      </c>
      <c r="C136" s="133"/>
      <c r="D136" s="132" t="s">
        <v>307</v>
      </c>
      <c r="E136" s="133"/>
      <c r="F136" s="133"/>
      <c r="G136" s="133"/>
      <c r="H136" s="132" t="s">
        <v>110</v>
      </c>
      <c r="I136" s="132" t="s">
        <v>142</v>
      </c>
      <c r="J136" s="132">
        <v>67.5</v>
      </c>
      <c r="K136" s="132" t="s">
        <v>135</v>
      </c>
      <c r="L136" s="134"/>
      <c r="M136" s="132">
        <v>477.5</v>
      </c>
      <c r="N136" s="133"/>
      <c r="O136" s="132"/>
      <c r="P136" s="132" t="s">
        <v>270</v>
      </c>
    </row>
    <row r="137">
      <c r="A137" s="131" t="s">
        <v>384</v>
      </c>
      <c r="B137" s="132" t="s">
        <v>509</v>
      </c>
      <c r="C137" s="133"/>
      <c r="D137" s="132" t="s">
        <v>307</v>
      </c>
      <c r="E137" s="133"/>
      <c r="F137" s="133"/>
      <c r="G137" s="133"/>
      <c r="H137" s="132" t="s">
        <v>110</v>
      </c>
      <c r="I137" s="132" t="s">
        <v>142</v>
      </c>
      <c r="J137" s="132">
        <v>52.0</v>
      </c>
      <c r="K137" s="132" t="s">
        <v>135</v>
      </c>
      <c r="L137" s="134"/>
      <c r="M137" s="132">
        <v>477.5</v>
      </c>
      <c r="N137" s="133"/>
      <c r="O137" s="132" t="s">
        <v>266</v>
      </c>
      <c r="P137" s="132" t="s">
        <v>270</v>
      </c>
    </row>
    <row r="138">
      <c r="A138" s="131" t="s">
        <v>510</v>
      </c>
      <c r="B138" s="132" t="s">
        <v>511</v>
      </c>
      <c r="C138" s="133"/>
      <c r="D138" s="132" t="s">
        <v>307</v>
      </c>
      <c r="E138" s="133"/>
      <c r="F138" s="133"/>
      <c r="G138" s="133"/>
      <c r="H138" s="132" t="s">
        <v>110</v>
      </c>
      <c r="I138" s="132" t="s">
        <v>142</v>
      </c>
      <c r="J138" s="132">
        <v>67.5</v>
      </c>
      <c r="K138" s="132" t="s">
        <v>135</v>
      </c>
      <c r="L138" s="134"/>
      <c r="M138" s="132">
        <v>477.5</v>
      </c>
      <c r="N138" s="133"/>
      <c r="O138" s="134"/>
      <c r="P138" s="132" t="s">
        <v>270</v>
      </c>
    </row>
    <row r="139">
      <c r="A139" s="131" t="s">
        <v>512</v>
      </c>
      <c r="B139" s="132" t="s">
        <v>513</v>
      </c>
      <c r="C139" s="133"/>
      <c r="D139" s="132" t="s">
        <v>78</v>
      </c>
      <c r="E139" s="133"/>
      <c r="F139" s="133"/>
      <c r="G139" s="133"/>
      <c r="H139" s="132" t="s">
        <v>147</v>
      </c>
      <c r="I139" s="132" t="s">
        <v>142</v>
      </c>
      <c r="J139" s="132" t="s">
        <v>387</v>
      </c>
      <c r="K139" s="132" t="s">
        <v>135</v>
      </c>
      <c r="L139" s="134"/>
      <c r="M139" s="132">
        <v>472.5</v>
      </c>
      <c r="N139" s="133"/>
      <c r="O139" s="132" t="s">
        <v>266</v>
      </c>
      <c r="P139" s="132" t="s">
        <v>270</v>
      </c>
    </row>
    <row r="140">
      <c r="A140" s="131" t="s">
        <v>514</v>
      </c>
      <c r="B140" s="132" t="s">
        <v>515</v>
      </c>
      <c r="C140" s="133"/>
      <c r="D140" s="132" t="s">
        <v>78</v>
      </c>
      <c r="E140" s="133"/>
      <c r="F140" s="133"/>
      <c r="G140" s="133"/>
      <c r="H140" s="132" t="s">
        <v>147</v>
      </c>
      <c r="I140" s="132" t="s">
        <v>142</v>
      </c>
      <c r="J140" s="132">
        <v>90.0</v>
      </c>
      <c r="K140" s="132" t="s">
        <v>135</v>
      </c>
      <c r="L140" s="134"/>
      <c r="M140" s="132">
        <v>470.0</v>
      </c>
      <c r="N140" s="133"/>
      <c r="O140" s="132" t="s">
        <v>266</v>
      </c>
      <c r="P140" s="132" t="s">
        <v>270</v>
      </c>
    </row>
    <row r="141">
      <c r="A141" s="131" t="s">
        <v>516</v>
      </c>
      <c r="B141" s="132" t="s">
        <v>294</v>
      </c>
      <c r="C141" s="133"/>
      <c r="D141" s="132" t="s">
        <v>64</v>
      </c>
      <c r="E141" s="133"/>
      <c r="F141" s="133"/>
      <c r="G141" s="133"/>
      <c r="H141" s="132" t="s">
        <v>147</v>
      </c>
      <c r="I141" s="132" t="s">
        <v>142</v>
      </c>
      <c r="J141" s="132">
        <v>75.0</v>
      </c>
      <c r="K141" s="132" t="s">
        <v>135</v>
      </c>
      <c r="L141" s="134"/>
      <c r="M141" s="132">
        <v>467.5</v>
      </c>
      <c r="N141" s="133"/>
      <c r="O141" s="132" t="s">
        <v>266</v>
      </c>
      <c r="P141" s="132" t="s">
        <v>273</v>
      </c>
    </row>
    <row r="142">
      <c r="A142" s="131" t="s">
        <v>31</v>
      </c>
      <c r="B142" s="132" t="s">
        <v>517</v>
      </c>
      <c r="C142" s="133"/>
      <c r="D142" s="132" t="s">
        <v>78</v>
      </c>
      <c r="E142" s="133"/>
      <c r="F142" s="133"/>
      <c r="G142" s="133"/>
      <c r="H142" s="132" t="s">
        <v>147</v>
      </c>
      <c r="I142" s="132" t="s">
        <v>142</v>
      </c>
      <c r="J142" s="132" t="s">
        <v>387</v>
      </c>
      <c r="K142" s="132" t="s">
        <v>135</v>
      </c>
      <c r="L142" s="134"/>
      <c r="M142" s="132">
        <v>467.5</v>
      </c>
      <c r="N142" s="133"/>
      <c r="O142" s="132" t="s">
        <v>266</v>
      </c>
      <c r="P142" s="132" t="s">
        <v>267</v>
      </c>
    </row>
    <row r="143">
      <c r="A143" s="131" t="s">
        <v>518</v>
      </c>
      <c r="B143" s="132" t="s">
        <v>495</v>
      </c>
      <c r="C143" s="133"/>
      <c r="D143" s="132" t="s">
        <v>78</v>
      </c>
      <c r="E143" s="133"/>
      <c r="F143" s="133"/>
      <c r="G143" s="133"/>
      <c r="H143" s="132" t="s">
        <v>147</v>
      </c>
      <c r="I143" s="132" t="s">
        <v>142</v>
      </c>
      <c r="J143" s="132">
        <v>90.0</v>
      </c>
      <c r="K143" s="132" t="s">
        <v>135</v>
      </c>
      <c r="L143" s="134"/>
      <c r="M143" s="132">
        <v>467.5</v>
      </c>
      <c r="N143" s="133"/>
      <c r="O143" s="132"/>
      <c r="P143" s="132" t="s">
        <v>270</v>
      </c>
    </row>
    <row r="144">
      <c r="A144" s="131" t="s">
        <v>519</v>
      </c>
      <c r="B144" s="132" t="s">
        <v>309</v>
      </c>
      <c r="C144" s="133"/>
      <c r="D144" s="132" t="s">
        <v>307</v>
      </c>
      <c r="E144" s="133"/>
      <c r="F144" s="133"/>
      <c r="G144" s="133"/>
      <c r="H144" s="132" t="s">
        <v>110</v>
      </c>
      <c r="I144" s="132" t="s">
        <v>142</v>
      </c>
      <c r="J144" s="132">
        <v>67.5</v>
      </c>
      <c r="K144" s="132" t="s">
        <v>135</v>
      </c>
      <c r="L144" s="134"/>
      <c r="M144" s="132">
        <v>467.5</v>
      </c>
      <c r="N144" s="133"/>
      <c r="O144" s="134"/>
      <c r="P144" s="132" t="s">
        <v>267</v>
      </c>
    </row>
    <row r="145">
      <c r="A145" s="131" t="s">
        <v>520</v>
      </c>
      <c r="B145" s="132" t="s">
        <v>521</v>
      </c>
      <c r="C145" s="133"/>
      <c r="D145" s="132" t="s">
        <v>307</v>
      </c>
      <c r="E145" s="133"/>
      <c r="F145" s="133"/>
      <c r="G145" s="133"/>
      <c r="H145" s="132" t="s">
        <v>110</v>
      </c>
      <c r="I145" s="132" t="s">
        <v>142</v>
      </c>
      <c r="J145" s="132">
        <v>67.5</v>
      </c>
      <c r="K145" s="132" t="s">
        <v>135</v>
      </c>
      <c r="L145" s="134"/>
      <c r="M145" s="132">
        <v>460.0</v>
      </c>
      <c r="N145" s="133"/>
      <c r="O145" s="133"/>
      <c r="P145" s="132" t="s">
        <v>340</v>
      </c>
    </row>
    <row r="146">
      <c r="A146" s="131" t="s">
        <v>522</v>
      </c>
      <c r="B146" s="132" t="s">
        <v>523</v>
      </c>
      <c r="C146" s="133"/>
      <c r="D146" s="132" t="s">
        <v>307</v>
      </c>
      <c r="E146" s="133"/>
      <c r="F146" s="133"/>
      <c r="G146" s="133"/>
      <c r="H146" s="132" t="s">
        <v>110</v>
      </c>
      <c r="I146" s="132" t="s">
        <v>142</v>
      </c>
      <c r="J146" s="132">
        <v>60.0</v>
      </c>
      <c r="K146" s="132" t="s">
        <v>135</v>
      </c>
      <c r="L146" s="134"/>
      <c r="M146" s="132">
        <v>457.5</v>
      </c>
      <c r="N146" s="133"/>
      <c r="O146" s="134"/>
      <c r="P146" s="132" t="s">
        <v>270</v>
      </c>
    </row>
    <row r="147">
      <c r="A147" s="131" t="s">
        <v>471</v>
      </c>
      <c r="B147" s="132" t="s">
        <v>524</v>
      </c>
      <c r="C147" s="133"/>
      <c r="D147" s="132" t="s">
        <v>64</v>
      </c>
      <c r="E147" s="133"/>
      <c r="F147" s="133"/>
      <c r="G147" s="133"/>
      <c r="H147" s="132" t="s">
        <v>147</v>
      </c>
      <c r="I147" s="132" t="s">
        <v>142</v>
      </c>
      <c r="J147" s="132">
        <v>75.0</v>
      </c>
      <c r="K147" s="132" t="s">
        <v>135</v>
      </c>
      <c r="L147" s="134"/>
      <c r="M147" s="132">
        <v>457.5</v>
      </c>
      <c r="N147" s="133"/>
      <c r="O147" s="133"/>
      <c r="P147" s="132" t="s">
        <v>270</v>
      </c>
    </row>
    <row r="148">
      <c r="A148" s="131" t="s">
        <v>525</v>
      </c>
      <c r="B148" s="132" t="s">
        <v>526</v>
      </c>
      <c r="C148" s="133"/>
      <c r="D148" s="132" t="s">
        <v>78</v>
      </c>
      <c r="E148" s="133"/>
      <c r="F148" s="133"/>
      <c r="G148" s="133"/>
      <c r="H148" s="132" t="s">
        <v>147</v>
      </c>
      <c r="I148" s="132" t="s">
        <v>142</v>
      </c>
      <c r="J148" s="132" t="s">
        <v>387</v>
      </c>
      <c r="K148" s="132" t="s">
        <v>135</v>
      </c>
      <c r="L148" s="134"/>
      <c r="M148" s="132">
        <v>455.0</v>
      </c>
      <c r="N148" s="133"/>
      <c r="O148" s="134"/>
      <c r="P148" s="132" t="s">
        <v>270</v>
      </c>
    </row>
    <row r="149">
      <c r="A149" s="131" t="s">
        <v>527</v>
      </c>
      <c r="B149" s="132" t="s">
        <v>528</v>
      </c>
      <c r="C149" s="133"/>
      <c r="D149" s="132" t="s">
        <v>78</v>
      </c>
      <c r="E149" s="133"/>
      <c r="F149" s="133"/>
      <c r="G149" s="133"/>
      <c r="H149" s="132" t="s">
        <v>147</v>
      </c>
      <c r="I149" s="132" t="s">
        <v>142</v>
      </c>
      <c r="J149" s="132" t="s">
        <v>387</v>
      </c>
      <c r="K149" s="132" t="s">
        <v>135</v>
      </c>
      <c r="L149" s="134"/>
      <c r="M149" s="132">
        <v>447.5</v>
      </c>
      <c r="N149" s="133"/>
      <c r="O149" s="134"/>
      <c r="P149" s="132" t="s">
        <v>270</v>
      </c>
    </row>
    <row r="150">
      <c r="A150" s="131" t="s">
        <v>529</v>
      </c>
      <c r="B150" s="132" t="s">
        <v>530</v>
      </c>
      <c r="C150" s="133"/>
      <c r="D150" s="132" t="s">
        <v>78</v>
      </c>
      <c r="E150" s="133"/>
      <c r="F150" s="133"/>
      <c r="G150" s="133"/>
      <c r="H150" s="132" t="s">
        <v>147</v>
      </c>
      <c r="I150" s="132" t="s">
        <v>142</v>
      </c>
      <c r="J150" s="132">
        <v>82.5</v>
      </c>
      <c r="K150" s="132" t="s">
        <v>135</v>
      </c>
      <c r="L150" s="134"/>
      <c r="M150" s="132">
        <v>445.0</v>
      </c>
      <c r="N150" s="133"/>
      <c r="O150" s="132" t="s">
        <v>266</v>
      </c>
      <c r="P150" s="132" t="s">
        <v>267</v>
      </c>
    </row>
    <row r="151">
      <c r="A151" s="131" t="s">
        <v>531</v>
      </c>
      <c r="B151" s="132" t="s">
        <v>532</v>
      </c>
      <c r="C151" s="133"/>
      <c r="D151" s="132" t="s">
        <v>64</v>
      </c>
      <c r="E151" s="133"/>
      <c r="F151" s="133"/>
      <c r="G151" s="133"/>
      <c r="H151" s="132" t="s">
        <v>147</v>
      </c>
      <c r="I151" s="132" t="s">
        <v>142</v>
      </c>
      <c r="J151" s="132">
        <v>75.0</v>
      </c>
      <c r="K151" s="132" t="s">
        <v>135</v>
      </c>
      <c r="L151" s="134"/>
      <c r="M151" s="132">
        <v>445.0</v>
      </c>
      <c r="N151" s="133"/>
      <c r="O151" s="132"/>
      <c r="P151" s="132" t="s">
        <v>270</v>
      </c>
    </row>
    <row r="152">
      <c r="A152" s="131" t="s">
        <v>533</v>
      </c>
      <c r="B152" s="132" t="s">
        <v>457</v>
      </c>
      <c r="C152" s="133"/>
      <c r="D152" s="132" t="s">
        <v>307</v>
      </c>
      <c r="E152" s="133"/>
      <c r="F152" s="133"/>
      <c r="G152" s="133"/>
      <c r="H152" s="132" t="s">
        <v>110</v>
      </c>
      <c r="I152" s="132" t="s">
        <v>142</v>
      </c>
      <c r="J152" s="132">
        <v>67.5</v>
      </c>
      <c r="K152" s="132" t="s">
        <v>135</v>
      </c>
      <c r="L152" s="134"/>
      <c r="M152" s="132">
        <v>445.0</v>
      </c>
      <c r="N152" s="133"/>
      <c r="O152" s="132"/>
      <c r="P152" s="132" t="s">
        <v>267</v>
      </c>
    </row>
    <row r="153">
      <c r="A153" s="131" t="s">
        <v>534</v>
      </c>
      <c r="B153" s="132" t="s">
        <v>535</v>
      </c>
      <c r="C153" s="133"/>
      <c r="D153" s="132" t="s">
        <v>78</v>
      </c>
      <c r="E153" s="133"/>
      <c r="F153" s="133"/>
      <c r="G153" s="133"/>
      <c r="H153" s="132" t="s">
        <v>147</v>
      </c>
      <c r="I153" s="132" t="s">
        <v>142</v>
      </c>
      <c r="J153" s="132">
        <v>82.5</v>
      </c>
      <c r="K153" s="132" t="s">
        <v>135</v>
      </c>
      <c r="L153" s="134"/>
      <c r="M153" s="132">
        <v>445.0</v>
      </c>
      <c r="N153" s="133"/>
      <c r="O153" s="132"/>
      <c r="P153" s="132" t="s">
        <v>270</v>
      </c>
    </row>
    <row r="154">
      <c r="A154" s="131" t="s">
        <v>378</v>
      </c>
      <c r="B154" s="132" t="s">
        <v>536</v>
      </c>
      <c r="C154" s="133"/>
      <c r="D154" s="132" t="s">
        <v>64</v>
      </c>
      <c r="E154" s="133"/>
      <c r="F154" s="133"/>
      <c r="G154" s="133"/>
      <c r="H154" s="132" t="s">
        <v>147</v>
      </c>
      <c r="I154" s="132" t="s">
        <v>142</v>
      </c>
      <c r="J154" s="132">
        <v>75.0</v>
      </c>
      <c r="K154" s="132" t="s">
        <v>135</v>
      </c>
      <c r="L154" s="134"/>
      <c r="M154" s="132">
        <v>445.0</v>
      </c>
      <c r="N154" s="133"/>
      <c r="O154" s="132" t="s">
        <v>266</v>
      </c>
      <c r="P154" s="132" t="s">
        <v>270</v>
      </c>
    </row>
    <row r="155">
      <c r="A155" s="131" t="s">
        <v>92</v>
      </c>
      <c r="B155" s="132" t="s">
        <v>91</v>
      </c>
      <c r="C155" s="133"/>
      <c r="D155" s="132" t="s">
        <v>64</v>
      </c>
      <c r="E155" s="133"/>
      <c r="F155" s="133"/>
      <c r="G155" s="133"/>
      <c r="H155" s="132" t="s">
        <v>147</v>
      </c>
      <c r="I155" s="132" t="s">
        <v>142</v>
      </c>
      <c r="J155" s="132">
        <v>75.0</v>
      </c>
      <c r="K155" s="132" t="s">
        <v>135</v>
      </c>
      <c r="L155" s="134"/>
      <c r="M155" s="132">
        <v>445.0</v>
      </c>
      <c r="N155" s="133"/>
      <c r="O155" s="132" t="s">
        <v>266</v>
      </c>
      <c r="P155" s="132" t="s">
        <v>380</v>
      </c>
    </row>
    <row r="156">
      <c r="A156" s="131" t="s">
        <v>537</v>
      </c>
      <c r="B156" s="132" t="s">
        <v>468</v>
      </c>
      <c r="C156" s="133"/>
      <c r="D156" s="132" t="s">
        <v>64</v>
      </c>
      <c r="E156" s="133"/>
      <c r="F156" s="133"/>
      <c r="G156" s="133"/>
      <c r="H156" s="132" t="s">
        <v>147</v>
      </c>
      <c r="I156" s="132" t="s">
        <v>142</v>
      </c>
      <c r="J156" s="132">
        <v>67.5</v>
      </c>
      <c r="K156" s="132" t="s">
        <v>135</v>
      </c>
      <c r="L156" s="134"/>
      <c r="M156" s="132">
        <v>442.5</v>
      </c>
      <c r="N156" s="133"/>
      <c r="O156" s="132" t="s">
        <v>266</v>
      </c>
      <c r="P156" s="132" t="s">
        <v>270</v>
      </c>
    </row>
    <row r="157">
      <c r="A157" s="131" t="s">
        <v>538</v>
      </c>
      <c r="B157" s="132" t="s">
        <v>539</v>
      </c>
      <c r="C157" s="133"/>
      <c r="D157" s="132" t="s">
        <v>64</v>
      </c>
      <c r="E157" s="133"/>
      <c r="F157" s="133"/>
      <c r="G157" s="133"/>
      <c r="H157" s="132" t="s">
        <v>147</v>
      </c>
      <c r="I157" s="132" t="s">
        <v>142</v>
      </c>
      <c r="J157" s="132">
        <v>60.0</v>
      </c>
      <c r="K157" s="132" t="s">
        <v>135</v>
      </c>
      <c r="L157" s="134"/>
      <c r="M157" s="132">
        <v>440.0</v>
      </c>
      <c r="N157" s="133"/>
      <c r="O157" s="132" t="s">
        <v>266</v>
      </c>
      <c r="P157" s="132" t="s">
        <v>267</v>
      </c>
    </row>
    <row r="158">
      <c r="A158" s="131" t="s">
        <v>102</v>
      </c>
      <c r="B158" s="132" t="s">
        <v>101</v>
      </c>
      <c r="C158" s="133"/>
      <c r="D158" s="132" t="s">
        <v>78</v>
      </c>
      <c r="E158" s="133"/>
      <c r="F158" s="133"/>
      <c r="G158" s="133"/>
      <c r="H158" s="132" t="s">
        <v>147</v>
      </c>
      <c r="I158" s="132" t="s">
        <v>142</v>
      </c>
      <c r="J158" s="132">
        <v>90.0</v>
      </c>
      <c r="K158" s="132" t="s">
        <v>135</v>
      </c>
      <c r="L158" s="134"/>
      <c r="M158" s="132">
        <v>440.0</v>
      </c>
      <c r="N158" s="133"/>
      <c r="O158" s="132" t="s">
        <v>266</v>
      </c>
      <c r="P158" s="132" t="s">
        <v>540</v>
      </c>
    </row>
    <row r="159">
      <c r="A159" s="131" t="s">
        <v>541</v>
      </c>
      <c r="B159" s="132" t="s">
        <v>542</v>
      </c>
      <c r="C159" s="133"/>
      <c r="D159" s="132" t="s">
        <v>307</v>
      </c>
      <c r="E159" s="133"/>
      <c r="F159" s="133"/>
      <c r="G159" s="133"/>
      <c r="H159" s="132" t="s">
        <v>110</v>
      </c>
      <c r="I159" s="132" t="s">
        <v>142</v>
      </c>
      <c r="J159" s="132">
        <v>60.0</v>
      </c>
      <c r="K159" s="132" t="s">
        <v>135</v>
      </c>
      <c r="L159" s="134"/>
      <c r="M159" s="132">
        <v>437.5</v>
      </c>
      <c r="N159" s="133"/>
      <c r="O159" s="134"/>
      <c r="P159" s="132" t="s">
        <v>270</v>
      </c>
    </row>
    <row r="160">
      <c r="A160" s="131" t="s">
        <v>543</v>
      </c>
      <c r="B160" s="132" t="s">
        <v>544</v>
      </c>
      <c r="C160" s="133"/>
      <c r="D160" s="132" t="s">
        <v>78</v>
      </c>
      <c r="E160" s="133"/>
      <c r="F160" s="133"/>
      <c r="G160" s="133"/>
      <c r="H160" s="132" t="s">
        <v>147</v>
      </c>
      <c r="I160" s="132" t="s">
        <v>142</v>
      </c>
      <c r="J160" s="132" t="s">
        <v>387</v>
      </c>
      <c r="K160" s="132" t="s">
        <v>135</v>
      </c>
      <c r="L160" s="134"/>
      <c r="M160" s="132">
        <v>435.0</v>
      </c>
      <c r="N160" s="133"/>
      <c r="O160" s="134"/>
      <c r="P160" s="132" t="s">
        <v>270</v>
      </c>
    </row>
    <row r="161">
      <c r="A161" s="131" t="s">
        <v>545</v>
      </c>
      <c r="B161" s="132" t="s">
        <v>49</v>
      </c>
      <c r="C161" s="133"/>
      <c r="D161" s="132" t="s">
        <v>64</v>
      </c>
      <c r="E161" s="133"/>
      <c r="F161" s="133"/>
      <c r="G161" s="133"/>
      <c r="H161" s="132" t="s">
        <v>147</v>
      </c>
      <c r="I161" s="132" t="s">
        <v>142</v>
      </c>
      <c r="J161" s="132">
        <v>67.5</v>
      </c>
      <c r="K161" s="132" t="s">
        <v>135</v>
      </c>
      <c r="L161" s="134"/>
      <c r="M161" s="132">
        <v>432.5</v>
      </c>
      <c r="N161" s="133"/>
      <c r="O161" s="132" t="s">
        <v>266</v>
      </c>
      <c r="P161" s="132" t="s">
        <v>267</v>
      </c>
    </row>
    <row r="162">
      <c r="A162" s="131" t="s">
        <v>546</v>
      </c>
      <c r="B162" s="132" t="s">
        <v>547</v>
      </c>
      <c r="C162" s="133"/>
      <c r="D162" s="132" t="s">
        <v>64</v>
      </c>
      <c r="E162" s="133"/>
      <c r="F162" s="133"/>
      <c r="G162" s="133"/>
      <c r="H162" s="132" t="s">
        <v>147</v>
      </c>
      <c r="I162" s="132" t="s">
        <v>142</v>
      </c>
      <c r="J162" s="132">
        <v>67.5</v>
      </c>
      <c r="K162" s="132" t="s">
        <v>135</v>
      </c>
      <c r="L162" s="134"/>
      <c r="M162" s="132">
        <v>432.5</v>
      </c>
      <c r="N162" s="133"/>
      <c r="O162" s="134"/>
      <c r="P162" s="132" t="s">
        <v>267</v>
      </c>
    </row>
    <row r="163">
      <c r="A163" s="131" t="s">
        <v>548</v>
      </c>
      <c r="B163" s="132" t="s">
        <v>549</v>
      </c>
      <c r="C163" s="133"/>
      <c r="D163" s="132" t="s">
        <v>78</v>
      </c>
      <c r="E163" s="133"/>
      <c r="F163" s="133"/>
      <c r="G163" s="133"/>
      <c r="H163" s="132" t="s">
        <v>147</v>
      </c>
      <c r="I163" s="132" t="s">
        <v>142</v>
      </c>
      <c r="J163" s="132" t="s">
        <v>387</v>
      </c>
      <c r="K163" s="132" t="s">
        <v>135</v>
      </c>
      <c r="L163" s="134"/>
      <c r="M163" s="132">
        <v>432.5</v>
      </c>
      <c r="N163" s="133"/>
      <c r="O163" s="134"/>
      <c r="P163" s="132" t="s">
        <v>267</v>
      </c>
    </row>
    <row r="164">
      <c r="A164" s="131" t="s">
        <v>543</v>
      </c>
      <c r="B164" s="132" t="s">
        <v>550</v>
      </c>
      <c r="C164" s="133"/>
      <c r="D164" s="132" t="s">
        <v>78</v>
      </c>
      <c r="E164" s="133"/>
      <c r="F164" s="133"/>
      <c r="G164" s="133"/>
      <c r="H164" s="132" t="s">
        <v>147</v>
      </c>
      <c r="I164" s="132" t="s">
        <v>142</v>
      </c>
      <c r="J164" s="132" t="s">
        <v>387</v>
      </c>
      <c r="K164" s="132" t="s">
        <v>135</v>
      </c>
      <c r="L164" s="134"/>
      <c r="M164" s="132">
        <v>425.0</v>
      </c>
      <c r="N164" s="133"/>
      <c r="O164" s="133"/>
      <c r="P164" s="132" t="s">
        <v>270</v>
      </c>
    </row>
    <row r="165">
      <c r="A165" s="131" t="s">
        <v>551</v>
      </c>
      <c r="B165" s="132" t="s">
        <v>552</v>
      </c>
      <c r="C165" s="133"/>
      <c r="D165" s="132" t="s">
        <v>64</v>
      </c>
      <c r="E165" s="133"/>
      <c r="F165" s="133"/>
      <c r="G165" s="133"/>
      <c r="H165" s="132" t="s">
        <v>147</v>
      </c>
      <c r="I165" s="132" t="s">
        <v>142</v>
      </c>
      <c r="J165" s="132">
        <v>75.0</v>
      </c>
      <c r="K165" s="132" t="s">
        <v>135</v>
      </c>
      <c r="L165" s="134"/>
      <c r="M165" s="132">
        <v>422.5</v>
      </c>
      <c r="N165" s="133"/>
      <c r="O165" s="133"/>
      <c r="P165" s="132" t="s">
        <v>270</v>
      </c>
    </row>
    <row r="166">
      <c r="A166" s="131" t="s">
        <v>553</v>
      </c>
      <c r="B166" s="132" t="s">
        <v>554</v>
      </c>
      <c r="C166" s="133"/>
      <c r="D166" s="132" t="s">
        <v>64</v>
      </c>
      <c r="E166" s="133"/>
      <c r="F166" s="133"/>
      <c r="G166" s="133"/>
      <c r="H166" s="132" t="s">
        <v>147</v>
      </c>
      <c r="I166" s="132" t="s">
        <v>142</v>
      </c>
      <c r="J166" s="132">
        <v>67.5</v>
      </c>
      <c r="K166" s="132" t="s">
        <v>135</v>
      </c>
      <c r="L166" s="134"/>
      <c r="M166" s="132">
        <v>422.5</v>
      </c>
      <c r="N166" s="133"/>
      <c r="O166" s="134"/>
      <c r="P166" s="132" t="s">
        <v>267</v>
      </c>
    </row>
    <row r="167">
      <c r="A167" s="131" t="s">
        <v>555</v>
      </c>
      <c r="B167" s="132" t="s">
        <v>554</v>
      </c>
      <c r="C167" s="133"/>
      <c r="D167" s="132" t="s">
        <v>64</v>
      </c>
      <c r="E167" s="133"/>
      <c r="F167" s="133"/>
      <c r="G167" s="133"/>
      <c r="H167" s="132" t="s">
        <v>147</v>
      </c>
      <c r="I167" s="132" t="s">
        <v>142</v>
      </c>
      <c r="J167" s="132">
        <v>67.5</v>
      </c>
      <c r="K167" s="132" t="s">
        <v>135</v>
      </c>
      <c r="L167" s="134"/>
      <c r="M167" s="132">
        <v>415.0</v>
      </c>
      <c r="N167" s="133"/>
      <c r="O167" s="134"/>
      <c r="P167" s="132" t="s">
        <v>270</v>
      </c>
    </row>
    <row r="168">
      <c r="A168" s="131" t="s">
        <v>556</v>
      </c>
      <c r="B168" s="132" t="s">
        <v>557</v>
      </c>
      <c r="C168" s="133"/>
      <c r="D168" s="132" t="s">
        <v>64</v>
      </c>
      <c r="E168" s="133"/>
      <c r="F168" s="133"/>
      <c r="G168" s="133"/>
      <c r="H168" s="132" t="s">
        <v>147</v>
      </c>
      <c r="I168" s="132" t="s">
        <v>142</v>
      </c>
      <c r="J168" s="132">
        <v>67.5</v>
      </c>
      <c r="K168" s="132" t="s">
        <v>135</v>
      </c>
      <c r="L168" s="134"/>
      <c r="M168" s="132">
        <v>410.0</v>
      </c>
      <c r="N168" s="133"/>
      <c r="O168" s="132" t="s">
        <v>266</v>
      </c>
      <c r="P168" s="132" t="s">
        <v>270</v>
      </c>
    </row>
    <row r="169">
      <c r="A169" s="131" t="s">
        <v>558</v>
      </c>
      <c r="B169" s="132" t="s">
        <v>559</v>
      </c>
      <c r="C169" s="133"/>
      <c r="D169" s="132" t="s">
        <v>64</v>
      </c>
      <c r="E169" s="133"/>
      <c r="F169" s="133"/>
      <c r="G169" s="133"/>
      <c r="H169" s="132" t="s">
        <v>147</v>
      </c>
      <c r="I169" s="132" t="s">
        <v>142</v>
      </c>
      <c r="J169" s="132">
        <v>52.0</v>
      </c>
      <c r="K169" s="132" t="s">
        <v>135</v>
      </c>
      <c r="L169" s="134"/>
      <c r="M169" s="132">
        <v>410.0</v>
      </c>
      <c r="N169" s="133"/>
      <c r="O169" s="132" t="s">
        <v>266</v>
      </c>
      <c r="P169" s="132" t="s">
        <v>270</v>
      </c>
    </row>
    <row r="170">
      <c r="A170" s="131" t="s">
        <v>560</v>
      </c>
      <c r="B170" s="132" t="s">
        <v>561</v>
      </c>
      <c r="C170" s="133"/>
      <c r="D170" s="132" t="s">
        <v>78</v>
      </c>
      <c r="E170" s="133"/>
      <c r="F170" s="133"/>
      <c r="G170" s="133"/>
      <c r="H170" s="132" t="s">
        <v>147</v>
      </c>
      <c r="I170" s="132" t="s">
        <v>142</v>
      </c>
      <c r="J170" s="132">
        <v>82.5</v>
      </c>
      <c r="K170" s="132" t="s">
        <v>135</v>
      </c>
      <c r="L170" s="134"/>
      <c r="M170" s="132">
        <v>407.5</v>
      </c>
      <c r="N170" s="133"/>
      <c r="O170" s="134"/>
      <c r="P170" s="132" t="s">
        <v>267</v>
      </c>
    </row>
    <row r="171">
      <c r="A171" s="131" t="s">
        <v>562</v>
      </c>
      <c r="B171" s="132" t="s">
        <v>563</v>
      </c>
      <c r="C171" s="133"/>
      <c r="D171" s="132" t="s">
        <v>64</v>
      </c>
      <c r="E171" s="133"/>
      <c r="F171" s="133"/>
      <c r="G171" s="133"/>
      <c r="H171" s="132" t="s">
        <v>147</v>
      </c>
      <c r="I171" s="132" t="s">
        <v>142</v>
      </c>
      <c r="J171" s="132">
        <v>67.5</v>
      </c>
      <c r="K171" s="132" t="s">
        <v>135</v>
      </c>
      <c r="L171" s="134"/>
      <c r="M171" s="132">
        <v>407.5</v>
      </c>
      <c r="N171" s="133"/>
      <c r="O171" s="134"/>
      <c r="P171" s="132" t="s">
        <v>270</v>
      </c>
    </row>
    <row r="172">
      <c r="A172" s="131" t="s">
        <v>301</v>
      </c>
      <c r="B172" s="132" t="s">
        <v>564</v>
      </c>
      <c r="C172" s="133"/>
      <c r="D172" s="132" t="s">
        <v>78</v>
      </c>
      <c r="E172" s="133"/>
      <c r="F172" s="133"/>
      <c r="G172" s="133"/>
      <c r="H172" s="132" t="s">
        <v>147</v>
      </c>
      <c r="I172" s="132" t="s">
        <v>142</v>
      </c>
      <c r="J172" s="132" t="s">
        <v>387</v>
      </c>
      <c r="K172" s="132" t="s">
        <v>135</v>
      </c>
      <c r="L172" s="134"/>
      <c r="M172" s="132">
        <v>402.5</v>
      </c>
      <c r="N172" s="133"/>
      <c r="O172" s="134"/>
      <c r="P172" s="132" t="s">
        <v>270</v>
      </c>
    </row>
    <row r="173">
      <c r="A173" s="131" t="s">
        <v>407</v>
      </c>
      <c r="B173" s="132" t="s">
        <v>565</v>
      </c>
      <c r="C173" s="133"/>
      <c r="D173" s="132" t="s">
        <v>64</v>
      </c>
      <c r="E173" s="133"/>
      <c r="F173" s="133"/>
      <c r="G173" s="133"/>
      <c r="H173" s="132" t="s">
        <v>147</v>
      </c>
      <c r="I173" s="132" t="s">
        <v>142</v>
      </c>
      <c r="J173" s="132">
        <v>75.0</v>
      </c>
      <c r="K173" s="132" t="s">
        <v>135</v>
      </c>
      <c r="L173" s="134"/>
      <c r="M173" s="132">
        <v>400.0</v>
      </c>
      <c r="N173" s="133"/>
      <c r="O173" s="134"/>
      <c r="P173" s="132" t="s">
        <v>270</v>
      </c>
    </row>
    <row r="174">
      <c r="A174" s="131" t="s">
        <v>301</v>
      </c>
      <c r="B174" s="132" t="s">
        <v>566</v>
      </c>
      <c r="C174" s="133"/>
      <c r="D174" s="132" t="s">
        <v>64</v>
      </c>
      <c r="E174" s="133"/>
      <c r="F174" s="133"/>
      <c r="G174" s="133"/>
      <c r="H174" s="132" t="s">
        <v>147</v>
      </c>
      <c r="I174" s="132" t="s">
        <v>142</v>
      </c>
      <c r="J174" s="132">
        <v>60.0</v>
      </c>
      <c r="K174" s="132" t="s">
        <v>135</v>
      </c>
      <c r="L174" s="134"/>
      <c r="M174" s="132">
        <v>395.0</v>
      </c>
      <c r="N174" s="133"/>
      <c r="O174" s="134"/>
      <c r="P174" s="132" t="s">
        <v>270</v>
      </c>
    </row>
    <row r="175">
      <c r="A175" s="131" t="s">
        <v>94</v>
      </c>
      <c r="B175" s="132" t="s">
        <v>93</v>
      </c>
      <c r="C175" s="133"/>
      <c r="D175" s="132" t="s">
        <v>64</v>
      </c>
      <c r="E175" s="133"/>
      <c r="F175" s="133"/>
      <c r="G175" s="133"/>
      <c r="H175" s="132" t="s">
        <v>147</v>
      </c>
      <c r="I175" s="132" t="s">
        <v>142</v>
      </c>
      <c r="J175" s="132">
        <v>75.0</v>
      </c>
      <c r="K175" s="132" t="s">
        <v>135</v>
      </c>
      <c r="L175" s="134"/>
      <c r="M175" s="132">
        <v>392.5</v>
      </c>
      <c r="N175" s="133"/>
      <c r="O175" s="132" t="s">
        <v>266</v>
      </c>
      <c r="P175" s="132" t="s">
        <v>567</v>
      </c>
    </row>
    <row r="176">
      <c r="A176" s="131" t="s">
        <v>568</v>
      </c>
      <c r="B176" s="132" t="s">
        <v>487</v>
      </c>
      <c r="C176" s="133"/>
      <c r="D176" s="132" t="s">
        <v>64</v>
      </c>
      <c r="E176" s="133"/>
      <c r="F176" s="133"/>
      <c r="G176" s="133"/>
      <c r="H176" s="132" t="s">
        <v>147</v>
      </c>
      <c r="I176" s="132" t="s">
        <v>142</v>
      </c>
      <c r="J176" s="132">
        <v>67.5</v>
      </c>
      <c r="K176" s="132" t="s">
        <v>135</v>
      </c>
      <c r="L176" s="134"/>
      <c r="M176" s="132">
        <v>390.0</v>
      </c>
      <c r="N176" s="133"/>
      <c r="O176" s="132" t="s">
        <v>266</v>
      </c>
      <c r="P176" s="132" t="s">
        <v>267</v>
      </c>
    </row>
    <row r="177">
      <c r="A177" s="131" t="s">
        <v>569</v>
      </c>
      <c r="B177" s="132" t="s">
        <v>570</v>
      </c>
      <c r="C177" s="133"/>
      <c r="D177" s="132" t="s">
        <v>307</v>
      </c>
      <c r="E177" s="133"/>
      <c r="F177" s="133"/>
      <c r="G177" s="133"/>
      <c r="H177" s="132" t="s">
        <v>110</v>
      </c>
      <c r="I177" s="132" t="s">
        <v>142</v>
      </c>
      <c r="J177" s="132">
        <v>60.0</v>
      </c>
      <c r="K177" s="132" t="s">
        <v>135</v>
      </c>
      <c r="L177" s="134"/>
      <c r="M177" s="132">
        <v>390.0</v>
      </c>
      <c r="N177" s="133"/>
      <c r="O177" s="132"/>
      <c r="P177" s="132" t="s">
        <v>267</v>
      </c>
    </row>
    <row r="178">
      <c r="A178" s="131" t="s">
        <v>86</v>
      </c>
      <c r="B178" s="132" t="s">
        <v>85</v>
      </c>
      <c r="C178" s="133"/>
      <c r="D178" s="132" t="s">
        <v>64</v>
      </c>
      <c r="E178" s="133"/>
      <c r="F178" s="133"/>
      <c r="G178" s="133"/>
      <c r="H178" s="132" t="s">
        <v>147</v>
      </c>
      <c r="I178" s="132" t="s">
        <v>142</v>
      </c>
      <c r="J178" s="132">
        <v>75.0</v>
      </c>
      <c r="K178" s="132" t="s">
        <v>135</v>
      </c>
      <c r="L178" s="134"/>
      <c r="M178" s="132">
        <v>390.0</v>
      </c>
      <c r="N178" s="133"/>
      <c r="O178" s="132" t="s">
        <v>266</v>
      </c>
      <c r="P178" s="132" t="s">
        <v>444</v>
      </c>
    </row>
    <row r="179">
      <c r="A179" s="131" t="s">
        <v>571</v>
      </c>
      <c r="B179" s="132" t="s">
        <v>572</v>
      </c>
      <c r="C179" s="133"/>
      <c r="D179" s="132" t="s">
        <v>64</v>
      </c>
      <c r="E179" s="133"/>
      <c r="F179" s="133"/>
      <c r="G179" s="133"/>
      <c r="H179" s="132" t="s">
        <v>147</v>
      </c>
      <c r="I179" s="132" t="s">
        <v>142</v>
      </c>
      <c r="J179" s="132">
        <v>52.0</v>
      </c>
      <c r="K179" s="132" t="s">
        <v>135</v>
      </c>
      <c r="L179" s="134"/>
      <c r="M179" s="132">
        <v>387.5</v>
      </c>
      <c r="N179" s="133"/>
      <c r="O179" s="134"/>
      <c r="P179" s="132" t="s">
        <v>270</v>
      </c>
    </row>
    <row r="180">
      <c r="A180" s="131" t="s">
        <v>573</v>
      </c>
      <c r="B180" s="132" t="s">
        <v>574</v>
      </c>
      <c r="C180" s="133"/>
      <c r="D180" s="132" t="s">
        <v>64</v>
      </c>
      <c r="E180" s="133"/>
      <c r="F180" s="133"/>
      <c r="G180" s="133"/>
      <c r="H180" s="132" t="s">
        <v>147</v>
      </c>
      <c r="I180" s="132" t="s">
        <v>142</v>
      </c>
      <c r="J180" s="132">
        <v>60.0</v>
      </c>
      <c r="K180" s="132" t="s">
        <v>135</v>
      </c>
      <c r="L180" s="134"/>
      <c r="M180" s="132">
        <v>385.0</v>
      </c>
      <c r="N180" s="133"/>
      <c r="O180" s="132" t="s">
        <v>266</v>
      </c>
      <c r="P180" s="132" t="s">
        <v>273</v>
      </c>
    </row>
    <row r="181">
      <c r="A181" s="131" t="s">
        <v>575</v>
      </c>
      <c r="B181" s="132" t="s">
        <v>576</v>
      </c>
      <c r="C181" s="133"/>
      <c r="D181" s="132" t="s">
        <v>78</v>
      </c>
      <c r="E181" s="133"/>
      <c r="F181" s="133"/>
      <c r="G181" s="133"/>
      <c r="H181" s="132" t="s">
        <v>147</v>
      </c>
      <c r="I181" s="132" t="s">
        <v>142</v>
      </c>
      <c r="J181" s="132">
        <v>82.5</v>
      </c>
      <c r="K181" s="132" t="s">
        <v>135</v>
      </c>
      <c r="L181" s="134"/>
      <c r="M181" s="132">
        <v>382.5</v>
      </c>
      <c r="N181" s="133"/>
      <c r="O181" s="132" t="s">
        <v>266</v>
      </c>
      <c r="P181" s="132" t="s">
        <v>283</v>
      </c>
    </row>
    <row r="182">
      <c r="A182" s="131" t="s">
        <v>577</v>
      </c>
      <c r="B182" s="132" t="s">
        <v>578</v>
      </c>
      <c r="C182" s="133"/>
      <c r="D182" s="132" t="s">
        <v>64</v>
      </c>
      <c r="E182" s="133"/>
      <c r="F182" s="133"/>
      <c r="G182" s="133"/>
      <c r="H182" s="132" t="s">
        <v>147</v>
      </c>
      <c r="I182" s="132" t="s">
        <v>142</v>
      </c>
      <c r="J182" s="132">
        <v>67.5</v>
      </c>
      <c r="K182" s="132" t="s">
        <v>135</v>
      </c>
      <c r="L182" s="134"/>
      <c r="M182" s="132">
        <v>382.5</v>
      </c>
      <c r="N182" s="133"/>
      <c r="O182" s="132" t="s">
        <v>266</v>
      </c>
      <c r="P182" s="132" t="s">
        <v>270</v>
      </c>
    </row>
    <row r="183">
      <c r="A183" s="131" t="s">
        <v>90</v>
      </c>
      <c r="B183" s="132" t="s">
        <v>89</v>
      </c>
      <c r="C183" s="133"/>
      <c r="D183" s="132" t="s">
        <v>64</v>
      </c>
      <c r="E183" s="133"/>
      <c r="F183" s="133"/>
      <c r="G183" s="133"/>
      <c r="H183" s="132" t="s">
        <v>147</v>
      </c>
      <c r="I183" s="132" t="s">
        <v>142</v>
      </c>
      <c r="J183" s="132">
        <v>75.0</v>
      </c>
      <c r="K183" s="132" t="s">
        <v>135</v>
      </c>
      <c r="L183" s="134"/>
      <c r="M183" s="132">
        <v>380.0</v>
      </c>
      <c r="N183" s="133"/>
      <c r="O183" s="132" t="s">
        <v>266</v>
      </c>
      <c r="P183" s="132" t="s">
        <v>341</v>
      </c>
    </row>
    <row r="184">
      <c r="A184" s="131" t="s">
        <v>579</v>
      </c>
      <c r="B184" s="132" t="s">
        <v>115</v>
      </c>
      <c r="C184" s="133"/>
      <c r="D184" s="132" t="s">
        <v>307</v>
      </c>
      <c r="E184" s="133"/>
      <c r="F184" s="133"/>
      <c r="G184" s="133"/>
      <c r="H184" s="132" t="s">
        <v>110</v>
      </c>
      <c r="I184" s="132" t="s">
        <v>142</v>
      </c>
      <c r="J184" s="132">
        <v>60.0</v>
      </c>
      <c r="K184" s="132" t="s">
        <v>135</v>
      </c>
      <c r="L184" s="134"/>
      <c r="M184" s="132">
        <v>380.0</v>
      </c>
      <c r="N184" s="133"/>
      <c r="O184" s="132" t="s">
        <v>266</v>
      </c>
      <c r="P184" s="132" t="s">
        <v>316</v>
      </c>
    </row>
    <row r="185">
      <c r="A185" s="131" t="s">
        <v>568</v>
      </c>
      <c r="B185" s="132" t="s">
        <v>580</v>
      </c>
      <c r="C185" s="133"/>
      <c r="D185" s="132" t="s">
        <v>78</v>
      </c>
      <c r="E185" s="133"/>
      <c r="F185" s="133"/>
      <c r="G185" s="133"/>
      <c r="H185" s="132" t="s">
        <v>147</v>
      </c>
      <c r="I185" s="132" t="s">
        <v>142</v>
      </c>
      <c r="J185" s="132" t="s">
        <v>387</v>
      </c>
      <c r="K185" s="132" t="s">
        <v>135</v>
      </c>
      <c r="L185" s="134"/>
      <c r="M185" s="132">
        <v>375.0</v>
      </c>
      <c r="N185" s="133"/>
      <c r="O185" s="132"/>
      <c r="P185" s="132" t="s">
        <v>267</v>
      </c>
    </row>
    <row r="186">
      <c r="A186" s="131" t="s">
        <v>502</v>
      </c>
      <c r="B186" s="132" t="s">
        <v>581</v>
      </c>
      <c r="C186" s="133"/>
      <c r="D186" s="132" t="s">
        <v>64</v>
      </c>
      <c r="E186" s="133"/>
      <c r="F186" s="133"/>
      <c r="G186" s="133"/>
      <c r="H186" s="132" t="s">
        <v>147</v>
      </c>
      <c r="I186" s="132" t="s">
        <v>142</v>
      </c>
      <c r="J186" s="132">
        <v>52.0</v>
      </c>
      <c r="K186" s="132" t="s">
        <v>135</v>
      </c>
      <c r="L186" s="134"/>
      <c r="M186" s="132">
        <v>375.0</v>
      </c>
      <c r="N186" s="133"/>
      <c r="O186" s="132" t="s">
        <v>266</v>
      </c>
      <c r="P186" s="132" t="s">
        <v>270</v>
      </c>
    </row>
    <row r="187">
      <c r="A187" s="131" t="s">
        <v>107</v>
      </c>
      <c r="B187" s="132" t="s">
        <v>95</v>
      </c>
      <c r="C187" s="133"/>
      <c r="D187" s="132" t="s">
        <v>78</v>
      </c>
      <c r="E187" s="133"/>
      <c r="F187" s="133"/>
      <c r="G187" s="133"/>
      <c r="H187" s="132" t="s">
        <v>147</v>
      </c>
      <c r="I187" s="132" t="s">
        <v>142</v>
      </c>
      <c r="J187" s="132">
        <v>100.0</v>
      </c>
      <c r="K187" s="132" t="s">
        <v>135</v>
      </c>
      <c r="L187" s="134"/>
      <c r="M187" s="132">
        <v>375.0</v>
      </c>
      <c r="N187" s="133"/>
      <c r="O187" s="132" t="s">
        <v>266</v>
      </c>
      <c r="P187" s="132" t="s">
        <v>444</v>
      </c>
    </row>
    <row r="188">
      <c r="A188" s="131" t="s">
        <v>582</v>
      </c>
      <c r="B188" s="132" t="s">
        <v>583</v>
      </c>
      <c r="C188" s="133"/>
      <c r="D188" s="132" t="s">
        <v>64</v>
      </c>
      <c r="E188" s="133"/>
      <c r="F188" s="133"/>
      <c r="G188" s="133"/>
      <c r="H188" s="132" t="s">
        <v>147</v>
      </c>
      <c r="I188" s="132" t="s">
        <v>142</v>
      </c>
      <c r="J188" s="132">
        <v>60.0</v>
      </c>
      <c r="K188" s="132" t="s">
        <v>135</v>
      </c>
      <c r="L188" s="134"/>
      <c r="M188" s="132">
        <v>372.5</v>
      </c>
      <c r="N188" s="133"/>
      <c r="O188" s="134"/>
      <c r="P188" s="132" t="s">
        <v>270</v>
      </c>
    </row>
    <row r="189">
      <c r="A189" s="131" t="s">
        <v>584</v>
      </c>
      <c r="B189" s="132" t="s">
        <v>105</v>
      </c>
      <c r="C189" s="133"/>
      <c r="D189" s="132" t="s">
        <v>78</v>
      </c>
      <c r="E189" s="133"/>
      <c r="F189" s="133"/>
      <c r="G189" s="133"/>
      <c r="H189" s="132" t="s">
        <v>147</v>
      </c>
      <c r="I189" s="132" t="s">
        <v>142</v>
      </c>
      <c r="J189" s="132">
        <v>100.0</v>
      </c>
      <c r="K189" s="132" t="s">
        <v>135</v>
      </c>
      <c r="L189" s="134"/>
      <c r="M189" s="132">
        <v>367.5</v>
      </c>
      <c r="N189" s="133"/>
      <c r="O189" s="132" t="s">
        <v>266</v>
      </c>
      <c r="P189" s="132" t="s">
        <v>267</v>
      </c>
    </row>
    <row r="190">
      <c r="A190" s="131" t="s">
        <v>301</v>
      </c>
      <c r="B190" s="132" t="s">
        <v>585</v>
      </c>
      <c r="C190" s="133"/>
      <c r="D190" s="132" t="s">
        <v>78</v>
      </c>
      <c r="E190" s="133"/>
      <c r="F190" s="133"/>
      <c r="G190" s="133"/>
      <c r="H190" s="132" t="s">
        <v>147</v>
      </c>
      <c r="I190" s="132" t="s">
        <v>142</v>
      </c>
      <c r="J190" s="132">
        <v>100.0</v>
      </c>
      <c r="K190" s="132" t="s">
        <v>135</v>
      </c>
      <c r="L190" s="134"/>
      <c r="M190" s="132">
        <v>367.5</v>
      </c>
      <c r="N190" s="133"/>
      <c r="O190" s="132"/>
      <c r="P190" s="132" t="s">
        <v>270</v>
      </c>
    </row>
    <row r="191">
      <c r="A191" s="131" t="s">
        <v>58</v>
      </c>
      <c r="B191" s="132" t="s">
        <v>57</v>
      </c>
      <c r="C191" s="133"/>
      <c r="D191" s="132" t="s">
        <v>64</v>
      </c>
      <c r="E191" s="133"/>
      <c r="F191" s="133"/>
      <c r="G191" s="133"/>
      <c r="H191" s="132" t="s">
        <v>147</v>
      </c>
      <c r="I191" s="132" t="s">
        <v>142</v>
      </c>
      <c r="J191" s="132">
        <v>60.0</v>
      </c>
      <c r="K191" s="132" t="s">
        <v>135</v>
      </c>
      <c r="L191" s="134"/>
      <c r="M191" s="132">
        <v>367.5</v>
      </c>
      <c r="N191" s="133"/>
      <c r="O191" s="132" t="s">
        <v>266</v>
      </c>
      <c r="P191" s="132" t="s">
        <v>380</v>
      </c>
    </row>
    <row r="192">
      <c r="A192" s="131" t="s">
        <v>586</v>
      </c>
      <c r="B192" s="132" t="s">
        <v>587</v>
      </c>
      <c r="C192" s="133"/>
      <c r="D192" s="132" t="s">
        <v>307</v>
      </c>
      <c r="E192" s="133"/>
      <c r="F192" s="133"/>
      <c r="G192" s="133"/>
      <c r="H192" s="132" t="s">
        <v>147</v>
      </c>
      <c r="I192" s="132" t="s">
        <v>142</v>
      </c>
      <c r="J192" s="132">
        <v>48.0</v>
      </c>
      <c r="K192" s="132" t="s">
        <v>135</v>
      </c>
      <c r="L192" s="134"/>
      <c r="M192" s="132">
        <v>367.5</v>
      </c>
      <c r="N192" s="133"/>
      <c r="O192" s="132" t="s">
        <v>266</v>
      </c>
      <c r="P192" s="132" t="s">
        <v>267</v>
      </c>
    </row>
    <row r="193">
      <c r="A193" s="131" t="s">
        <v>559</v>
      </c>
      <c r="B193" s="132" t="s">
        <v>588</v>
      </c>
      <c r="C193" s="133"/>
      <c r="D193" s="132" t="s">
        <v>78</v>
      </c>
      <c r="E193" s="133"/>
      <c r="F193" s="133"/>
      <c r="G193" s="133"/>
      <c r="H193" s="132" t="s">
        <v>147</v>
      </c>
      <c r="I193" s="132" t="s">
        <v>142</v>
      </c>
      <c r="J193" s="132">
        <v>90.0</v>
      </c>
      <c r="K193" s="132" t="s">
        <v>135</v>
      </c>
      <c r="L193" s="134"/>
      <c r="M193" s="132">
        <v>365.0</v>
      </c>
      <c r="N193" s="133"/>
      <c r="O193" s="132" t="s">
        <v>266</v>
      </c>
      <c r="P193" s="132" t="s">
        <v>267</v>
      </c>
    </row>
    <row r="194">
      <c r="A194" s="131" t="s">
        <v>589</v>
      </c>
      <c r="B194" s="132" t="s">
        <v>590</v>
      </c>
      <c r="C194" s="133"/>
      <c r="D194" s="132" t="s">
        <v>64</v>
      </c>
      <c r="E194" s="133"/>
      <c r="F194" s="133"/>
      <c r="G194" s="133"/>
      <c r="H194" s="132" t="s">
        <v>147</v>
      </c>
      <c r="I194" s="132" t="s">
        <v>142</v>
      </c>
      <c r="J194" s="132">
        <v>67.5</v>
      </c>
      <c r="K194" s="132" t="s">
        <v>135</v>
      </c>
      <c r="L194" s="134"/>
      <c r="M194" s="132">
        <v>365.0</v>
      </c>
      <c r="N194" s="133"/>
      <c r="O194" s="132"/>
      <c r="P194" s="132" t="s">
        <v>270</v>
      </c>
    </row>
    <row r="195">
      <c r="A195" s="131" t="s">
        <v>63</v>
      </c>
      <c r="B195" s="132" t="s">
        <v>62</v>
      </c>
      <c r="C195" s="133"/>
      <c r="D195" s="132" t="s">
        <v>64</v>
      </c>
      <c r="E195" s="133"/>
      <c r="F195" s="133"/>
      <c r="G195" s="133"/>
      <c r="H195" s="132" t="s">
        <v>147</v>
      </c>
      <c r="I195" s="132" t="s">
        <v>142</v>
      </c>
      <c r="J195" s="132">
        <v>67.5</v>
      </c>
      <c r="K195" s="132" t="s">
        <v>135</v>
      </c>
      <c r="L195" s="134"/>
      <c r="M195" s="132">
        <v>365.0</v>
      </c>
      <c r="N195" s="133"/>
      <c r="O195" s="132" t="s">
        <v>266</v>
      </c>
      <c r="P195" s="132" t="s">
        <v>339</v>
      </c>
    </row>
    <row r="196">
      <c r="A196" s="131" t="s">
        <v>591</v>
      </c>
      <c r="B196" s="132" t="s">
        <v>592</v>
      </c>
      <c r="C196" s="133"/>
      <c r="D196" s="132" t="s">
        <v>307</v>
      </c>
      <c r="E196" s="133"/>
      <c r="F196" s="133"/>
      <c r="G196" s="133"/>
      <c r="H196" s="132" t="s">
        <v>110</v>
      </c>
      <c r="I196" s="132" t="s">
        <v>142</v>
      </c>
      <c r="J196" s="132">
        <v>56.0</v>
      </c>
      <c r="K196" s="132" t="s">
        <v>135</v>
      </c>
      <c r="L196" s="134"/>
      <c r="M196" s="132">
        <v>365.0</v>
      </c>
      <c r="N196" s="133"/>
      <c r="O196" s="134"/>
      <c r="P196" s="132" t="s">
        <v>270</v>
      </c>
    </row>
    <row r="197">
      <c r="A197" s="131" t="s">
        <v>593</v>
      </c>
      <c r="B197" s="132" t="s">
        <v>544</v>
      </c>
      <c r="C197" s="133"/>
      <c r="D197" s="132" t="s">
        <v>78</v>
      </c>
      <c r="E197" s="133"/>
      <c r="F197" s="133"/>
      <c r="G197" s="133"/>
      <c r="H197" s="132" t="s">
        <v>147</v>
      </c>
      <c r="I197" s="132" t="s">
        <v>142</v>
      </c>
      <c r="J197" s="132">
        <v>82.5</v>
      </c>
      <c r="K197" s="132" t="s">
        <v>135</v>
      </c>
      <c r="L197" s="134"/>
      <c r="M197" s="132">
        <v>362.5</v>
      </c>
      <c r="N197" s="133"/>
      <c r="O197" s="133"/>
      <c r="P197" s="132" t="s">
        <v>270</v>
      </c>
    </row>
    <row r="198">
      <c r="A198" s="131" t="s">
        <v>594</v>
      </c>
      <c r="B198" s="132" t="s">
        <v>595</v>
      </c>
      <c r="C198" s="133"/>
      <c r="D198" s="132" t="s">
        <v>64</v>
      </c>
      <c r="E198" s="133"/>
      <c r="F198" s="133"/>
      <c r="G198" s="133"/>
      <c r="H198" s="132" t="s">
        <v>147</v>
      </c>
      <c r="I198" s="132" t="s">
        <v>142</v>
      </c>
      <c r="J198" s="132">
        <v>67.5</v>
      </c>
      <c r="K198" s="132" t="s">
        <v>135</v>
      </c>
      <c r="L198" s="134"/>
      <c r="M198" s="132">
        <v>362.5</v>
      </c>
      <c r="N198" s="133"/>
      <c r="O198" s="134"/>
      <c r="P198" s="132" t="s">
        <v>267</v>
      </c>
    </row>
    <row r="199">
      <c r="A199" s="131" t="s">
        <v>596</v>
      </c>
      <c r="B199" s="132" t="s">
        <v>499</v>
      </c>
      <c r="C199" s="133"/>
      <c r="D199" s="132" t="s">
        <v>78</v>
      </c>
      <c r="E199" s="133"/>
      <c r="F199" s="133"/>
      <c r="G199" s="133"/>
      <c r="H199" s="132" t="s">
        <v>147</v>
      </c>
      <c r="I199" s="132" t="s">
        <v>142</v>
      </c>
      <c r="J199" s="132">
        <v>100.0</v>
      </c>
      <c r="K199" s="132" t="s">
        <v>135</v>
      </c>
      <c r="L199" s="134"/>
      <c r="M199" s="132">
        <v>362.5</v>
      </c>
      <c r="N199" s="133"/>
      <c r="O199" s="132"/>
      <c r="P199" s="132" t="s">
        <v>270</v>
      </c>
    </row>
    <row r="200">
      <c r="A200" s="131" t="s">
        <v>68</v>
      </c>
      <c r="B200" s="132" t="s">
        <v>67</v>
      </c>
      <c r="C200" s="133"/>
      <c r="D200" s="132" t="s">
        <v>64</v>
      </c>
      <c r="E200" s="133"/>
      <c r="F200" s="133"/>
      <c r="G200" s="133"/>
      <c r="H200" s="132" t="s">
        <v>147</v>
      </c>
      <c r="I200" s="132" t="s">
        <v>142</v>
      </c>
      <c r="J200" s="132">
        <v>67.5</v>
      </c>
      <c r="K200" s="132" t="s">
        <v>135</v>
      </c>
      <c r="L200" s="134"/>
      <c r="M200" s="132">
        <v>362.5</v>
      </c>
      <c r="N200" s="133"/>
      <c r="O200" s="132" t="s">
        <v>266</v>
      </c>
      <c r="P200" s="132" t="s">
        <v>597</v>
      </c>
    </row>
    <row r="201">
      <c r="A201" s="131" t="s">
        <v>598</v>
      </c>
      <c r="B201" s="132" t="s">
        <v>599</v>
      </c>
      <c r="C201" s="133"/>
      <c r="D201" s="132" t="s">
        <v>64</v>
      </c>
      <c r="E201" s="133"/>
      <c r="F201" s="133"/>
      <c r="G201" s="133"/>
      <c r="H201" s="132" t="s">
        <v>147</v>
      </c>
      <c r="I201" s="132" t="s">
        <v>142</v>
      </c>
      <c r="J201" s="132">
        <v>60.0</v>
      </c>
      <c r="K201" s="132" t="s">
        <v>135</v>
      </c>
      <c r="L201" s="134"/>
      <c r="M201" s="132">
        <v>362.5</v>
      </c>
      <c r="N201" s="133"/>
      <c r="O201" s="134"/>
      <c r="P201" s="132" t="s">
        <v>270</v>
      </c>
    </row>
    <row r="202">
      <c r="A202" s="131" t="s">
        <v>600</v>
      </c>
      <c r="B202" s="132" t="s">
        <v>601</v>
      </c>
      <c r="C202" s="133"/>
      <c r="D202" s="132" t="s">
        <v>64</v>
      </c>
      <c r="E202" s="133"/>
      <c r="F202" s="133"/>
      <c r="G202" s="133"/>
      <c r="H202" s="132" t="s">
        <v>147</v>
      </c>
      <c r="I202" s="132" t="s">
        <v>142</v>
      </c>
      <c r="J202" s="132">
        <v>67.5</v>
      </c>
      <c r="K202" s="132" t="s">
        <v>135</v>
      </c>
      <c r="L202" s="134"/>
      <c r="M202" s="132">
        <v>360.0</v>
      </c>
      <c r="N202" s="133"/>
      <c r="O202" s="134"/>
      <c r="P202" s="132" t="s">
        <v>270</v>
      </c>
    </row>
    <row r="203">
      <c r="A203" s="131" t="s">
        <v>602</v>
      </c>
      <c r="B203" s="132" t="s">
        <v>332</v>
      </c>
      <c r="C203" s="133"/>
      <c r="D203" s="132" t="s">
        <v>78</v>
      </c>
      <c r="E203" s="133"/>
      <c r="F203" s="133"/>
      <c r="G203" s="133"/>
      <c r="H203" s="132" t="s">
        <v>147</v>
      </c>
      <c r="I203" s="132" t="s">
        <v>142</v>
      </c>
      <c r="J203" s="132">
        <v>90.0</v>
      </c>
      <c r="K203" s="132" t="s">
        <v>135</v>
      </c>
      <c r="L203" s="134"/>
      <c r="M203" s="132">
        <v>355.0</v>
      </c>
      <c r="N203" s="133"/>
      <c r="O203" s="133"/>
      <c r="P203" s="132" t="s">
        <v>270</v>
      </c>
    </row>
    <row r="204">
      <c r="A204" s="131" t="s">
        <v>603</v>
      </c>
      <c r="B204" s="132" t="s">
        <v>604</v>
      </c>
      <c r="C204" s="133"/>
      <c r="D204" s="132" t="s">
        <v>307</v>
      </c>
      <c r="E204" s="133"/>
      <c r="F204" s="133"/>
      <c r="G204" s="133"/>
      <c r="H204" s="132" t="s">
        <v>147</v>
      </c>
      <c r="I204" s="132" t="s">
        <v>142</v>
      </c>
      <c r="J204" s="132">
        <v>48.0</v>
      </c>
      <c r="K204" s="132" t="s">
        <v>135</v>
      </c>
      <c r="L204" s="134"/>
      <c r="M204" s="132">
        <v>353.5</v>
      </c>
      <c r="N204" s="133"/>
      <c r="O204" s="132" t="s">
        <v>266</v>
      </c>
      <c r="P204" s="132" t="s">
        <v>270</v>
      </c>
    </row>
    <row r="205">
      <c r="A205" s="131" t="s">
        <v>104</v>
      </c>
      <c r="B205" s="132" t="s">
        <v>103</v>
      </c>
      <c r="C205" s="133"/>
      <c r="D205" s="132" t="s">
        <v>78</v>
      </c>
      <c r="E205" s="133"/>
      <c r="F205" s="133"/>
      <c r="G205" s="133"/>
      <c r="H205" s="132" t="s">
        <v>147</v>
      </c>
      <c r="I205" s="132" t="s">
        <v>142</v>
      </c>
      <c r="J205" s="132">
        <v>100.0</v>
      </c>
      <c r="K205" s="132" t="s">
        <v>135</v>
      </c>
      <c r="L205" s="134"/>
      <c r="M205" s="132">
        <v>352.5</v>
      </c>
      <c r="N205" s="133"/>
      <c r="O205" s="132" t="s">
        <v>266</v>
      </c>
      <c r="P205" s="132" t="s">
        <v>380</v>
      </c>
    </row>
    <row r="206">
      <c r="A206" s="131" t="s">
        <v>605</v>
      </c>
      <c r="B206" s="132" t="s">
        <v>606</v>
      </c>
      <c r="C206" s="133"/>
      <c r="D206" s="132" t="s">
        <v>64</v>
      </c>
      <c r="E206" s="133"/>
      <c r="F206" s="133"/>
      <c r="G206" s="133"/>
      <c r="H206" s="132" t="s">
        <v>147</v>
      </c>
      <c r="I206" s="132" t="s">
        <v>142</v>
      </c>
      <c r="J206" s="132">
        <v>60.0</v>
      </c>
      <c r="K206" s="132" t="s">
        <v>135</v>
      </c>
      <c r="L206" s="134"/>
      <c r="M206" s="132">
        <v>352.5</v>
      </c>
      <c r="N206" s="133"/>
      <c r="O206" s="134"/>
      <c r="P206" s="132" t="s">
        <v>270</v>
      </c>
    </row>
    <row r="207">
      <c r="A207" s="131" t="s">
        <v>607</v>
      </c>
      <c r="B207" s="132" t="s">
        <v>393</v>
      </c>
      <c r="C207" s="133"/>
      <c r="D207" s="132" t="s">
        <v>64</v>
      </c>
      <c r="E207" s="133"/>
      <c r="F207" s="133"/>
      <c r="G207" s="133"/>
      <c r="H207" s="132" t="s">
        <v>147</v>
      </c>
      <c r="I207" s="132" t="s">
        <v>142</v>
      </c>
      <c r="J207" s="132">
        <v>67.5</v>
      </c>
      <c r="K207" s="132" t="s">
        <v>135</v>
      </c>
      <c r="L207" s="134"/>
      <c r="M207" s="132">
        <v>352.5</v>
      </c>
      <c r="N207" s="133"/>
      <c r="O207" s="134"/>
      <c r="P207" s="132" t="s">
        <v>270</v>
      </c>
    </row>
    <row r="208">
      <c r="A208" s="131" t="s">
        <v>608</v>
      </c>
      <c r="B208" s="132" t="s">
        <v>554</v>
      </c>
      <c r="C208" s="133"/>
      <c r="D208" s="132" t="s">
        <v>64</v>
      </c>
      <c r="E208" s="133"/>
      <c r="F208" s="133"/>
      <c r="G208" s="133"/>
      <c r="H208" s="132" t="s">
        <v>147</v>
      </c>
      <c r="I208" s="132" t="s">
        <v>142</v>
      </c>
      <c r="J208" s="132">
        <v>75.0</v>
      </c>
      <c r="K208" s="132" t="s">
        <v>135</v>
      </c>
      <c r="L208" s="134"/>
      <c r="M208" s="132">
        <v>352.5</v>
      </c>
      <c r="N208" s="133"/>
      <c r="O208" s="132"/>
      <c r="P208" s="132" t="s">
        <v>270</v>
      </c>
    </row>
    <row r="209">
      <c r="A209" s="131" t="s">
        <v>88</v>
      </c>
      <c r="B209" s="132" t="s">
        <v>87</v>
      </c>
      <c r="C209" s="133"/>
      <c r="D209" s="132" t="s">
        <v>64</v>
      </c>
      <c r="E209" s="133"/>
      <c r="F209" s="133"/>
      <c r="G209" s="133"/>
      <c r="H209" s="132" t="s">
        <v>147</v>
      </c>
      <c r="I209" s="132" t="s">
        <v>142</v>
      </c>
      <c r="J209" s="132">
        <v>75.0</v>
      </c>
      <c r="K209" s="132" t="s">
        <v>135</v>
      </c>
      <c r="L209" s="134"/>
      <c r="M209" s="132">
        <v>352.5</v>
      </c>
      <c r="N209" s="133"/>
      <c r="O209" s="132" t="s">
        <v>266</v>
      </c>
      <c r="P209" s="132" t="s">
        <v>609</v>
      </c>
    </row>
    <row r="210">
      <c r="A210" s="131" t="s">
        <v>388</v>
      </c>
      <c r="B210" s="132" t="s">
        <v>97</v>
      </c>
      <c r="C210" s="133"/>
      <c r="D210" s="132" t="s">
        <v>64</v>
      </c>
      <c r="E210" s="133"/>
      <c r="F210" s="133"/>
      <c r="G210" s="133"/>
      <c r="H210" s="132" t="s">
        <v>147</v>
      </c>
      <c r="I210" s="132" t="s">
        <v>142</v>
      </c>
      <c r="J210" s="132">
        <v>67.5</v>
      </c>
      <c r="K210" s="132" t="s">
        <v>135</v>
      </c>
      <c r="L210" s="134"/>
      <c r="M210" s="132">
        <v>350.0</v>
      </c>
      <c r="N210" s="133"/>
      <c r="O210" s="134"/>
      <c r="P210" s="132" t="s">
        <v>270</v>
      </c>
    </row>
    <row r="211">
      <c r="A211" s="131" t="s">
        <v>108</v>
      </c>
      <c r="B211" s="132" t="s">
        <v>610</v>
      </c>
      <c r="C211" s="133"/>
      <c r="D211" s="132" t="s">
        <v>78</v>
      </c>
      <c r="E211" s="133"/>
      <c r="F211" s="133"/>
      <c r="G211" s="133"/>
      <c r="H211" s="132" t="s">
        <v>147</v>
      </c>
      <c r="I211" s="132" t="s">
        <v>142</v>
      </c>
      <c r="J211" s="132">
        <v>90.0</v>
      </c>
      <c r="K211" s="132" t="s">
        <v>135</v>
      </c>
      <c r="L211" s="134"/>
      <c r="M211" s="132">
        <v>350.0</v>
      </c>
      <c r="N211" s="133"/>
      <c r="O211" s="134"/>
      <c r="P211" s="132" t="s">
        <v>267</v>
      </c>
    </row>
    <row r="212">
      <c r="A212" s="131" t="s">
        <v>61</v>
      </c>
      <c r="B212" s="132" t="s">
        <v>60</v>
      </c>
      <c r="C212" s="133"/>
      <c r="D212" s="132" t="s">
        <v>64</v>
      </c>
      <c r="E212" s="133"/>
      <c r="F212" s="133"/>
      <c r="G212" s="133"/>
      <c r="H212" s="132" t="s">
        <v>147</v>
      </c>
      <c r="I212" s="132" t="s">
        <v>142</v>
      </c>
      <c r="J212" s="132">
        <v>60.0</v>
      </c>
      <c r="K212" s="132" t="s">
        <v>135</v>
      </c>
      <c r="L212" s="134"/>
      <c r="M212" s="132">
        <v>347.5</v>
      </c>
      <c r="N212" s="133"/>
      <c r="O212" s="132" t="s">
        <v>266</v>
      </c>
      <c r="P212" s="132" t="s">
        <v>380</v>
      </c>
    </row>
    <row r="213">
      <c r="A213" s="131" t="s">
        <v>611</v>
      </c>
      <c r="B213" s="132" t="s">
        <v>612</v>
      </c>
      <c r="C213" s="133"/>
      <c r="D213" s="132" t="s">
        <v>64</v>
      </c>
      <c r="E213" s="133"/>
      <c r="F213" s="133"/>
      <c r="G213" s="133"/>
      <c r="H213" s="132" t="s">
        <v>147</v>
      </c>
      <c r="I213" s="132" t="s">
        <v>142</v>
      </c>
      <c r="J213" s="132">
        <v>75.0</v>
      </c>
      <c r="K213" s="132" t="s">
        <v>135</v>
      </c>
      <c r="L213" s="134"/>
      <c r="M213" s="132">
        <v>345.0</v>
      </c>
      <c r="N213" s="133"/>
      <c r="O213" s="132"/>
      <c r="P213" s="132" t="s">
        <v>270</v>
      </c>
    </row>
    <row r="214">
      <c r="A214" s="131" t="s">
        <v>613</v>
      </c>
      <c r="B214" s="132" t="s">
        <v>614</v>
      </c>
      <c r="C214" s="133"/>
      <c r="D214" s="132" t="s">
        <v>64</v>
      </c>
      <c r="E214" s="133"/>
      <c r="F214" s="133"/>
      <c r="G214" s="133"/>
      <c r="H214" s="132" t="s">
        <v>147</v>
      </c>
      <c r="I214" s="132" t="s">
        <v>142</v>
      </c>
      <c r="J214" s="132">
        <v>75.0</v>
      </c>
      <c r="K214" s="132" t="s">
        <v>135</v>
      </c>
      <c r="L214" s="134"/>
      <c r="M214" s="132">
        <v>345.0</v>
      </c>
      <c r="N214" s="133"/>
      <c r="O214" s="133"/>
      <c r="P214" s="132" t="s">
        <v>270</v>
      </c>
    </row>
    <row r="215">
      <c r="A215" s="131" t="s">
        <v>615</v>
      </c>
      <c r="B215" s="132" t="s">
        <v>470</v>
      </c>
      <c r="C215" s="133"/>
      <c r="D215" s="132" t="s">
        <v>64</v>
      </c>
      <c r="E215" s="133"/>
      <c r="F215" s="133"/>
      <c r="G215" s="133"/>
      <c r="H215" s="132" t="s">
        <v>147</v>
      </c>
      <c r="I215" s="132" t="s">
        <v>142</v>
      </c>
      <c r="J215" s="132">
        <v>60.0</v>
      </c>
      <c r="K215" s="132" t="s">
        <v>135</v>
      </c>
      <c r="L215" s="134"/>
      <c r="M215" s="132">
        <v>345.0</v>
      </c>
      <c r="N215" s="133"/>
      <c r="O215" s="133"/>
      <c r="P215" s="132" t="s">
        <v>270</v>
      </c>
    </row>
    <row r="216">
      <c r="A216" s="131" t="s">
        <v>41</v>
      </c>
      <c r="B216" s="132" t="s">
        <v>40</v>
      </c>
      <c r="C216" s="133"/>
      <c r="D216" s="132" t="s">
        <v>64</v>
      </c>
      <c r="E216" s="133"/>
      <c r="F216" s="133"/>
      <c r="G216" s="133"/>
      <c r="H216" s="132" t="s">
        <v>147</v>
      </c>
      <c r="I216" s="132" t="s">
        <v>142</v>
      </c>
      <c r="J216" s="132">
        <v>52.0</v>
      </c>
      <c r="K216" s="132" t="s">
        <v>135</v>
      </c>
      <c r="L216" s="134"/>
      <c r="M216" s="132">
        <v>345.0</v>
      </c>
      <c r="N216" s="133"/>
      <c r="O216" s="132" t="s">
        <v>266</v>
      </c>
      <c r="P216" s="132" t="s">
        <v>609</v>
      </c>
    </row>
    <row r="217">
      <c r="A217" s="131" t="s">
        <v>616</v>
      </c>
      <c r="B217" s="132" t="s">
        <v>49</v>
      </c>
      <c r="C217" s="133"/>
      <c r="D217" s="132" t="s">
        <v>307</v>
      </c>
      <c r="E217" s="133"/>
      <c r="F217" s="133"/>
      <c r="G217" s="133"/>
      <c r="H217" s="132" t="s">
        <v>147</v>
      </c>
      <c r="I217" s="132" t="s">
        <v>142</v>
      </c>
      <c r="J217" s="132">
        <v>44.0</v>
      </c>
      <c r="K217" s="132" t="s">
        <v>135</v>
      </c>
      <c r="L217" s="134"/>
      <c r="M217" s="132">
        <v>343.0</v>
      </c>
      <c r="N217" s="133"/>
      <c r="O217" s="132" t="s">
        <v>266</v>
      </c>
      <c r="P217" s="132" t="s">
        <v>270</v>
      </c>
    </row>
    <row r="218">
      <c r="A218" s="131" t="s">
        <v>66</v>
      </c>
      <c r="B218" s="132" t="s">
        <v>65</v>
      </c>
      <c r="C218" s="133"/>
      <c r="D218" s="132" t="s">
        <v>64</v>
      </c>
      <c r="E218" s="133"/>
      <c r="F218" s="133"/>
      <c r="G218" s="133"/>
      <c r="H218" s="132" t="s">
        <v>147</v>
      </c>
      <c r="I218" s="132" t="s">
        <v>142</v>
      </c>
      <c r="J218" s="132">
        <v>67.5</v>
      </c>
      <c r="K218" s="132" t="s">
        <v>135</v>
      </c>
      <c r="L218" s="134"/>
      <c r="M218" s="132">
        <v>342.5</v>
      </c>
      <c r="N218" s="133"/>
      <c r="O218" s="132" t="s">
        <v>266</v>
      </c>
      <c r="P218" s="132" t="s">
        <v>380</v>
      </c>
    </row>
    <row r="219">
      <c r="A219" s="131" t="s">
        <v>335</v>
      </c>
      <c r="B219" s="132" t="s">
        <v>617</v>
      </c>
      <c r="C219" s="133"/>
      <c r="D219" s="132" t="s">
        <v>307</v>
      </c>
      <c r="E219" s="133"/>
      <c r="F219" s="133"/>
      <c r="G219" s="133"/>
      <c r="H219" s="132" t="s">
        <v>147</v>
      </c>
      <c r="I219" s="132" t="s">
        <v>142</v>
      </c>
      <c r="J219" s="132">
        <v>48.0</v>
      </c>
      <c r="K219" s="132" t="s">
        <v>135</v>
      </c>
      <c r="L219" s="134"/>
      <c r="M219" s="132">
        <v>340.0</v>
      </c>
      <c r="N219" s="133"/>
      <c r="O219" s="132" t="s">
        <v>266</v>
      </c>
      <c r="P219" s="132" t="s">
        <v>270</v>
      </c>
    </row>
    <row r="220">
      <c r="A220" s="131" t="s">
        <v>618</v>
      </c>
      <c r="B220" s="132" t="s">
        <v>619</v>
      </c>
      <c r="C220" s="133"/>
      <c r="D220" s="132" t="s">
        <v>64</v>
      </c>
      <c r="E220" s="133"/>
      <c r="F220" s="133"/>
      <c r="G220" s="133"/>
      <c r="H220" s="132" t="s">
        <v>147</v>
      </c>
      <c r="I220" s="132" t="s">
        <v>142</v>
      </c>
      <c r="J220" s="132">
        <v>67.5</v>
      </c>
      <c r="K220" s="132" t="s">
        <v>135</v>
      </c>
      <c r="L220" s="134"/>
      <c r="M220" s="132">
        <v>340.0</v>
      </c>
      <c r="N220" s="133"/>
      <c r="O220" s="134"/>
      <c r="P220" s="132" t="s">
        <v>270</v>
      </c>
    </row>
    <row r="221">
      <c r="A221" s="131" t="s">
        <v>620</v>
      </c>
      <c r="B221" s="132" t="s">
        <v>621</v>
      </c>
      <c r="C221" s="133"/>
      <c r="D221" s="132" t="s">
        <v>78</v>
      </c>
      <c r="E221" s="133"/>
      <c r="F221" s="133"/>
      <c r="G221" s="133"/>
      <c r="H221" s="132" t="s">
        <v>147</v>
      </c>
      <c r="I221" s="132" t="s">
        <v>142</v>
      </c>
      <c r="J221" s="132">
        <v>100.0</v>
      </c>
      <c r="K221" s="132" t="s">
        <v>135</v>
      </c>
      <c r="L221" s="134"/>
      <c r="M221" s="132">
        <v>340.0</v>
      </c>
      <c r="N221" s="133"/>
      <c r="O221" s="132" t="s">
        <v>266</v>
      </c>
      <c r="P221" s="132" t="s">
        <v>267</v>
      </c>
    </row>
    <row r="222">
      <c r="A222" s="131" t="s">
        <v>84</v>
      </c>
      <c r="B222" s="132" t="s">
        <v>69</v>
      </c>
      <c r="C222" s="133"/>
      <c r="D222" s="132" t="s">
        <v>64</v>
      </c>
      <c r="E222" s="133"/>
      <c r="F222" s="133"/>
      <c r="G222" s="133"/>
      <c r="H222" s="132" t="s">
        <v>147</v>
      </c>
      <c r="I222" s="132" t="s">
        <v>142</v>
      </c>
      <c r="J222" s="132">
        <v>75.0</v>
      </c>
      <c r="K222" s="132" t="s">
        <v>135</v>
      </c>
      <c r="L222" s="134"/>
      <c r="M222" s="132">
        <v>340.0</v>
      </c>
      <c r="N222" s="133"/>
      <c r="O222" s="132" t="s">
        <v>266</v>
      </c>
      <c r="P222" s="132" t="s">
        <v>622</v>
      </c>
    </row>
    <row r="223">
      <c r="A223" s="131" t="s">
        <v>623</v>
      </c>
      <c r="B223" s="132" t="s">
        <v>624</v>
      </c>
      <c r="C223" s="133"/>
      <c r="D223" s="132" t="s">
        <v>78</v>
      </c>
      <c r="E223" s="133"/>
      <c r="F223" s="133"/>
      <c r="G223" s="133"/>
      <c r="H223" s="132" t="s">
        <v>147</v>
      </c>
      <c r="I223" s="132" t="s">
        <v>142</v>
      </c>
      <c r="J223" s="132">
        <v>82.5</v>
      </c>
      <c r="K223" s="132" t="s">
        <v>135</v>
      </c>
      <c r="L223" s="134"/>
      <c r="M223" s="132">
        <v>340.0</v>
      </c>
      <c r="N223" s="133"/>
      <c r="O223" s="132"/>
      <c r="P223" s="132" t="s">
        <v>270</v>
      </c>
    </row>
    <row r="224">
      <c r="A224" s="131" t="s">
        <v>489</v>
      </c>
      <c r="B224" s="132" t="s">
        <v>625</v>
      </c>
      <c r="C224" s="133"/>
      <c r="D224" s="132" t="s">
        <v>64</v>
      </c>
      <c r="E224" s="133"/>
      <c r="F224" s="133"/>
      <c r="G224" s="133"/>
      <c r="H224" s="132" t="s">
        <v>147</v>
      </c>
      <c r="I224" s="132" t="s">
        <v>142</v>
      </c>
      <c r="J224" s="132">
        <v>52.0</v>
      </c>
      <c r="K224" s="132" t="s">
        <v>135</v>
      </c>
      <c r="L224" s="134"/>
      <c r="M224" s="132">
        <v>337.5</v>
      </c>
      <c r="N224" s="133"/>
      <c r="O224" s="134"/>
      <c r="P224" s="132" t="s">
        <v>270</v>
      </c>
    </row>
    <row r="225">
      <c r="A225" s="131" t="s">
        <v>626</v>
      </c>
      <c r="B225" s="132" t="s">
        <v>495</v>
      </c>
      <c r="C225" s="133"/>
      <c r="D225" s="132" t="s">
        <v>78</v>
      </c>
      <c r="E225" s="133"/>
      <c r="F225" s="133"/>
      <c r="G225" s="133"/>
      <c r="H225" s="132" t="s">
        <v>147</v>
      </c>
      <c r="I225" s="132" t="s">
        <v>142</v>
      </c>
      <c r="J225" s="132">
        <v>90.0</v>
      </c>
      <c r="K225" s="132" t="s">
        <v>135</v>
      </c>
      <c r="L225" s="134"/>
      <c r="M225" s="132">
        <v>330.0</v>
      </c>
      <c r="N225" s="133"/>
      <c r="O225" s="133"/>
      <c r="P225" s="132" t="s">
        <v>340</v>
      </c>
    </row>
    <row r="226">
      <c r="A226" s="131" t="s">
        <v>627</v>
      </c>
      <c r="B226" s="132" t="s">
        <v>628</v>
      </c>
      <c r="C226" s="133"/>
      <c r="D226" s="132" t="s">
        <v>307</v>
      </c>
      <c r="E226" s="133"/>
      <c r="F226" s="133"/>
      <c r="G226" s="133"/>
      <c r="H226" s="132" t="s">
        <v>147</v>
      </c>
      <c r="I226" s="132" t="s">
        <v>142</v>
      </c>
      <c r="J226" s="132">
        <v>48.0</v>
      </c>
      <c r="K226" s="132" t="s">
        <v>135</v>
      </c>
      <c r="L226" s="134"/>
      <c r="M226" s="132">
        <v>322.5</v>
      </c>
      <c r="N226" s="133"/>
      <c r="O226" s="132" t="s">
        <v>266</v>
      </c>
      <c r="P226" s="132" t="s">
        <v>283</v>
      </c>
    </row>
    <row r="227">
      <c r="A227" s="131" t="s">
        <v>100</v>
      </c>
      <c r="B227" s="132" t="s">
        <v>99</v>
      </c>
      <c r="C227" s="133"/>
      <c r="D227" s="132" t="s">
        <v>78</v>
      </c>
      <c r="E227" s="133"/>
      <c r="F227" s="133"/>
      <c r="G227" s="133"/>
      <c r="H227" s="132" t="s">
        <v>147</v>
      </c>
      <c r="I227" s="132" t="s">
        <v>142</v>
      </c>
      <c r="J227" s="132">
        <v>90.0</v>
      </c>
      <c r="K227" s="132" t="s">
        <v>135</v>
      </c>
      <c r="L227" s="134"/>
      <c r="M227" s="132">
        <v>322.5</v>
      </c>
      <c r="N227" s="133"/>
      <c r="O227" s="132" t="s">
        <v>266</v>
      </c>
      <c r="P227" s="132" t="s">
        <v>341</v>
      </c>
    </row>
    <row r="228">
      <c r="A228" s="131" t="s">
        <v>629</v>
      </c>
      <c r="B228" s="132" t="s">
        <v>630</v>
      </c>
      <c r="C228" s="133"/>
      <c r="D228" s="132" t="s">
        <v>307</v>
      </c>
      <c r="E228" s="133"/>
      <c r="F228" s="133"/>
      <c r="G228" s="133"/>
      <c r="H228" s="132" t="s">
        <v>147</v>
      </c>
      <c r="I228" s="132" t="s">
        <v>142</v>
      </c>
      <c r="J228" s="132">
        <v>48.0</v>
      </c>
      <c r="K228" s="132" t="s">
        <v>135</v>
      </c>
      <c r="L228" s="134"/>
      <c r="M228" s="132">
        <v>322.5</v>
      </c>
      <c r="N228" s="133"/>
      <c r="O228" s="134"/>
      <c r="P228" s="132" t="s">
        <v>270</v>
      </c>
    </row>
    <row r="229">
      <c r="A229" s="131" t="s">
        <v>631</v>
      </c>
      <c r="B229" s="132" t="s">
        <v>632</v>
      </c>
      <c r="C229" s="133"/>
      <c r="D229" s="132" t="s">
        <v>64</v>
      </c>
      <c r="E229" s="133"/>
      <c r="F229" s="133"/>
      <c r="G229" s="133"/>
      <c r="H229" s="132" t="s">
        <v>147</v>
      </c>
      <c r="I229" s="132" t="s">
        <v>142</v>
      </c>
      <c r="J229" s="132">
        <v>56.0</v>
      </c>
      <c r="K229" s="132" t="s">
        <v>135</v>
      </c>
      <c r="L229" s="134"/>
      <c r="M229" s="132">
        <v>322.5</v>
      </c>
      <c r="N229" s="133"/>
      <c r="O229" s="132"/>
      <c r="P229" s="132" t="s">
        <v>270</v>
      </c>
    </row>
    <row r="230">
      <c r="A230" s="131" t="s">
        <v>633</v>
      </c>
      <c r="B230" s="132" t="s">
        <v>634</v>
      </c>
      <c r="C230" s="133"/>
      <c r="D230" s="132" t="s">
        <v>64</v>
      </c>
      <c r="E230" s="133"/>
      <c r="F230" s="133"/>
      <c r="G230" s="133"/>
      <c r="H230" s="132" t="s">
        <v>147</v>
      </c>
      <c r="I230" s="132" t="s">
        <v>142</v>
      </c>
      <c r="J230" s="132">
        <v>56.0</v>
      </c>
      <c r="K230" s="132" t="s">
        <v>135</v>
      </c>
      <c r="L230" s="134"/>
      <c r="M230" s="132">
        <v>320.0</v>
      </c>
      <c r="N230" s="133"/>
      <c r="O230" s="132" t="s">
        <v>266</v>
      </c>
      <c r="P230" s="132" t="s">
        <v>283</v>
      </c>
    </row>
    <row r="231">
      <c r="A231" s="131" t="s">
        <v>635</v>
      </c>
      <c r="B231" s="132" t="s">
        <v>87</v>
      </c>
      <c r="C231" s="133"/>
      <c r="D231" s="132" t="s">
        <v>64</v>
      </c>
      <c r="E231" s="133"/>
      <c r="F231" s="133"/>
      <c r="G231" s="133"/>
      <c r="H231" s="132" t="s">
        <v>147</v>
      </c>
      <c r="I231" s="132" t="s">
        <v>142</v>
      </c>
      <c r="J231" s="132">
        <v>67.5</v>
      </c>
      <c r="K231" s="132" t="s">
        <v>135</v>
      </c>
      <c r="L231" s="134"/>
      <c r="M231" s="132">
        <v>317.5</v>
      </c>
      <c r="N231" s="133"/>
      <c r="O231" s="133"/>
      <c r="P231" s="132" t="s">
        <v>270</v>
      </c>
    </row>
    <row r="232">
      <c r="A232" s="131" t="s">
        <v>73</v>
      </c>
      <c r="B232" s="132" t="s">
        <v>72</v>
      </c>
      <c r="C232" s="133"/>
      <c r="D232" s="132" t="s">
        <v>64</v>
      </c>
      <c r="E232" s="133"/>
      <c r="F232" s="133"/>
      <c r="G232" s="133"/>
      <c r="H232" s="132" t="s">
        <v>147</v>
      </c>
      <c r="I232" s="132" t="s">
        <v>142</v>
      </c>
      <c r="J232" s="132">
        <v>67.5</v>
      </c>
      <c r="K232" s="132" t="s">
        <v>135</v>
      </c>
      <c r="L232" s="134"/>
      <c r="M232" s="132">
        <v>315.0</v>
      </c>
      <c r="N232" s="133"/>
      <c r="O232" s="132" t="s">
        <v>266</v>
      </c>
      <c r="P232" s="132" t="s">
        <v>444</v>
      </c>
    </row>
    <row r="233">
      <c r="A233" s="131" t="s">
        <v>47</v>
      </c>
      <c r="B233" s="132" t="s">
        <v>46</v>
      </c>
      <c r="C233" s="133"/>
      <c r="D233" s="132" t="s">
        <v>64</v>
      </c>
      <c r="E233" s="133"/>
      <c r="F233" s="133"/>
      <c r="G233" s="133"/>
      <c r="H233" s="132" t="s">
        <v>147</v>
      </c>
      <c r="I233" s="132" t="s">
        <v>142</v>
      </c>
      <c r="J233" s="132">
        <v>52.0</v>
      </c>
      <c r="K233" s="132" t="s">
        <v>135</v>
      </c>
      <c r="L233" s="134"/>
      <c r="M233" s="132">
        <v>315.0</v>
      </c>
      <c r="N233" s="133"/>
      <c r="O233" s="132" t="s">
        <v>266</v>
      </c>
      <c r="P233" s="132" t="s">
        <v>380</v>
      </c>
    </row>
    <row r="234">
      <c r="A234" s="131" t="s">
        <v>636</v>
      </c>
      <c r="B234" s="132" t="s">
        <v>637</v>
      </c>
      <c r="C234" s="133"/>
      <c r="D234" s="132" t="s">
        <v>64</v>
      </c>
      <c r="E234" s="133"/>
      <c r="F234" s="133"/>
      <c r="G234" s="133"/>
      <c r="H234" s="132" t="s">
        <v>147</v>
      </c>
      <c r="I234" s="132" t="s">
        <v>142</v>
      </c>
      <c r="J234" s="132">
        <v>60.0</v>
      </c>
      <c r="K234" s="132" t="s">
        <v>135</v>
      </c>
      <c r="L234" s="134"/>
      <c r="M234" s="132">
        <v>315.0</v>
      </c>
      <c r="N234" s="133"/>
      <c r="O234" s="132"/>
      <c r="P234" s="132" t="s">
        <v>267</v>
      </c>
    </row>
    <row r="235">
      <c r="A235" s="131" t="s">
        <v>638</v>
      </c>
      <c r="B235" s="132" t="s">
        <v>639</v>
      </c>
      <c r="C235" s="133"/>
      <c r="D235" s="132" t="s">
        <v>64</v>
      </c>
      <c r="E235" s="133"/>
      <c r="F235" s="133"/>
      <c r="G235" s="133"/>
      <c r="H235" s="132" t="s">
        <v>147</v>
      </c>
      <c r="I235" s="132" t="s">
        <v>142</v>
      </c>
      <c r="J235" s="132">
        <v>52.0</v>
      </c>
      <c r="K235" s="132" t="s">
        <v>135</v>
      </c>
      <c r="L235" s="134"/>
      <c r="M235" s="132">
        <v>307.5</v>
      </c>
      <c r="N235" s="133"/>
      <c r="O235" s="134"/>
      <c r="P235" s="132" t="s">
        <v>270</v>
      </c>
    </row>
    <row r="236">
      <c r="A236" s="131" t="s">
        <v>640</v>
      </c>
      <c r="B236" s="132" t="s">
        <v>641</v>
      </c>
      <c r="C236" s="133"/>
      <c r="D236" s="132" t="s">
        <v>64</v>
      </c>
      <c r="E236" s="133"/>
      <c r="F236" s="133"/>
      <c r="G236" s="133"/>
      <c r="H236" s="132" t="s">
        <v>147</v>
      </c>
      <c r="I236" s="132" t="s">
        <v>142</v>
      </c>
      <c r="J236" s="132">
        <v>56.0</v>
      </c>
      <c r="K236" s="132" t="s">
        <v>135</v>
      </c>
      <c r="L236" s="134"/>
      <c r="M236" s="132">
        <v>302.5</v>
      </c>
      <c r="N236" s="133"/>
      <c r="O236" s="134"/>
      <c r="P236" s="132" t="s">
        <v>267</v>
      </c>
    </row>
    <row r="237">
      <c r="A237" s="131" t="s">
        <v>77</v>
      </c>
      <c r="B237" s="132" t="s">
        <v>76</v>
      </c>
      <c r="C237" s="133"/>
      <c r="D237" s="132" t="s">
        <v>64</v>
      </c>
      <c r="E237" s="133"/>
      <c r="F237" s="133"/>
      <c r="G237" s="133"/>
      <c r="H237" s="132" t="s">
        <v>147</v>
      </c>
      <c r="I237" s="132" t="s">
        <v>142</v>
      </c>
      <c r="J237" s="132">
        <v>67.5</v>
      </c>
      <c r="K237" s="132" t="s">
        <v>135</v>
      </c>
      <c r="L237" s="134"/>
      <c r="M237" s="132">
        <v>302.5</v>
      </c>
      <c r="N237" s="133"/>
      <c r="O237" s="132" t="s">
        <v>266</v>
      </c>
      <c r="P237" s="132" t="s">
        <v>622</v>
      </c>
    </row>
    <row r="238">
      <c r="A238" s="131" t="s">
        <v>642</v>
      </c>
      <c r="B238" s="132" t="s">
        <v>643</v>
      </c>
      <c r="C238" s="133"/>
      <c r="D238" s="132" t="s">
        <v>64</v>
      </c>
      <c r="E238" s="133"/>
      <c r="F238" s="133"/>
      <c r="G238" s="133"/>
      <c r="H238" s="132" t="s">
        <v>147</v>
      </c>
      <c r="I238" s="132" t="s">
        <v>142</v>
      </c>
      <c r="J238" s="132">
        <v>60.0</v>
      </c>
      <c r="K238" s="132" t="s">
        <v>135</v>
      </c>
      <c r="L238" s="134"/>
      <c r="M238" s="132">
        <v>300.0</v>
      </c>
      <c r="N238" s="133"/>
      <c r="O238" s="134"/>
      <c r="P238" s="132" t="s">
        <v>270</v>
      </c>
    </row>
    <row r="239">
      <c r="A239" s="131" t="s">
        <v>70</v>
      </c>
      <c r="B239" s="132" t="s">
        <v>69</v>
      </c>
      <c r="C239" s="133"/>
      <c r="D239" s="132" t="s">
        <v>64</v>
      </c>
      <c r="E239" s="133"/>
      <c r="F239" s="133"/>
      <c r="G239" s="133"/>
      <c r="H239" s="132" t="s">
        <v>147</v>
      </c>
      <c r="I239" s="132" t="s">
        <v>142</v>
      </c>
      <c r="J239" s="132">
        <v>67.5</v>
      </c>
      <c r="K239" s="132" t="s">
        <v>135</v>
      </c>
      <c r="L239" s="134"/>
      <c r="M239" s="132">
        <v>295.0</v>
      </c>
      <c r="N239" s="133"/>
      <c r="O239" s="132" t="s">
        <v>266</v>
      </c>
      <c r="P239" s="132" t="s">
        <v>444</v>
      </c>
    </row>
    <row r="240">
      <c r="A240" s="131" t="s">
        <v>644</v>
      </c>
      <c r="B240" s="132" t="s">
        <v>645</v>
      </c>
      <c r="C240" s="133"/>
      <c r="D240" s="132" t="s">
        <v>64</v>
      </c>
      <c r="E240" s="133"/>
      <c r="F240" s="133"/>
      <c r="G240" s="133"/>
      <c r="H240" s="132" t="s">
        <v>147</v>
      </c>
      <c r="I240" s="132" t="s">
        <v>142</v>
      </c>
      <c r="J240" s="132">
        <v>60.0</v>
      </c>
      <c r="K240" s="132" t="s">
        <v>135</v>
      </c>
      <c r="L240" s="134"/>
      <c r="M240" s="132">
        <v>295.0</v>
      </c>
      <c r="N240" s="133"/>
      <c r="O240" s="132"/>
      <c r="P240" s="132" t="s">
        <v>270</v>
      </c>
    </row>
    <row r="241">
      <c r="A241" s="131" t="s">
        <v>96</v>
      </c>
      <c r="B241" s="132" t="s">
        <v>95</v>
      </c>
      <c r="C241" s="133"/>
      <c r="D241" s="132" t="s">
        <v>78</v>
      </c>
      <c r="E241" s="133"/>
      <c r="F241" s="133"/>
      <c r="G241" s="133"/>
      <c r="H241" s="132" t="s">
        <v>147</v>
      </c>
      <c r="I241" s="132" t="s">
        <v>142</v>
      </c>
      <c r="J241" s="132">
        <v>82.5</v>
      </c>
      <c r="K241" s="132" t="s">
        <v>135</v>
      </c>
      <c r="L241" s="134"/>
      <c r="M241" s="132">
        <v>295.0</v>
      </c>
      <c r="N241" s="133"/>
      <c r="O241" s="132" t="s">
        <v>266</v>
      </c>
      <c r="P241" s="132" t="s">
        <v>341</v>
      </c>
    </row>
    <row r="242">
      <c r="A242" s="131" t="s">
        <v>646</v>
      </c>
      <c r="B242" s="132" t="s">
        <v>101</v>
      </c>
      <c r="C242" s="133"/>
      <c r="D242" s="132" t="s">
        <v>64</v>
      </c>
      <c r="E242" s="133"/>
      <c r="F242" s="133"/>
      <c r="G242" s="133"/>
      <c r="H242" s="132" t="s">
        <v>147</v>
      </c>
      <c r="I242" s="132" t="s">
        <v>142</v>
      </c>
      <c r="J242" s="132">
        <v>52.0</v>
      </c>
      <c r="K242" s="132" t="s">
        <v>135</v>
      </c>
      <c r="L242" s="134"/>
      <c r="M242" s="132">
        <v>290.0</v>
      </c>
      <c r="N242" s="133"/>
      <c r="O242" s="133"/>
      <c r="P242" s="132" t="s">
        <v>270</v>
      </c>
    </row>
    <row r="243">
      <c r="A243" s="131" t="s">
        <v>75</v>
      </c>
      <c r="B243" s="132" t="s">
        <v>74</v>
      </c>
      <c r="C243" s="133"/>
      <c r="D243" s="132" t="s">
        <v>64</v>
      </c>
      <c r="E243" s="133"/>
      <c r="F243" s="133"/>
      <c r="G243" s="133"/>
      <c r="H243" s="132" t="s">
        <v>147</v>
      </c>
      <c r="I243" s="132" t="s">
        <v>142</v>
      </c>
      <c r="J243" s="132">
        <v>67.5</v>
      </c>
      <c r="K243" s="132" t="s">
        <v>135</v>
      </c>
      <c r="L243" s="134"/>
      <c r="M243" s="132">
        <v>285.0</v>
      </c>
      <c r="N243" s="133"/>
      <c r="O243" s="132" t="s">
        <v>266</v>
      </c>
      <c r="P243" s="132" t="s">
        <v>567</v>
      </c>
    </row>
    <row r="244">
      <c r="A244" s="131" t="s">
        <v>647</v>
      </c>
      <c r="B244" s="132" t="s">
        <v>648</v>
      </c>
      <c r="C244" s="133"/>
      <c r="D244" s="132" t="s">
        <v>64</v>
      </c>
      <c r="E244" s="133"/>
      <c r="F244" s="133"/>
      <c r="G244" s="133"/>
      <c r="H244" s="132" t="s">
        <v>147</v>
      </c>
      <c r="I244" s="132" t="s">
        <v>142</v>
      </c>
      <c r="J244" s="132">
        <v>56.0</v>
      </c>
      <c r="K244" s="132" t="s">
        <v>135</v>
      </c>
      <c r="L244" s="134"/>
      <c r="M244" s="132">
        <v>285.0</v>
      </c>
      <c r="N244" s="133"/>
      <c r="O244" s="132"/>
      <c r="P244" s="132" t="s">
        <v>270</v>
      </c>
    </row>
    <row r="245">
      <c r="A245" s="131" t="s">
        <v>80</v>
      </c>
      <c r="B245" s="132" t="s">
        <v>79</v>
      </c>
      <c r="C245" s="133"/>
      <c r="D245" s="132" t="s">
        <v>64</v>
      </c>
      <c r="E245" s="133"/>
      <c r="F245" s="133"/>
      <c r="G245" s="133"/>
      <c r="H245" s="132" t="s">
        <v>147</v>
      </c>
      <c r="I245" s="132" t="s">
        <v>142</v>
      </c>
      <c r="J245" s="132">
        <v>67.5</v>
      </c>
      <c r="K245" s="132" t="s">
        <v>135</v>
      </c>
      <c r="L245" s="134"/>
      <c r="M245" s="132">
        <v>285.0</v>
      </c>
      <c r="N245" s="133"/>
      <c r="O245" s="132" t="s">
        <v>266</v>
      </c>
      <c r="P245" s="132" t="s">
        <v>380</v>
      </c>
    </row>
    <row r="246">
      <c r="A246" s="131" t="s">
        <v>82</v>
      </c>
      <c r="B246" s="132" t="s">
        <v>81</v>
      </c>
      <c r="C246" s="133"/>
      <c r="D246" s="132" t="s">
        <v>64</v>
      </c>
      <c r="E246" s="133"/>
      <c r="F246" s="133"/>
      <c r="G246" s="133"/>
      <c r="H246" s="132" t="s">
        <v>147</v>
      </c>
      <c r="I246" s="132" t="s">
        <v>142</v>
      </c>
      <c r="J246" s="132">
        <v>75.0</v>
      </c>
      <c r="K246" s="132" t="s">
        <v>135</v>
      </c>
      <c r="L246" s="134"/>
      <c r="M246" s="132">
        <v>280.0</v>
      </c>
      <c r="N246" s="133"/>
      <c r="O246" s="132" t="s">
        <v>266</v>
      </c>
      <c r="P246" s="132" t="s">
        <v>380</v>
      </c>
    </row>
    <row r="247">
      <c r="A247" s="131" t="s">
        <v>106</v>
      </c>
      <c r="B247" s="132" t="s">
        <v>105</v>
      </c>
      <c r="C247" s="133"/>
      <c r="D247" s="132" t="s">
        <v>78</v>
      </c>
      <c r="E247" s="133"/>
      <c r="F247" s="133"/>
      <c r="G247" s="133"/>
      <c r="H247" s="132" t="s">
        <v>147</v>
      </c>
      <c r="I247" s="132" t="s">
        <v>142</v>
      </c>
      <c r="J247" s="132">
        <v>100.0</v>
      </c>
      <c r="K247" s="132" t="s">
        <v>135</v>
      </c>
      <c r="L247" s="134"/>
      <c r="M247" s="132">
        <v>272.5</v>
      </c>
      <c r="N247" s="133"/>
      <c r="O247" s="132" t="s">
        <v>266</v>
      </c>
      <c r="P247" s="132" t="s">
        <v>609</v>
      </c>
    </row>
    <row r="248">
      <c r="A248" s="131" t="s">
        <v>649</v>
      </c>
      <c r="B248" s="132" t="s">
        <v>650</v>
      </c>
      <c r="C248" s="133"/>
      <c r="D248" s="132" t="s">
        <v>64</v>
      </c>
      <c r="E248" s="133"/>
      <c r="F248" s="133"/>
      <c r="G248" s="133"/>
      <c r="H248" s="132" t="s">
        <v>147</v>
      </c>
      <c r="I248" s="132" t="s">
        <v>142</v>
      </c>
      <c r="J248" s="132">
        <v>52.0</v>
      </c>
      <c r="K248" s="132" t="s">
        <v>135</v>
      </c>
      <c r="L248" s="134"/>
      <c r="M248" s="132">
        <v>272.5</v>
      </c>
      <c r="N248" s="133"/>
      <c r="O248" s="132" t="s">
        <v>266</v>
      </c>
      <c r="P248" s="132" t="s">
        <v>270</v>
      </c>
    </row>
    <row r="249">
      <c r="A249" s="131" t="s">
        <v>613</v>
      </c>
      <c r="B249" s="132" t="s">
        <v>651</v>
      </c>
      <c r="C249" s="133"/>
      <c r="D249" s="132" t="s">
        <v>78</v>
      </c>
      <c r="E249" s="133"/>
      <c r="F249" s="133"/>
      <c r="G249" s="133"/>
      <c r="H249" s="132" t="s">
        <v>147</v>
      </c>
      <c r="I249" s="132" t="s">
        <v>142</v>
      </c>
      <c r="J249" s="132">
        <v>90.0</v>
      </c>
      <c r="K249" s="132" t="s">
        <v>135</v>
      </c>
      <c r="L249" s="134"/>
      <c r="M249" s="132">
        <v>270.0</v>
      </c>
      <c r="N249" s="133"/>
      <c r="O249" s="134"/>
      <c r="P249" s="132" t="s">
        <v>340</v>
      </c>
    </row>
    <row r="250">
      <c r="A250" s="131" t="s">
        <v>652</v>
      </c>
      <c r="B250" s="132" t="s">
        <v>653</v>
      </c>
      <c r="C250" s="133"/>
      <c r="D250" s="132" t="s">
        <v>64</v>
      </c>
      <c r="E250" s="133"/>
      <c r="F250" s="133"/>
      <c r="G250" s="133"/>
      <c r="H250" s="132" t="s">
        <v>147</v>
      </c>
      <c r="I250" s="132" t="s">
        <v>142</v>
      </c>
      <c r="J250" s="132">
        <v>52.0</v>
      </c>
      <c r="K250" s="132" t="s">
        <v>135</v>
      </c>
      <c r="L250" s="134"/>
      <c r="M250" s="132">
        <v>265.0</v>
      </c>
      <c r="N250" s="133"/>
      <c r="O250" s="132" t="s">
        <v>266</v>
      </c>
      <c r="P250" s="132" t="s">
        <v>395</v>
      </c>
    </row>
    <row r="251">
      <c r="A251" s="131" t="s">
        <v>654</v>
      </c>
      <c r="B251" s="132" t="s">
        <v>655</v>
      </c>
      <c r="C251" s="133"/>
      <c r="D251" s="132" t="s">
        <v>64</v>
      </c>
      <c r="E251" s="133"/>
      <c r="F251" s="133"/>
      <c r="G251" s="133"/>
      <c r="H251" s="132" t="s">
        <v>147</v>
      </c>
      <c r="I251" s="132" t="s">
        <v>142</v>
      </c>
      <c r="J251" s="132">
        <v>52.0</v>
      </c>
      <c r="K251" s="132" t="s">
        <v>135</v>
      </c>
      <c r="L251" s="134"/>
      <c r="M251" s="132">
        <v>260.0</v>
      </c>
      <c r="N251" s="133"/>
      <c r="O251" s="132" t="s">
        <v>266</v>
      </c>
      <c r="P251" s="132" t="s">
        <v>267</v>
      </c>
    </row>
    <row r="252">
      <c r="A252" s="131" t="s">
        <v>656</v>
      </c>
      <c r="B252" s="132" t="s">
        <v>657</v>
      </c>
      <c r="C252" s="133"/>
      <c r="D252" s="132" t="s">
        <v>64</v>
      </c>
      <c r="E252" s="133"/>
      <c r="F252" s="133"/>
      <c r="G252" s="133"/>
      <c r="H252" s="132" t="s">
        <v>147</v>
      </c>
      <c r="I252" s="132" t="s">
        <v>142</v>
      </c>
      <c r="J252" s="132">
        <v>56.0</v>
      </c>
      <c r="K252" s="132" t="s">
        <v>135</v>
      </c>
      <c r="L252" s="134"/>
      <c r="M252" s="132">
        <v>245.0</v>
      </c>
      <c r="N252" s="133"/>
      <c r="O252" s="134"/>
      <c r="P252" s="132" t="s">
        <v>270</v>
      </c>
    </row>
    <row r="253">
      <c r="A253" s="131" t="s">
        <v>658</v>
      </c>
      <c r="B253" s="132" t="s">
        <v>659</v>
      </c>
      <c r="C253" s="133"/>
      <c r="D253" s="132" t="s">
        <v>64</v>
      </c>
      <c r="E253" s="133"/>
      <c r="F253" s="133"/>
      <c r="G253" s="133"/>
      <c r="H253" s="132" t="s">
        <v>147</v>
      </c>
      <c r="I253" s="132" t="s">
        <v>142</v>
      </c>
      <c r="J253" s="132">
        <v>56.0</v>
      </c>
      <c r="K253" s="132" t="s">
        <v>135</v>
      </c>
      <c r="L253" s="134"/>
      <c r="M253" s="132">
        <v>245.0</v>
      </c>
      <c r="N253" s="133"/>
      <c r="O253" s="134"/>
      <c r="P253" s="132" t="s">
        <v>267</v>
      </c>
    </row>
    <row r="254">
      <c r="A254" s="131" t="s">
        <v>660</v>
      </c>
      <c r="B254" s="132" t="s">
        <v>661</v>
      </c>
      <c r="C254" s="133"/>
      <c r="D254" s="132" t="s">
        <v>64</v>
      </c>
      <c r="E254" s="133"/>
      <c r="F254" s="133"/>
      <c r="G254" s="133"/>
      <c r="H254" s="132" t="s">
        <v>147</v>
      </c>
      <c r="I254" s="132" t="s">
        <v>142</v>
      </c>
      <c r="J254" s="132">
        <v>52.0</v>
      </c>
      <c r="K254" s="132" t="s">
        <v>135</v>
      </c>
      <c r="L254" s="134"/>
      <c r="M254" s="132">
        <v>235.0</v>
      </c>
      <c r="N254" s="133"/>
      <c r="O254" s="134"/>
      <c r="P254" s="132" t="s">
        <v>267</v>
      </c>
    </row>
    <row r="255">
      <c r="A255" s="131" t="s">
        <v>50</v>
      </c>
      <c r="B255" s="132" t="s">
        <v>49</v>
      </c>
      <c r="C255" s="133"/>
      <c r="D255" s="132" t="s">
        <v>64</v>
      </c>
      <c r="E255" s="133"/>
      <c r="F255" s="133"/>
      <c r="G255" s="133"/>
      <c r="H255" s="132" t="s">
        <v>147</v>
      </c>
      <c r="I255" s="132" t="s">
        <v>142</v>
      </c>
      <c r="J255" s="132">
        <v>56.0</v>
      </c>
      <c r="K255" s="132" t="s">
        <v>135</v>
      </c>
      <c r="L255" s="134"/>
      <c r="M255" s="132">
        <v>235.0</v>
      </c>
      <c r="N255" s="133"/>
      <c r="O255" s="132" t="s">
        <v>266</v>
      </c>
      <c r="P255" s="132" t="s">
        <v>662</v>
      </c>
    </row>
    <row r="256">
      <c r="A256" s="131" t="s">
        <v>663</v>
      </c>
      <c r="B256" s="132" t="s">
        <v>495</v>
      </c>
      <c r="C256" s="133"/>
      <c r="D256" s="132" t="s">
        <v>307</v>
      </c>
      <c r="E256" s="133"/>
      <c r="F256" s="133"/>
      <c r="G256" s="133"/>
      <c r="H256" s="132" t="s">
        <v>147</v>
      </c>
      <c r="I256" s="132" t="s">
        <v>142</v>
      </c>
      <c r="J256" s="132">
        <v>48.0</v>
      </c>
      <c r="K256" s="132" t="s">
        <v>135</v>
      </c>
      <c r="L256" s="134"/>
      <c r="M256" s="132">
        <v>222.5</v>
      </c>
      <c r="N256" s="133"/>
      <c r="O256" s="134"/>
      <c r="P256" s="132" t="s">
        <v>270</v>
      </c>
    </row>
    <row r="257">
      <c r="A257" s="131" t="s">
        <v>402</v>
      </c>
      <c r="B257" s="132" t="s">
        <v>664</v>
      </c>
      <c r="C257" s="133"/>
      <c r="D257" s="132" t="s">
        <v>307</v>
      </c>
      <c r="E257" s="133"/>
      <c r="F257" s="133"/>
      <c r="G257" s="133"/>
      <c r="H257" s="132" t="s">
        <v>147</v>
      </c>
      <c r="I257" s="132" t="s">
        <v>142</v>
      </c>
      <c r="J257" s="132">
        <v>48.0</v>
      </c>
      <c r="K257" s="132" t="s">
        <v>135</v>
      </c>
      <c r="L257" s="134"/>
      <c r="M257" s="132">
        <v>217.5</v>
      </c>
      <c r="N257" s="133"/>
      <c r="O257" s="134"/>
      <c r="P257" s="132" t="s">
        <v>270</v>
      </c>
    </row>
    <row r="258">
      <c r="A258" s="131" t="s">
        <v>665</v>
      </c>
      <c r="B258" s="132" t="s">
        <v>666</v>
      </c>
      <c r="C258" s="133"/>
      <c r="D258" s="132" t="s">
        <v>307</v>
      </c>
      <c r="E258" s="133"/>
      <c r="F258" s="133"/>
      <c r="G258" s="133"/>
      <c r="H258" s="132" t="s">
        <v>147</v>
      </c>
      <c r="I258" s="132" t="s">
        <v>142</v>
      </c>
      <c r="J258" s="132">
        <v>44.0</v>
      </c>
      <c r="K258" s="132" t="s">
        <v>135</v>
      </c>
      <c r="L258" s="134"/>
      <c r="M258" s="132">
        <v>202.5</v>
      </c>
      <c r="N258" s="133"/>
      <c r="O258" s="134"/>
      <c r="P258" s="132" t="s">
        <v>270</v>
      </c>
    </row>
    <row r="259">
      <c r="A259" s="131" t="s">
        <v>667</v>
      </c>
      <c r="B259" s="132" t="s">
        <v>668</v>
      </c>
      <c r="C259" s="133"/>
      <c r="D259" s="132" t="s">
        <v>64</v>
      </c>
      <c r="E259" s="133"/>
      <c r="F259" s="133"/>
      <c r="G259" s="133"/>
      <c r="H259" s="132" t="s">
        <v>147</v>
      </c>
      <c r="I259" s="132" t="s">
        <v>142</v>
      </c>
      <c r="J259" s="132">
        <v>67.5</v>
      </c>
      <c r="K259" s="132" t="s">
        <v>135</v>
      </c>
      <c r="L259" s="134"/>
      <c r="M259" s="133"/>
      <c r="N259" s="133"/>
      <c r="O259" s="134"/>
      <c r="P259" s="132" t="s">
        <v>340</v>
      </c>
    </row>
    <row r="260">
      <c r="A260" s="131" t="s">
        <v>669</v>
      </c>
      <c r="B260" s="132" t="s">
        <v>670</v>
      </c>
      <c r="C260" s="133"/>
      <c r="D260" s="132" t="s">
        <v>71</v>
      </c>
      <c r="E260" s="133"/>
      <c r="F260" s="133"/>
      <c r="G260" s="133"/>
      <c r="H260" s="132" t="s">
        <v>110</v>
      </c>
      <c r="I260" s="132" t="s">
        <v>142</v>
      </c>
      <c r="J260" s="132">
        <v>90.0</v>
      </c>
      <c r="K260" s="132" t="s">
        <v>135</v>
      </c>
      <c r="L260" s="134"/>
      <c r="M260" s="133"/>
      <c r="N260" s="133"/>
      <c r="O260" s="134"/>
      <c r="P260" s="132" t="s">
        <v>267</v>
      </c>
    </row>
    <row r="261">
      <c r="A261" s="131" t="s">
        <v>671</v>
      </c>
      <c r="B261" s="132" t="s">
        <v>672</v>
      </c>
      <c r="C261" s="133"/>
      <c r="D261" s="132" t="s">
        <v>78</v>
      </c>
      <c r="E261" s="133"/>
      <c r="F261" s="133"/>
      <c r="G261" s="133"/>
      <c r="H261" s="132" t="s">
        <v>147</v>
      </c>
      <c r="I261" s="132" t="s">
        <v>142</v>
      </c>
      <c r="J261" s="132">
        <v>82.5</v>
      </c>
      <c r="K261" s="132" t="s">
        <v>135</v>
      </c>
      <c r="L261" s="134"/>
      <c r="M261" s="133"/>
      <c r="N261" s="133"/>
      <c r="O261" s="132" t="s">
        <v>266</v>
      </c>
      <c r="P261" s="132" t="s">
        <v>340</v>
      </c>
    </row>
    <row r="262">
      <c r="A262" s="131" t="s">
        <v>605</v>
      </c>
      <c r="B262" s="132" t="s">
        <v>673</v>
      </c>
      <c r="C262" s="133"/>
      <c r="D262" s="132" t="s">
        <v>71</v>
      </c>
      <c r="E262" s="133"/>
      <c r="F262" s="133"/>
      <c r="G262" s="133"/>
      <c r="H262" s="132" t="s">
        <v>110</v>
      </c>
      <c r="I262" s="132" t="s">
        <v>142</v>
      </c>
      <c r="J262" s="132">
        <v>100.0</v>
      </c>
      <c r="K262" s="132" t="s">
        <v>135</v>
      </c>
      <c r="L262" s="134"/>
      <c r="M262" s="133"/>
      <c r="N262" s="133"/>
      <c r="O262" s="132" t="s">
        <v>266</v>
      </c>
      <c r="P262" s="132" t="s">
        <v>283</v>
      </c>
    </row>
    <row r="263">
      <c r="A263" s="131" t="s">
        <v>674</v>
      </c>
      <c r="B263" s="132" t="s">
        <v>421</v>
      </c>
      <c r="C263" s="133"/>
      <c r="D263" s="132" t="s">
        <v>71</v>
      </c>
      <c r="E263" s="133"/>
      <c r="F263" s="133"/>
      <c r="G263" s="133"/>
      <c r="H263" s="132" t="s">
        <v>110</v>
      </c>
      <c r="I263" s="132" t="s">
        <v>142</v>
      </c>
      <c r="J263" s="132">
        <v>90.0</v>
      </c>
      <c r="K263" s="132" t="s">
        <v>135</v>
      </c>
      <c r="L263" s="134"/>
      <c r="M263" s="133"/>
      <c r="N263" s="133"/>
      <c r="O263" s="132"/>
      <c r="P263" s="132" t="s">
        <v>270</v>
      </c>
    </row>
    <row r="264">
      <c r="A264" s="131" t="s">
        <v>675</v>
      </c>
      <c r="B264" s="132" t="s">
        <v>676</v>
      </c>
      <c r="C264" s="133"/>
      <c r="D264" s="132" t="s">
        <v>64</v>
      </c>
      <c r="E264" s="133"/>
      <c r="F264" s="133"/>
      <c r="G264" s="133"/>
      <c r="H264" s="132" t="s">
        <v>110</v>
      </c>
      <c r="I264" s="132" t="s">
        <v>142</v>
      </c>
      <c r="J264" s="132">
        <v>75.0</v>
      </c>
      <c r="K264" s="132" t="s">
        <v>135</v>
      </c>
      <c r="L264" s="134"/>
      <c r="M264" s="133"/>
      <c r="N264" s="133"/>
      <c r="O264" s="134"/>
      <c r="P264" s="132" t="s">
        <v>270</v>
      </c>
    </row>
    <row r="265">
      <c r="A265" s="131" t="s">
        <v>677</v>
      </c>
      <c r="B265" s="132" t="s">
        <v>583</v>
      </c>
      <c r="C265" s="133"/>
      <c r="D265" s="132" t="s">
        <v>64</v>
      </c>
      <c r="E265" s="133"/>
      <c r="F265" s="133"/>
      <c r="G265" s="133"/>
      <c r="H265" s="132" t="s">
        <v>147</v>
      </c>
      <c r="I265" s="132" t="s">
        <v>142</v>
      </c>
      <c r="J265" s="132">
        <v>52.0</v>
      </c>
      <c r="K265" s="132" t="s">
        <v>135</v>
      </c>
      <c r="L265" s="134"/>
      <c r="M265" s="133"/>
      <c r="N265" s="133"/>
      <c r="O265" s="132"/>
      <c r="P265" s="132" t="s">
        <v>270</v>
      </c>
    </row>
    <row r="266">
      <c r="A266" s="131" t="s">
        <v>678</v>
      </c>
      <c r="B266" s="132" t="s">
        <v>679</v>
      </c>
      <c r="C266" s="133"/>
      <c r="D266" s="132" t="s">
        <v>71</v>
      </c>
      <c r="E266" s="133"/>
      <c r="F266" s="133"/>
      <c r="G266" s="133"/>
      <c r="H266" s="132" t="s">
        <v>110</v>
      </c>
      <c r="I266" s="132" t="s">
        <v>142</v>
      </c>
      <c r="J266" s="132">
        <v>82.5</v>
      </c>
      <c r="K266" s="132" t="s">
        <v>135</v>
      </c>
      <c r="L266" s="134"/>
      <c r="M266" s="133"/>
      <c r="N266" s="133"/>
      <c r="O266" s="132" t="s">
        <v>266</v>
      </c>
      <c r="P266" s="132" t="s">
        <v>340</v>
      </c>
    </row>
    <row r="267">
      <c r="A267" s="131" t="s">
        <v>680</v>
      </c>
      <c r="B267" s="132" t="s">
        <v>681</v>
      </c>
      <c r="C267" s="133"/>
      <c r="D267" s="132" t="s">
        <v>307</v>
      </c>
      <c r="E267" s="133"/>
      <c r="F267" s="133"/>
      <c r="G267" s="133"/>
      <c r="H267" s="132" t="s">
        <v>110</v>
      </c>
      <c r="I267" s="132" t="s">
        <v>142</v>
      </c>
      <c r="J267" s="132">
        <v>60.0</v>
      </c>
      <c r="K267" s="132" t="s">
        <v>135</v>
      </c>
      <c r="L267" s="134"/>
      <c r="M267" s="133"/>
      <c r="N267" s="133"/>
      <c r="O267" s="132" t="s">
        <v>266</v>
      </c>
      <c r="P267" s="132" t="s">
        <v>270</v>
      </c>
    </row>
    <row r="268">
      <c r="A268" s="131" t="s">
        <v>682</v>
      </c>
      <c r="B268" s="132" t="s">
        <v>683</v>
      </c>
      <c r="C268" s="133"/>
      <c r="D268" s="132" t="s">
        <v>64</v>
      </c>
      <c r="E268" s="133"/>
      <c r="F268" s="133"/>
      <c r="G268" s="133"/>
      <c r="H268" s="132" t="s">
        <v>147</v>
      </c>
      <c r="I268" s="132" t="s">
        <v>142</v>
      </c>
      <c r="J268" s="132">
        <v>60.0</v>
      </c>
      <c r="K268" s="132" t="s">
        <v>135</v>
      </c>
      <c r="L268" s="134"/>
      <c r="M268" s="133"/>
      <c r="N268" s="133"/>
      <c r="O268" s="132"/>
      <c r="P268" s="132" t="s">
        <v>340</v>
      </c>
    </row>
    <row r="269">
      <c r="A269" s="131" t="s">
        <v>684</v>
      </c>
      <c r="B269" s="132" t="s">
        <v>685</v>
      </c>
      <c r="C269" s="133"/>
      <c r="D269" s="132" t="s">
        <v>64</v>
      </c>
      <c r="E269" s="133"/>
      <c r="F269" s="133"/>
      <c r="G269" s="133"/>
      <c r="H269" s="132" t="s">
        <v>147</v>
      </c>
      <c r="I269" s="132" t="s">
        <v>142</v>
      </c>
      <c r="J269" s="132">
        <v>67.5</v>
      </c>
      <c r="K269" s="132" t="s">
        <v>135</v>
      </c>
      <c r="L269" s="134"/>
      <c r="M269" s="133"/>
      <c r="N269" s="133"/>
      <c r="O269" s="134"/>
      <c r="P269" s="132" t="s">
        <v>340</v>
      </c>
    </row>
    <row r="270">
      <c r="A270" s="131" t="s">
        <v>686</v>
      </c>
      <c r="B270" s="132" t="s">
        <v>687</v>
      </c>
      <c r="C270" s="133"/>
      <c r="D270" s="132" t="s">
        <v>64</v>
      </c>
      <c r="E270" s="133"/>
      <c r="F270" s="133"/>
      <c r="G270" s="133"/>
      <c r="H270" s="132" t="s">
        <v>110</v>
      </c>
      <c r="I270" s="132" t="s">
        <v>142</v>
      </c>
      <c r="J270" s="132">
        <v>75.0</v>
      </c>
      <c r="K270" s="132" t="s">
        <v>135</v>
      </c>
      <c r="L270" s="134"/>
      <c r="M270" s="133"/>
      <c r="N270" s="133"/>
      <c r="O270" s="133"/>
      <c r="P270" s="132" t="s">
        <v>270</v>
      </c>
    </row>
    <row r="271">
      <c r="A271" s="131" t="s">
        <v>688</v>
      </c>
      <c r="B271" s="132" t="s">
        <v>511</v>
      </c>
      <c r="C271" s="133"/>
      <c r="D271" s="132" t="s">
        <v>71</v>
      </c>
      <c r="E271" s="133"/>
      <c r="F271" s="133"/>
      <c r="G271" s="133"/>
      <c r="H271" s="132" t="s">
        <v>110</v>
      </c>
      <c r="I271" s="132" t="s">
        <v>142</v>
      </c>
      <c r="J271" s="132">
        <v>90.0</v>
      </c>
      <c r="K271" s="132" t="s">
        <v>135</v>
      </c>
      <c r="L271" s="134"/>
      <c r="M271" s="133"/>
      <c r="N271" s="133"/>
      <c r="O271" s="132" t="s">
        <v>266</v>
      </c>
      <c r="P271" s="132" t="s">
        <v>444</v>
      </c>
    </row>
    <row r="272">
      <c r="A272" s="131" t="s">
        <v>689</v>
      </c>
      <c r="B272" s="132" t="s">
        <v>690</v>
      </c>
      <c r="C272" s="133"/>
      <c r="D272" s="132" t="s">
        <v>78</v>
      </c>
      <c r="E272" s="133"/>
      <c r="F272" s="133"/>
      <c r="G272" s="133"/>
      <c r="H272" s="132" t="s">
        <v>147</v>
      </c>
      <c r="I272" s="132" t="s">
        <v>142</v>
      </c>
      <c r="J272" s="132">
        <v>82.5</v>
      </c>
      <c r="K272" s="132" t="s">
        <v>135</v>
      </c>
      <c r="L272" s="134"/>
      <c r="M272" s="133"/>
      <c r="N272" s="133"/>
      <c r="O272" s="132"/>
      <c r="P272" s="132" t="s">
        <v>270</v>
      </c>
    </row>
    <row r="273">
      <c r="A273" s="131" t="s">
        <v>691</v>
      </c>
      <c r="B273" s="132" t="s">
        <v>343</v>
      </c>
      <c r="C273" s="133"/>
      <c r="D273" s="132" t="s">
        <v>71</v>
      </c>
      <c r="E273" s="133"/>
      <c r="F273" s="133"/>
      <c r="G273" s="133"/>
      <c r="H273" s="132" t="s">
        <v>110</v>
      </c>
      <c r="I273" s="132" t="s">
        <v>142</v>
      </c>
      <c r="J273" s="132">
        <v>90.0</v>
      </c>
      <c r="K273" s="132" t="s">
        <v>135</v>
      </c>
      <c r="L273" s="134"/>
      <c r="M273" s="133"/>
      <c r="N273" s="133"/>
      <c r="O273" s="132" t="s">
        <v>266</v>
      </c>
      <c r="P273" s="132" t="s">
        <v>340</v>
      </c>
    </row>
    <row r="274">
      <c r="A274" s="131" t="s">
        <v>486</v>
      </c>
      <c r="B274" s="132" t="s">
        <v>692</v>
      </c>
      <c r="C274" s="133"/>
      <c r="D274" s="132" t="s">
        <v>71</v>
      </c>
      <c r="E274" s="133"/>
      <c r="F274" s="133"/>
      <c r="G274" s="133"/>
      <c r="H274" s="132" t="s">
        <v>110</v>
      </c>
      <c r="I274" s="132" t="s">
        <v>142</v>
      </c>
      <c r="J274" s="132">
        <v>82.5</v>
      </c>
      <c r="K274" s="132" t="s">
        <v>135</v>
      </c>
      <c r="L274" s="134"/>
      <c r="M274" s="133"/>
      <c r="N274" s="133"/>
      <c r="O274" s="132"/>
      <c r="P274" s="132" t="s">
        <v>270</v>
      </c>
    </row>
    <row r="275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</row>
    <row r="276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</row>
    <row r="277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</row>
    <row r="278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</row>
    <row r="279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</row>
    <row r="280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</row>
    <row r="28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</row>
    <row r="282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</row>
    <row r="283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</row>
    <row r="284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</row>
    <row r="285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</row>
    <row r="286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</row>
    <row r="287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</row>
    <row r="288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</row>
    <row r="289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</row>
    <row r="290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</row>
    <row r="29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</row>
    <row r="292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</row>
    <row r="293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</row>
    <row r="294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</row>
    <row r="295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</row>
    <row r="296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</row>
    <row r="297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</row>
    <row r="298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</row>
    <row r="299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</row>
    <row r="300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</row>
  </sheetData>
  <autoFilter ref="$A$1:$P$300">
    <sortState ref="A1:P300">
      <sortCondition descending="1" ref="M1:M300"/>
      <sortCondition ref="H1:H300"/>
      <sortCondition ref="A1:A300"/>
      <sortCondition ref="J1:J300"/>
      <sortCondition ref="D1:D300"/>
      <sortCondition ref="N1:N300"/>
      <sortCondition ref="E1:E30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4" width="45.0"/>
    <col customWidth="1" min="5" max="5" width="8.38"/>
    <col customWidth="1" min="6" max="6" width="8.63"/>
    <col customWidth="1" min="7" max="7" width="6.13"/>
    <col customWidth="1" min="8" max="8" width="7.75"/>
    <col customWidth="1" min="9" max="9" width="7.0"/>
    <col customWidth="1" min="10" max="10" width="7.38"/>
    <col customWidth="1" min="11" max="11" width="5.13"/>
    <col customWidth="1" min="12" max="12" width="6.38"/>
    <col customWidth="1" min="13" max="13" width="50.63"/>
  </cols>
  <sheetData>
    <row r="1">
      <c r="A1" s="138" t="s">
        <v>253</v>
      </c>
      <c r="B1" s="139" t="s">
        <v>254</v>
      </c>
      <c r="C1" s="140" t="s">
        <v>693</v>
      </c>
      <c r="D1" s="140" t="s">
        <v>694</v>
      </c>
      <c r="E1" s="141" t="s">
        <v>695</v>
      </c>
      <c r="F1" s="138" t="s">
        <v>696</v>
      </c>
      <c r="G1" s="138" t="s">
        <v>697</v>
      </c>
      <c r="H1" s="142" t="s">
        <v>698</v>
      </c>
      <c r="I1" s="141" t="s">
        <v>699</v>
      </c>
      <c r="J1" s="143" t="s">
        <v>700</v>
      </c>
      <c r="K1" s="143" t="s">
        <v>701</v>
      </c>
      <c r="L1" s="144" t="s">
        <v>702</v>
      </c>
      <c r="M1" s="138" t="s">
        <v>703</v>
      </c>
    </row>
    <row r="2">
      <c r="A2" s="131" t="s">
        <v>264</v>
      </c>
      <c r="B2" s="132" t="s">
        <v>265</v>
      </c>
      <c r="C2" s="145" t="s">
        <v>704</v>
      </c>
      <c r="D2" s="145"/>
      <c r="E2" s="146">
        <v>297.5</v>
      </c>
      <c r="F2" s="146">
        <v>182.5</v>
      </c>
      <c r="G2" s="146">
        <v>280.0</v>
      </c>
      <c r="H2" s="146">
        <v>760.0</v>
      </c>
      <c r="I2" s="146">
        <f>IFERROR(__xludf.DUMMYFUNCTION("QUERY(IMPORTHTML(C2,""table"",1),""Select Col2,Col3,Col4,Col5 where (Col1='Single')"",0)"),367.5)</f>
        <v>367.5</v>
      </c>
      <c r="J2" s="146">
        <f>IFERROR(__xludf.DUMMYFUNCTION("""COMPUTED_VALUE"""),272.5)</f>
        <v>272.5</v>
      </c>
      <c r="K2" s="146">
        <f>IFERROR(__xludf.DUMMYFUNCTION("""COMPUTED_VALUE"""),290.0)</f>
        <v>290</v>
      </c>
      <c r="L2" s="146">
        <f>IFERROR(__xludf.DUMMYFUNCTION("""COMPUTED_VALUE"""),930.0)</f>
        <v>930</v>
      </c>
      <c r="M2" s="147"/>
    </row>
    <row r="3">
      <c r="A3" s="131" t="s">
        <v>268</v>
      </c>
      <c r="B3" s="132" t="s">
        <v>269</v>
      </c>
      <c r="C3" s="145" t="s">
        <v>705</v>
      </c>
      <c r="D3" s="145"/>
      <c r="E3" s="146">
        <v>337.5</v>
      </c>
      <c r="F3" s="146">
        <v>172.5</v>
      </c>
      <c r="G3" s="146">
        <v>327.5</v>
      </c>
      <c r="H3" s="146">
        <v>837.5</v>
      </c>
      <c r="I3" s="146">
        <f>IFERROR(__xludf.DUMMYFUNCTION("QUERY(IMPORTHTML(C3,""table"",1),""Select Col2,Col3,Col4,Col5 where (Col1='Single')"",0)"),367.5)</f>
        <v>367.5</v>
      </c>
      <c r="J3" s="146">
        <f>IFERROR(__xludf.DUMMYFUNCTION("""COMPUTED_VALUE"""),232.5)</f>
        <v>232.5</v>
      </c>
      <c r="K3" s="146">
        <f>IFERROR(__xludf.DUMMYFUNCTION("""COMPUTED_VALUE"""),325.0)</f>
        <v>325</v>
      </c>
      <c r="L3" s="146">
        <f>IFERROR(__xludf.DUMMYFUNCTION("""COMPUTED_VALUE"""),925.0)</f>
        <v>925</v>
      </c>
      <c r="M3" s="146"/>
    </row>
    <row r="4">
      <c r="A4" s="131" t="s">
        <v>271</v>
      </c>
      <c r="B4" s="132" t="s">
        <v>272</v>
      </c>
      <c r="C4" s="145" t="s">
        <v>706</v>
      </c>
      <c r="D4" s="145"/>
      <c r="E4" s="146" t="str">
        <f>IFERROR(__xludf.DUMMYFUNCTION("QUERY(IMPORTHTML(C4,""table"",1),""Select Col2,Col3,Col4,Col5 where (Col1='Raw')"",0)"),"#N/A")</f>
        <v>#N/A</v>
      </c>
      <c r="F4" s="146"/>
      <c r="G4" s="146"/>
      <c r="H4" s="146"/>
      <c r="I4" s="146">
        <f>IFERROR(__xludf.DUMMYFUNCTION("QUERY(IMPORTHTML(C4,""table"",1),""Select Col2,Col3,Col4,Col5 where (Col1='Single')"",0)"),375.0)</f>
        <v>375</v>
      </c>
      <c r="J4" s="146">
        <f>IFERROR(__xludf.DUMMYFUNCTION("""COMPUTED_VALUE"""),237.5)</f>
        <v>237.5</v>
      </c>
      <c r="K4" s="146">
        <f>IFERROR(__xludf.DUMMYFUNCTION("""COMPUTED_VALUE"""),302.5)</f>
        <v>302.5</v>
      </c>
      <c r="L4" s="146">
        <f>IFERROR(__xludf.DUMMYFUNCTION("""COMPUTED_VALUE"""),915.0)</f>
        <v>915</v>
      </c>
      <c r="M4" s="146"/>
    </row>
    <row r="5">
      <c r="A5" s="135" t="s">
        <v>274</v>
      </c>
      <c r="B5" s="132" t="s">
        <v>275</v>
      </c>
      <c r="C5" s="145" t="s">
        <v>707</v>
      </c>
      <c r="D5" s="145"/>
      <c r="E5" s="146">
        <v>355.0</v>
      </c>
      <c r="F5" s="146">
        <v>207.5</v>
      </c>
      <c r="G5" s="146">
        <v>345.0</v>
      </c>
      <c r="H5" s="146">
        <v>897.5</v>
      </c>
      <c r="I5" s="146">
        <f>IFERROR(__xludf.DUMMYFUNCTION("QUERY(IMPORTHTML(C5,""table"",1),""Select Col2,Col3,Col4,Col5 where (Col1='Single')"",0)"),435.0)</f>
        <v>435</v>
      </c>
      <c r="J5" s="146">
        <f>IFERROR(__xludf.DUMMYFUNCTION("""COMPUTED_VALUE"""),262.5)</f>
        <v>262.5</v>
      </c>
      <c r="K5" s="146">
        <f>IFERROR(__xludf.DUMMYFUNCTION("""COMPUTED_VALUE"""),335.0)</f>
        <v>335</v>
      </c>
      <c r="L5" s="146">
        <f>IFERROR(__xludf.DUMMYFUNCTION("""COMPUTED_VALUE"""),1030.0)</f>
        <v>1030</v>
      </c>
      <c r="M5" s="146"/>
    </row>
    <row r="6">
      <c r="A6" s="131" t="s">
        <v>279</v>
      </c>
      <c r="B6" s="132" t="s">
        <v>280</v>
      </c>
      <c r="C6" s="145" t="s">
        <v>708</v>
      </c>
      <c r="D6" s="145"/>
      <c r="E6" s="146">
        <v>302.5</v>
      </c>
      <c r="F6" s="146">
        <v>192.5</v>
      </c>
      <c r="G6" s="146">
        <v>295.0</v>
      </c>
      <c r="H6" s="146">
        <v>782.5</v>
      </c>
      <c r="I6" s="146">
        <f>IFERROR(__xludf.DUMMYFUNCTION("QUERY(IMPORTHTML(C6,""table"",1),""Select Col2,Col3,Col4,Col5 where (Col1='Single')"",0)"),342.5)</f>
        <v>342.5</v>
      </c>
      <c r="J6" s="146">
        <f>IFERROR(__xludf.DUMMYFUNCTION("""COMPUTED_VALUE"""),232.5)</f>
        <v>232.5</v>
      </c>
      <c r="K6" s="146">
        <f>IFERROR(__xludf.DUMMYFUNCTION("""COMPUTED_VALUE"""),302.5)</f>
        <v>302.5</v>
      </c>
      <c r="L6" s="146">
        <f>IFERROR(__xludf.DUMMYFUNCTION("""COMPUTED_VALUE"""),877.5)</f>
        <v>877.5</v>
      </c>
      <c r="M6" s="146"/>
    </row>
    <row r="7">
      <c r="A7" s="135" t="s">
        <v>281</v>
      </c>
      <c r="B7" s="132" t="s">
        <v>282</v>
      </c>
      <c r="C7" s="145" t="s">
        <v>709</v>
      </c>
      <c r="D7" s="145"/>
      <c r="E7" s="146" t="e">
        <v>#N/A</v>
      </c>
      <c r="F7" s="146"/>
      <c r="G7" s="146"/>
      <c r="H7" s="146"/>
      <c r="I7" s="146">
        <f>IFERROR(__xludf.DUMMYFUNCTION("QUERY(IMPORTHTML(C7,""table"",1),""Select Col2,Col3,Col4,Col5 where (Col1='Single')"",0)"),375.0)</f>
        <v>375</v>
      </c>
      <c r="J7" s="146">
        <f>IFERROR(__xludf.DUMMYFUNCTION("""COMPUTED_VALUE"""),220.0)</f>
        <v>220</v>
      </c>
      <c r="K7" s="146">
        <f>IFERROR(__xludf.DUMMYFUNCTION("""COMPUTED_VALUE"""),270.0)</f>
        <v>270</v>
      </c>
      <c r="L7" s="146">
        <f>IFERROR(__xludf.DUMMYFUNCTION("""COMPUTED_VALUE"""),865.0)</f>
        <v>865</v>
      </c>
      <c r="M7" s="146"/>
    </row>
    <row r="8">
      <c r="A8" s="131" t="s">
        <v>284</v>
      </c>
      <c r="B8" s="132" t="s">
        <v>285</v>
      </c>
      <c r="C8" s="145" t="s">
        <v>710</v>
      </c>
      <c r="D8" s="145"/>
      <c r="E8" s="146" t="e">
        <v>#N/A</v>
      </c>
      <c r="F8" s="146"/>
      <c r="G8" s="146"/>
      <c r="H8" s="146"/>
      <c r="I8" s="146">
        <f>IFERROR(__xludf.DUMMYFUNCTION("QUERY(IMPORTHTML(C8,""table"",1),""Select Col2,Col3,Col4,Col5 where (Col1='Single')"",0)"),365.0)</f>
        <v>365</v>
      </c>
      <c r="J8" s="146">
        <f>IFERROR(__xludf.DUMMYFUNCTION("""COMPUTED_VALUE"""),200.0)</f>
        <v>200</v>
      </c>
      <c r="K8" s="146">
        <f>IFERROR(__xludf.DUMMYFUNCTION("""COMPUTED_VALUE"""),325.0)</f>
        <v>325</v>
      </c>
      <c r="L8" s="146">
        <f>IFERROR(__xludf.DUMMYFUNCTION("""COMPUTED_VALUE"""),885.0)</f>
        <v>885</v>
      </c>
      <c r="M8" s="146"/>
    </row>
    <row r="9">
      <c r="A9" s="131" t="s">
        <v>286</v>
      </c>
      <c r="B9" s="132" t="s">
        <v>81</v>
      </c>
      <c r="C9" s="148" t="s">
        <v>711</v>
      </c>
      <c r="D9" s="145"/>
      <c r="E9" s="146">
        <v>272.5</v>
      </c>
      <c r="F9" s="146">
        <v>167.5</v>
      </c>
      <c r="G9" s="146">
        <v>262.5</v>
      </c>
      <c r="H9" s="146">
        <v>692.5</v>
      </c>
      <c r="I9" s="146">
        <f>IFERROR(__xludf.DUMMYFUNCTION("QUERY(IMPORTHTML(C9,""table"",1),""Select Col2,Col3,Col4,Col5 where (Col1='Single')"",0)"),337.5)</f>
        <v>337.5</v>
      </c>
      <c r="J9" s="146">
        <f>IFERROR(__xludf.DUMMYFUNCTION("""COMPUTED_VALUE"""),220.0)</f>
        <v>220</v>
      </c>
      <c r="K9" s="146">
        <f>IFERROR(__xludf.DUMMYFUNCTION("""COMPUTED_VALUE"""),272.5)</f>
        <v>272.5</v>
      </c>
      <c r="L9" s="146">
        <f>IFERROR(__xludf.DUMMYFUNCTION("""COMPUTED_VALUE"""),817.5)</f>
        <v>817.5</v>
      </c>
      <c r="M9" s="146"/>
    </row>
    <row r="10">
      <c r="A10" s="136" t="s">
        <v>287</v>
      </c>
      <c r="B10" s="132" t="s">
        <v>288</v>
      </c>
      <c r="C10" s="145" t="s">
        <v>712</v>
      </c>
      <c r="D10" s="145"/>
      <c r="E10" s="146" t="str">
        <f>IFERROR(__xludf.DUMMYFUNCTION("QUERY(IMPORTHTML(C10,""table"",1),""Select Col2,Col3,Col4,Col5 where (Col1='Raw')"",0)"),"Loading...")</f>
        <v>Loading...</v>
      </c>
      <c r="F10" s="146"/>
      <c r="G10" s="146"/>
      <c r="H10" s="146"/>
      <c r="I10" s="146" t="str">
        <f>IFERROR(__xludf.DUMMYFUNCTION("QUERY(IMPORTHTML(C10,""table"",1),""Select Col2,Col3,Col4,Col5 where (Col1='Single')"",0)"),"Loading...")</f>
        <v>Loading...</v>
      </c>
      <c r="J10" s="146"/>
      <c r="K10" s="146"/>
      <c r="L10" s="146"/>
      <c r="M10" s="146"/>
    </row>
    <row r="11">
      <c r="A11" s="131" t="s">
        <v>289</v>
      </c>
      <c r="B11" s="132" t="s">
        <v>290</v>
      </c>
      <c r="C11" s="145" t="s">
        <v>713</v>
      </c>
      <c r="D11" s="145"/>
      <c r="E11" s="146">
        <v>255.0</v>
      </c>
      <c r="F11" s="146">
        <v>145.0</v>
      </c>
      <c r="G11" s="146">
        <v>250.0</v>
      </c>
      <c r="H11" s="146">
        <v>650.0</v>
      </c>
      <c r="I11" s="146">
        <f>IFERROR(__xludf.DUMMYFUNCTION("QUERY(IMPORTHTML(C11,""table"",1),""Select Col2,Col3,Col4,Col5 where (Col1='Single')"",0)"),351.5)</f>
        <v>351.5</v>
      </c>
      <c r="J11" s="146">
        <f>IFERROR(__xludf.DUMMYFUNCTION("""COMPUTED_VALUE"""),249.4)</f>
        <v>249.4</v>
      </c>
      <c r="K11" s="146">
        <f>IFERROR(__xludf.DUMMYFUNCTION("""COMPUTED_VALUE"""),272.1)</f>
        <v>272.1</v>
      </c>
      <c r="L11" s="146">
        <f>IFERROR(__xludf.DUMMYFUNCTION("""COMPUTED_VALUE"""),861.8)</f>
        <v>861.8</v>
      </c>
      <c r="M11" s="147"/>
    </row>
    <row r="12">
      <c r="A12" s="131" t="s">
        <v>291</v>
      </c>
      <c r="B12" s="132" t="s">
        <v>292</v>
      </c>
      <c r="C12" s="145" t="s">
        <v>714</v>
      </c>
      <c r="D12" s="145"/>
      <c r="E12" s="146">
        <v>255.0</v>
      </c>
      <c r="F12" s="146">
        <v>170.0</v>
      </c>
      <c r="G12" s="146">
        <v>242.5</v>
      </c>
      <c r="H12" s="146">
        <v>667.5</v>
      </c>
      <c r="I12" s="146">
        <f>IFERROR(__xludf.DUMMYFUNCTION("QUERY(IMPORTHTML(C12,""table"",1),""Select Col2,Col3,Col4,Col5 where (Col1='Single')"",0)"),345.0)</f>
        <v>345</v>
      </c>
      <c r="J12" s="146">
        <f>IFERROR(__xludf.DUMMYFUNCTION("""COMPUTED_VALUE"""),207.5)</f>
        <v>207.5</v>
      </c>
      <c r="K12" s="146">
        <f>IFERROR(__xludf.DUMMYFUNCTION("""COMPUTED_VALUE"""),235.0)</f>
        <v>235</v>
      </c>
      <c r="L12" s="146">
        <f>IFERROR(__xludf.DUMMYFUNCTION("""COMPUTED_VALUE"""),787.5)</f>
        <v>787.5</v>
      </c>
      <c r="M12" s="146"/>
    </row>
    <row r="13">
      <c r="A13" s="131" t="s">
        <v>293</v>
      </c>
      <c r="B13" s="132" t="s">
        <v>294</v>
      </c>
      <c r="C13" s="145" t="s">
        <v>715</v>
      </c>
      <c r="D13" s="145"/>
      <c r="E13" s="146">
        <v>265.0</v>
      </c>
      <c r="F13" s="146">
        <v>152.5</v>
      </c>
      <c r="G13" s="146">
        <v>290.0</v>
      </c>
      <c r="H13" s="146">
        <v>707.5</v>
      </c>
      <c r="I13" s="146">
        <f>IFERROR(__xludf.DUMMYFUNCTION("QUERY(IMPORTHTML(C13,""table"",1),""Select Col2,Col3,Col4,Col5 where (Col1='Single')"",0)"),320.0)</f>
        <v>320</v>
      </c>
      <c r="J13" s="146">
        <f>IFERROR(__xludf.DUMMYFUNCTION("""COMPUTED_VALUE"""),165.0)</f>
        <v>165</v>
      </c>
      <c r="K13" s="146">
        <f>IFERROR(__xludf.DUMMYFUNCTION("""COMPUTED_VALUE"""),292.5)</f>
        <v>292.5</v>
      </c>
      <c r="L13" s="146">
        <f>IFERROR(__xludf.DUMMYFUNCTION("""COMPUTED_VALUE"""),777.5)</f>
        <v>777.5</v>
      </c>
      <c r="M13" s="146"/>
    </row>
    <row r="14">
      <c r="A14" s="131" t="s">
        <v>295</v>
      </c>
      <c r="B14" s="132" t="s">
        <v>296</v>
      </c>
      <c r="C14" s="145" t="s">
        <v>716</v>
      </c>
      <c r="D14" s="145"/>
      <c r="E14" s="146">
        <v>200.0</v>
      </c>
      <c r="F14" s="146">
        <v>150.0</v>
      </c>
      <c r="G14" s="146">
        <v>230.0</v>
      </c>
      <c r="H14" s="146">
        <v>580.0</v>
      </c>
      <c r="I14" s="146">
        <f>IFERROR(__xludf.DUMMYFUNCTION("QUERY(IMPORTHTML(C14,""table"",1),""Select Col2,Col3,Col4,Col5 where (Col1='Single')"",0)"),277.5)</f>
        <v>277.5</v>
      </c>
      <c r="J14" s="146">
        <f>IFERROR(__xludf.DUMMYFUNCTION("""COMPUTED_VALUE"""),205.0)</f>
        <v>205</v>
      </c>
      <c r="K14" s="146">
        <f>IFERROR(__xludf.DUMMYFUNCTION("""COMPUTED_VALUE"""),302.5)</f>
        <v>302.5</v>
      </c>
      <c r="L14" s="146">
        <f>IFERROR(__xludf.DUMMYFUNCTION("""COMPUTED_VALUE"""),762.5)</f>
        <v>762.5</v>
      </c>
      <c r="M14" s="146"/>
    </row>
    <row r="15">
      <c r="A15" s="131" t="s">
        <v>297</v>
      </c>
      <c r="B15" s="132" t="s">
        <v>298</v>
      </c>
      <c r="C15" s="145" t="s">
        <v>717</v>
      </c>
      <c r="D15" s="145"/>
      <c r="E15" s="146">
        <v>265.0</v>
      </c>
      <c r="F15" s="146">
        <v>147.5</v>
      </c>
      <c r="G15" s="146">
        <v>285.0</v>
      </c>
      <c r="H15" s="146">
        <v>692.5</v>
      </c>
      <c r="I15" s="146">
        <f>IFERROR(__xludf.DUMMYFUNCTION("QUERY(IMPORTHTML(C15,""table"",1),""Select Col2,Col3,Col4,Col5 where (Col1='Single')"",0)"),312.5)</f>
        <v>312.5</v>
      </c>
      <c r="J15" s="146">
        <f>IFERROR(__xludf.DUMMYFUNCTION("""COMPUTED_VALUE"""),170.0)</f>
        <v>170</v>
      </c>
      <c r="K15" s="146">
        <f>IFERROR(__xludf.DUMMYFUNCTION("""COMPUTED_VALUE"""),292.5)</f>
        <v>292.5</v>
      </c>
      <c r="L15" s="146">
        <f>IFERROR(__xludf.DUMMYFUNCTION("""COMPUTED_VALUE"""),760.0)</f>
        <v>760</v>
      </c>
      <c r="M15" s="146"/>
    </row>
    <row r="16">
      <c r="A16" s="131" t="s">
        <v>299</v>
      </c>
      <c r="B16" s="132" t="s">
        <v>300</v>
      </c>
      <c r="C16" s="145" t="s">
        <v>718</v>
      </c>
      <c r="D16" s="145"/>
      <c r="E16" s="146">
        <v>230.0</v>
      </c>
      <c r="F16" s="146">
        <v>177.5</v>
      </c>
      <c r="G16" s="146">
        <v>275.0</v>
      </c>
      <c r="H16" s="146">
        <v>680.0</v>
      </c>
      <c r="I16" s="146">
        <f>IFERROR(__xludf.DUMMYFUNCTION("QUERY(IMPORTHTML(C16,""table"",1),""Select Col2,Col3,Col4,Col5 where (Col1='Single')"",0)"),285.0)</f>
        <v>285</v>
      </c>
      <c r="J16" s="146">
        <f>IFERROR(__xludf.DUMMYFUNCTION("""COMPUTED_VALUE"""),207.5)</f>
        <v>207.5</v>
      </c>
      <c r="K16" s="146">
        <f>IFERROR(__xludf.DUMMYFUNCTION("""COMPUTED_VALUE"""),262.5)</f>
        <v>262.5</v>
      </c>
      <c r="L16" s="146">
        <f>IFERROR(__xludf.DUMMYFUNCTION("""COMPUTED_VALUE"""),755.0)</f>
        <v>755</v>
      </c>
      <c r="M16" s="146"/>
    </row>
    <row r="17">
      <c r="A17" s="131" t="s">
        <v>301</v>
      </c>
      <c r="B17" s="132" t="s">
        <v>302</v>
      </c>
      <c r="C17" s="145" t="s">
        <v>719</v>
      </c>
      <c r="D17" s="145"/>
      <c r="E17" s="146">
        <v>260.0</v>
      </c>
      <c r="F17" s="146">
        <v>167.5</v>
      </c>
      <c r="G17" s="146">
        <v>265.0</v>
      </c>
      <c r="H17" s="146">
        <v>692.5</v>
      </c>
      <c r="I17" s="146">
        <f>IFERROR(__xludf.DUMMYFUNCTION("QUERY(IMPORTHTML(C17,""table"",1),""Select Col2,Col3,Col4,Col5 where (Col1='Single')"",0)"),345.0)</f>
        <v>345</v>
      </c>
      <c r="J17" s="146">
        <f>IFERROR(__xludf.DUMMYFUNCTION("""COMPUTED_VALUE"""),235.0)</f>
        <v>235</v>
      </c>
      <c r="K17" s="146">
        <f>IFERROR(__xludf.DUMMYFUNCTION("""COMPUTED_VALUE"""),287.5)</f>
        <v>287.5</v>
      </c>
      <c r="L17" s="146">
        <f>IFERROR(__xludf.DUMMYFUNCTION("""COMPUTED_VALUE"""),865.0)</f>
        <v>865</v>
      </c>
      <c r="M17" s="146"/>
    </row>
    <row r="18">
      <c r="A18" s="131" t="s">
        <v>303</v>
      </c>
      <c r="B18" s="132" t="s">
        <v>304</v>
      </c>
      <c r="C18" s="145" t="s">
        <v>720</v>
      </c>
      <c r="D18" s="145"/>
      <c r="E18" s="146">
        <f>IFERROR(__xludf.DUMMYFUNCTION("QUERY(IMPORTHTML(C18,""table"",1),""Select Col2,Col3,Col4,Col5 where (Col1='Raw')"",0)"),237.5)</f>
        <v>237.5</v>
      </c>
      <c r="F18" s="146">
        <f>IFERROR(__xludf.DUMMYFUNCTION("""COMPUTED_VALUE"""),162.5)</f>
        <v>162.5</v>
      </c>
      <c r="G18" s="146">
        <f>IFERROR(__xludf.DUMMYFUNCTION("""COMPUTED_VALUE"""),285.0)</f>
        <v>285</v>
      </c>
      <c r="H18" s="146">
        <f>IFERROR(__xludf.DUMMYFUNCTION("""COMPUTED_VALUE"""),680.0)</f>
        <v>680</v>
      </c>
      <c r="I18" s="146">
        <f>IFERROR(__xludf.DUMMYFUNCTION("QUERY(IMPORTHTML(C18,""table"",1),""Select Col2,Col3,Col4,Col5 where (Col1='Single')"",0)"),290.3)</f>
        <v>290.3</v>
      </c>
      <c r="J18" s="146">
        <f>IFERROR(__xludf.DUMMYFUNCTION("""COMPUTED_VALUE"""),195.0)</f>
        <v>195</v>
      </c>
      <c r="K18" s="146">
        <f>IFERROR(__xludf.DUMMYFUNCTION("""COMPUTED_VALUE"""),295.0)</f>
        <v>295</v>
      </c>
      <c r="L18" s="146">
        <f>IFERROR(__xludf.DUMMYFUNCTION("""COMPUTED_VALUE"""),766.5)</f>
        <v>766.5</v>
      </c>
      <c r="M18" s="146"/>
    </row>
    <row r="19">
      <c r="A19" s="131" t="s">
        <v>305</v>
      </c>
      <c r="B19" s="132" t="s">
        <v>306</v>
      </c>
      <c r="C19" s="145" t="s">
        <v>721</v>
      </c>
      <c r="D19" s="145"/>
      <c r="E19" s="146">
        <v>245.0</v>
      </c>
      <c r="F19" s="146">
        <v>150.0</v>
      </c>
      <c r="G19" s="146">
        <v>280.0</v>
      </c>
      <c r="H19" s="146">
        <v>675.0</v>
      </c>
      <c r="I19" s="146">
        <f>IFERROR(__xludf.DUMMYFUNCTION("QUERY(IMPORTHTML(C19,""table"",1),""Select Col2,Col3,Col4,Col5 where (Col1='Single')"",0)"),300.0)</f>
        <v>300</v>
      </c>
      <c r="J19" s="146">
        <f>IFERROR(__xludf.DUMMYFUNCTION("""COMPUTED_VALUE"""),190.0)</f>
        <v>190</v>
      </c>
      <c r="K19" s="146">
        <f>IFERROR(__xludf.DUMMYFUNCTION("""COMPUTED_VALUE"""),265.0)</f>
        <v>265</v>
      </c>
      <c r="L19" s="146">
        <f>IFERROR(__xludf.DUMMYFUNCTION("""COMPUTED_VALUE"""),747.5)</f>
        <v>747.5</v>
      </c>
      <c r="M19" s="146"/>
    </row>
    <row r="20">
      <c r="A20" s="131" t="s">
        <v>308</v>
      </c>
      <c r="B20" s="132" t="s">
        <v>309</v>
      </c>
      <c r="C20" s="145" t="s">
        <v>722</v>
      </c>
      <c r="D20" s="145"/>
      <c r="E20" s="146">
        <v>252.5</v>
      </c>
      <c r="F20" s="146">
        <v>157.5</v>
      </c>
      <c r="G20" s="146">
        <v>282.5</v>
      </c>
      <c r="H20" s="146">
        <v>692.5</v>
      </c>
      <c r="I20" s="146">
        <f>IFERROR(__xludf.DUMMYFUNCTION("QUERY(IMPORTHTML(C20,""table"",1),""Select Col2,Col3,Col4,Col5 where (Col1='Single')"",0)"),317.5)</f>
        <v>317.5</v>
      </c>
      <c r="J20" s="146">
        <f>IFERROR(__xludf.DUMMYFUNCTION("""COMPUTED_VALUE"""),170.0)</f>
        <v>170</v>
      </c>
      <c r="K20" s="146">
        <f>IFERROR(__xludf.DUMMYFUNCTION("""COMPUTED_VALUE"""),275.0)</f>
        <v>275</v>
      </c>
      <c r="L20" s="146">
        <f>IFERROR(__xludf.DUMMYFUNCTION("""COMPUTED_VALUE"""),755.0)</f>
        <v>755</v>
      </c>
      <c r="M20" s="147"/>
    </row>
    <row r="21">
      <c r="A21" s="131" t="s">
        <v>310</v>
      </c>
      <c r="B21" s="132" t="s">
        <v>311</v>
      </c>
      <c r="C21" s="145" t="s">
        <v>723</v>
      </c>
      <c r="D21" s="145"/>
      <c r="E21" s="146" t="e">
        <v>#N/A</v>
      </c>
      <c r="F21" s="146"/>
      <c r="G21" s="146"/>
      <c r="H21" s="146"/>
      <c r="I21" s="146">
        <f>IFERROR(__xludf.DUMMYFUNCTION("QUERY(IMPORTHTML(C21,""table"",1),""Select Col2,Col3,Col4,Col5 where (Col1='Single')"",0)"),328.8)</f>
        <v>328.8</v>
      </c>
      <c r="J21" s="146">
        <f>IFERROR(__xludf.DUMMYFUNCTION("""COMPUTED_VALUE"""),158.7)</f>
        <v>158.7</v>
      </c>
      <c r="K21" s="146">
        <f>IFERROR(__xludf.DUMMYFUNCTION("""COMPUTED_VALUE"""),297.5)</f>
        <v>297.5</v>
      </c>
      <c r="L21" s="146">
        <f>IFERROR(__xludf.DUMMYFUNCTION("""COMPUTED_VALUE"""),759.7)</f>
        <v>759.7</v>
      </c>
      <c r="M21" s="146"/>
    </row>
    <row r="22">
      <c r="A22" s="131" t="s">
        <v>312</v>
      </c>
      <c r="B22" s="132" t="s">
        <v>313</v>
      </c>
      <c r="C22" s="145" t="s">
        <v>724</v>
      </c>
      <c r="D22" s="145"/>
      <c r="E22" s="146">
        <v>250.0</v>
      </c>
      <c r="F22" s="146">
        <v>165.0</v>
      </c>
      <c r="G22" s="146">
        <v>305.0</v>
      </c>
      <c r="H22" s="146">
        <v>720.0</v>
      </c>
      <c r="I22" s="146" t="str">
        <f>IFERROR(__xludf.DUMMYFUNCTION("QUERY(IMPORTHTML(C22,""table"",1),""Select Col2,Col3,Col4,Col5 where (Col1='Single')"",0)"),"Loading...")</f>
        <v>Loading...</v>
      </c>
      <c r="J22" s="146"/>
      <c r="K22" s="146"/>
      <c r="L22" s="146"/>
      <c r="M22" s="147"/>
    </row>
    <row r="23">
      <c r="A23" s="131" t="s">
        <v>314</v>
      </c>
      <c r="B23" s="132" t="s">
        <v>315</v>
      </c>
      <c r="C23" s="145" t="s">
        <v>725</v>
      </c>
      <c r="D23" s="145"/>
      <c r="E23" s="146">
        <v>272.5</v>
      </c>
      <c r="F23" s="146">
        <v>195.0</v>
      </c>
      <c r="G23" s="146">
        <v>275.0</v>
      </c>
      <c r="H23" s="146">
        <v>742.5</v>
      </c>
      <c r="I23" s="146">
        <f>IFERROR(__xludf.DUMMYFUNCTION("QUERY(IMPORTHTML(C23,""table"",1),""Select Col2,Col3,Col4,Col5 where (Col1='Single')"",0)"),317.5)</f>
        <v>317.5</v>
      </c>
      <c r="J23" s="146">
        <f>IFERROR(__xludf.DUMMYFUNCTION("""COMPUTED_VALUE"""),187.5)</f>
        <v>187.5</v>
      </c>
      <c r="K23" s="146">
        <f>IFERROR(__xludf.DUMMYFUNCTION("""COMPUTED_VALUE"""),277.5)</f>
        <v>277.5</v>
      </c>
      <c r="L23" s="146">
        <f>IFERROR(__xludf.DUMMYFUNCTION("""COMPUTED_VALUE"""),782.5)</f>
        <v>782.5</v>
      </c>
      <c r="M23" s="147"/>
    </row>
    <row r="24">
      <c r="A24" s="131" t="s">
        <v>317</v>
      </c>
      <c r="B24" s="132" t="s">
        <v>318</v>
      </c>
      <c r="C24" s="145" t="s">
        <v>726</v>
      </c>
      <c r="D24" s="145"/>
      <c r="E24" s="146">
        <v>250.0</v>
      </c>
      <c r="F24" s="146">
        <v>142.5</v>
      </c>
      <c r="G24" s="146">
        <v>252.5</v>
      </c>
      <c r="H24" s="146">
        <v>640.0</v>
      </c>
      <c r="I24" s="146" t="str">
        <f>IFERROR(__xludf.DUMMYFUNCTION("QUERY(IMPORTHTML(C24,""table"",1),""Select Col2,Col3,Col4,Col5 where (Col1='Single')"",0)"),"Loading...")</f>
        <v>Loading...</v>
      </c>
      <c r="J24" s="146"/>
      <c r="K24" s="146"/>
      <c r="L24" s="146"/>
      <c r="M24" s="146"/>
    </row>
    <row r="25">
      <c r="A25" s="131" t="s">
        <v>319</v>
      </c>
      <c r="B25" s="132" t="s">
        <v>320</v>
      </c>
      <c r="C25" s="145" t="s">
        <v>727</v>
      </c>
      <c r="D25" s="145"/>
      <c r="E25" s="146">
        <v>272.5</v>
      </c>
      <c r="F25" s="146">
        <v>145.0</v>
      </c>
      <c r="G25" s="146">
        <v>310.0</v>
      </c>
      <c r="H25" s="146">
        <v>727.5</v>
      </c>
      <c r="I25" s="146">
        <f>IFERROR(__xludf.DUMMYFUNCTION("QUERY(IMPORTHTML(C25,""table"",1),""Select Col2,Col3,Col4,Col5 where (Col1='Single')"",0)"),310.0)</f>
        <v>310</v>
      </c>
      <c r="J25" s="146">
        <f>IFERROR(__xludf.DUMMYFUNCTION("""COMPUTED_VALUE"""),157.5)</f>
        <v>157.5</v>
      </c>
      <c r="K25" s="146">
        <f>IFERROR(__xludf.DUMMYFUNCTION("""COMPUTED_VALUE"""),287.5)</f>
        <v>287.5</v>
      </c>
      <c r="L25" s="146">
        <f>IFERROR(__xludf.DUMMYFUNCTION("""COMPUTED_VALUE"""),755.0)</f>
        <v>755</v>
      </c>
      <c r="M25" s="146"/>
    </row>
    <row r="26">
      <c r="A26" s="131" t="s">
        <v>321</v>
      </c>
      <c r="B26" s="132" t="s">
        <v>115</v>
      </c>
      <c r="C26" s="145" t="s">
        <v>728</v>
      </c>
      <c r="D26" s="145"/>
      <c r="E26" s="146">
        <v>245.0</v>
      </c>
      <c r="F26" s="146">
        <v>157.5</v>
      </c>
      <c r="G26" s="146">
        <v>255.0</v>
      </c>
      <c r="H26" s="146">
        <v>650.0</v>
      </c>
      <c r="I26" s="146">
        <f>IFERROR(__xludf.DUMMYFUNCTION("QUERY(IMPORTHTML(C26,""table"",1),""Select Col2,Col3,Col4,Col5 where (Col1='Single')"",0)"),325.0)</f>
        <v>325</v>
      </c>
      <c r="J26" s="146">
        <f>IFERROR(__xludf.DUMMYFUNCTION("""COMPUTED_VALUE"""),170.0)</f>
        <v>170</v>
      </c>
      <c r="K26" s="146">
        <f>IFERROR(__xludf.DUMMYFUNCTION("""COMPUTED_VALUE"""),262.5)</f>
        <v>262.5</v>
      </c>
      <c r="L26" s="146">
        <f>IFERROR(__xludf.DUMMYFUNCTION("""COMPUTED_VALUE"""),727.5)</f>
        <v>727.5</v>
      </c>
      <c r="M26" s="146"/>
    </row>
    <row r="27">
      <c r="A27" s="131" t="s">
        <v>322</v>
      </c>
      <c r="B27" s="132" t="s">
        <v>269</v>
      </c>
      <c r="C27" s="149" t="s">
        <v>729</v>
      </c>
      <c r="D27" s="150"/>
      <c r="E27" s="146" t="e">
        <v>#N/A</v>
      </c>
      <c r="F27" s="146"/>
      <c r="G27" s="146"/>
      <c r="H27" s="146"/>
      <c r="I27" s="146">
        <f>IFERROR(__xludf.DUMMYFUNCTION("QUERY(IMPORTHTML(C27,""table"",1),""Select Col2,Col3,Col4,Col5 where (Col1='Single')"",0)"),262.5)</f>
        <v>262.5</v>
      </c>
      <c r="J27" s="146">
        <f>IFERROR(__xludf.DUMMYFUNCTION("""COMPUTED_VALUE"""),175.0)</f>
        <v>175</v>
      </c>
      <c r="K27" s="146">
        <f>IFERROR(__xludf.DUMMYFUNCTION("""COMPUTED_VALUE"""),285.0)</f>
        <v>285</v>
      </c>
      <c r="L27" s="146">
        <f>IFERROR(__xludf.DUMMYFUNCTION("""COMPUTED_VALUE"""),722.5)</f>
        <v>722.5</v>
      </c>
      <c r="M27" s="146"/>
    </row>
    <row r="28">
      <c r="A28" s="131" t="s">
        <v>323</v>
      </c>
      <c r="B28" s="132" t="s">
        <v>324</v>
      </c>
      <c r="C28" s="145" t="s">
        <v>730</v>
      </c>
      <c r="D28" s="145"/>
      <c r="E28" s="146">
        <v>192.5</v>
      </c>
      <c r="F28" s="146">
        <v>132.5</v>
      </c>
      <c r="G28" s="146">
        <v>222.5</v>
      </c>
      <c r="H28" s="146">
        <v>547.5</v>
      </c>
      <c r="I28" s="146">
        <f>IFERROR(__xludf.DUMMYFUNCTION("QUERY(IMPORTHTML(C28,""table"",1),""Select Col2,Col3,Col4,Col5 where (Col1='Single')"",0)"),280.0)</f>
        <v>280</v>
      </c>
      <c r="J28" s="146">
        <f>IFERROR(__xludf.DUMMYFUNCTION("""COMPUTED_VALUE"""),182.5)</f>
        <v>182.5</v>
      </c>
      <c r="K28" s="146">
        <f>IFERROR(__xludf.DUMMYFUNCTION("""COMPUTED_VALUE"""),262.5)</f>
        <v>262.5</v>
      </c>
      <c r="L28" s="146">
        <f>IFERROR(__xludf.DUMMYFUNCTION("""COMPUTED_VALUE"""),722.5)</f>
        <v>722.5</v>
      </c>
      <c r="M28" s="146"/>
    </row>
    <row r="29">
      <c r="A29" s="136" t="s">
        <v>325</v>
      </c>
      <c r="B29" s="132" t="s">
        <v>326</v>
      </c>
      <c r="C29" s="145" t="s">
        <v>731</v>
      </c>
      <c r="D29" s="145"/>
      <c r="E29" s="146">
        <v>222.5</v>
      </c>
      <c r="F29" s="146">
        <v>165.0</v>
      </c>
      <c r="G29" s="146">
        <v>237.5</v>
      </c>
      <c r="H29" s="146">
        <v>597.5</v>
      </c>
      <c r="I29" s="146">
        <f>IFERROR(__xludf.DUMMYFUNCTION("QUERY(IMPORTHTML(C29,""table"",1),""Select Col2,Col3,Col4,Col5 where (Col1='Single')"",0)"),300.0)</f>
        <v>300</v>
      </c>
      <c r="J29" s="146">
        <f>IFERROR(__xludf.DUMMYFUNCTION("""COMPUTED_VALUE"""),165.0)</f>
        <v>165</v>
      </c>
      <c r="K29" s="146">
        <f>IFERROR(__xludf.DUMMYFUNCTION("""COMPUTED_VALUE"""),260.0)</f>
        <v>260</v>
      </c>
      <c r="L29" s="146">
        <f>IFERROR(__xludf.DUMMYFUNCTION("""COMPUTED_VALUE"""),720.0)</f>
        <v>720</v>
      </c>
      <c r="M29" s="146"/>
    </row>
    <row r="30">
      <c r="A30" s="131" t="s">
        <v>327</v>
      </c>
      <c r="B30" s="132" t="s">
        <v>328</v>
      </c>
      <c r="C30" s="148" t="str">
        <f t="shared" ref="C30:C35" si="1">"http://openpowerlifting.org/u/"&amp;B30&amp;A30</f>
        <v>http://openpowerlifting.org/u/LoganAlpha</v>
      </c>
      <c r="D30" s="145"/>
      <c r="E30" s="146" t="e">
        <v>#N/A</v>
      </c>
      <c r="F30" s="146"/>
      <c r="G30" s="146"/>
      <c r="H30" s="146"/>
      <c r="I30" s="146">
        <f>IFERROR(__xludf.DUMMYFUNCTION("QUERY(IMPORTHTML(C30,""table"",1),""Select Col2,Col3,Col4,Col5 where (Col1='Single')"",0)"),287.5)</f>
        <v>287.5</v>
      </c>
      <c r="J30" s="146">
        <f>IFERROR(__xludf.DUMMYFUNCTION("""COMPUTED_VALUE"""),190.0)</f>
        <v>190</v>
      </c>
      <c r="K30" s="146">
        <f>IFERROR(__xludf.DUMMYFUNCTION("""COMPUTED_VALUE"""),235.8)</f>
        <v>235.8</v>
      </c>
      <c r="L30" s="146">
        <f>IFERROR(__xludf.DUMMYFUNCTION("""COMPUTED_VALUE"""),712.5)</f>
        <v>712.5</v>
      </c>
      <c r="M30" s="146"/>
    </row>
    <row r="31">
      <c r="A31" s="131" t="s">
        <v>329</v>
      </c>
      <c r="B31" s="132" t="s">
        <v>330</v>
      </c>
      <c r="C31" s="148" t="str">
        <f t="shared" si="1"/>
        <v>http://openpowerlifting.org/u/RoanGalvan</v>
      </c>
      <c r="D31" s="145"/>
      <c r="E31" s="146" t="e">
        <v>#N/A</v>
      </c>
      <c r="F31" s="146"/>
      <c r="G31" s="146"/>
      <c r="H31" s="146"/>
      <c r="I31" s="146">
        <f>IFERROR(__xludf.DUMMYFUNCTION("QUERY(IMPORTHTML(C31,""table"",1),""Select Col2,Col3,Col4,Col5 where (Col1='Single')"",0)"),319.7)</f>
        <v>319.7</v>
      </c>
      <c r="J31" s="146">
        <f>IFERROR(__xludf.DUMMYFUNCTION("""COMPUTED_VALUE"""),190.5)</f>
        <v>190.5</v>
      </c>
      <c r="K31" s="146">
        <f>IFERROR(__xludf.DUMMYFUNCTION("""COMPUTED_VALUE"""),256.2)</f>
        <v>256.2</v>
      </c>
      <c r="L31" s="146">
        <f>IFERROR(__xludf.DUMMYFUNCTION("""COMPUTED_VALUE"""),762.0)</f>
        <v>762</v>
      </c>
      <c r="M31" s="147"/>
    </row>
    <row r="32">
      <c r="A32" s="131" t="s">
        <v>331</v>
      </c>
      <c r="B32" s="132" t="s">
        <v>332</v>
      </c>
      <c r="C32" s="148" t="str">
        <f t="shared" si="1"/>
        <v>http://openpowerlifting.org/u/AddisonGaspard</v>
      </c>
      <c r="D32" s="145"/>
      <c r="E32" s="146">
        <v>210.0</v>
      </c>
      <c r="F32" s="146">
        <v>125.0</v>
      </c>
      <c r="G32" s="146">
        <v>252.5</v>
      </c>
      <c r="H32" s="146">
        <v>577.5</v>
      </c>
      <c r="I32" s="146">
        <f>IFERROR(__xludf.DUMMYFUNCTION("QUERY(IMPORTHTML(C32,""table"",1),""Select Col2,Col3,Col4,Col5 where (Col1='Single')"",0)"),280.0)</f>
        <v>280</v>
      </c>
      <c r="J32" s="146">
        <f>IFERROR(__xludf.DUMMYFUNCTION("""COMPUTED_VALUE"""),182.5)</f>
        <v>182.5</v>
      </c>
      <c r="K32" s="146">
        <f>IFERROR(__xludf.DUMMYFUNCTION("""COMPUTED_VALUE"""),272.5)</f>
        <v>272.5</v>
      </c>
      <c r="L32" s="146">
        <f>IFERROR(__xludf.DUMMYFUNCTION("""COMPUTED_VALUE"""),712.5)</f>
        <v>712.5</v>
      </c>
      <c r="M32" s="146"/>
    </row>
    <row r="33">
      <c r="A33" s="131" t="s">
        <v>333</v>
      </c>
      <c r="B33" s="132" t="s">
        <v>334</v>
      </c>
      <c r="C33" s="148" t="str">
        <f t="shared" si="1"/>
        <v>http://openpowerlifting.org/u/MoisesAmaro</v>
      </c>
      <c r="D33" s="145"/>
      <c r="E33" s="146">
        <v>225.0</v>
      </c>
      <c r="F33" s="146">
        <v>155.0</v>
      </c>
      <c r="G33" s="146">
        <v>225.0</v>
      </c>
      <c r="H33" s="146">
        <v>605.0</v>
      </c>
      <c r="I33" s="146">
        <f>IFERROR(__xludf.DUMMYFUNCTION("QUERY(IMPORTHTML(C33,""table"",1),""Select Col2,Col3,Col4,Col5 where (Col1='Single')"",0)"),288.0)</f>
        <v>288</v>
      </c>
      <c r="J33" s="146">
        <f>IFERROR(__xludf.DUMMYFUNCTION("""COMPUTED_VALUE"""),201.8)</f>
        <v>201.8</v>
      </c>
      <c r="K33" s="146">
        <f>IFERROR(__xludf.DUMMYFUNCTION("""COMPUTED_VALUE"""),242.6)</f>
        <v>242.6</v>
      </c>
      <c r="L33" s="146">
        <f>IFERROR(__xludf.DUMMYFUNCTION("""COMPUTED_VALUE"""),716.6)</f>
        <v>716.6</v>
      </c>
      <c r="M33" s="146"/>
    </row>
    <row r="34">
      <c r="A34" s="135" t="s">
        <v>335</v>
      </c>
      <c r="B34" s="132" t="s">
        <v>336</v>
      </c>
      <c r="C34" s="148" t="str">
        <f t="shared" si="1"/>
        <v>http://openpowerlifting.org/u/WilliamGreen</v>
      </c>
      <c r="D34" s="145"/>
      <c r="E34" s="146">
        <v>252.5</v>
      </c>
      <c r="F34" s="146">
        <v>175.0</v>
      </c>
      <c r="G34" s="146">
        <v>272.5</v>
      </c>
      <c r="H34" s="146">
        <v>695.0</v>
      </c>
      <c r="I34" s="146">
        <f>IFERROR(__xludf.DUMMYFUNCTION("QUERY(IMPORTHTML(C34,""table"",1),""Select Col2,Col3,Col4,Col5 where (Col1='Single')"",0)"),275.0)</f>
        <v>275</v>
      </c>
      <c r="J34" s="146">
        <f>IFERROR(__xludf.DUMMYFUNCTION("""COMPUTED_VALUE"""),160.0)</f>
        <v>160</v>
      </c>
      <c r="K34" s="146">
        <f>IFERROR(__xludf.DUMMYFUNCTION("""COMPUTED_VALUE"""),287.5)</f>
        <v>287.5</v>
      </c>
      <c r="L34" s="146">
        <f>IFERROR(__xludf.DUMMYFUNCTION("""COMPUTED_VALUE"""),710.0)</f>
        <v>710</v>
      </c>
      <c r="M34" s="146"/>
    </row>
    <row r="35">
      <c r="A35" s="131" t="s">
        <v>337</v>
      </c>
      <c r="B35" s="132" t="s">
        <v>338</v>
      </c>
      <c r="C35" s="148" t="str">
        <f t="shared" si="1"/>
        <v>http://openpowerlifting.org/u/TillmanHartner</v>
      </c>
      <c r="D35" s="145"/>
      <c r="E35" s="146" t="e">
        <v>#N/A</v>
      </c>
      <c r="F35" s="146"/>
      <c r="G35" s="146"/>
      <c r="H35" s="146"/>
      <c r="I35" s="146">
        <f>IFERROR(__xludf.DUMMYFUNCTION("QUERY(IMPORTHTML(C35,""table"",1),""Select Col2,Col3,Col4,Col5 where (Col1='Single')"",0)"),292.5)</f>
        <v>292.5</v>
      </c>
      <c r="J35" s="146">
        <f>IFERROR(__xludf.DUMMYFUNCTION("""COMPUTED_VALUE"""),150.0)</f>
        <v>150</v>
      </c>
      <c r="K35" s="146">
        <f>IFERROR(__xludf.DUMMYFUNCTION("""COMPUTED_VALUE"""),265.0)</f>
        <v>265</v>
      </c>
      <c r="L35" s="146">
        <f>IFERROR(__xludf.DUMMYFUNCTION("""COMPUTED_VALUE"""),707.5)</f>
        <v>707.5</v>
      </c>
      <c r="M35" s="146"/>
    </row>
    <row r="36">
      <c r="A36" s="131" t="s">
        <v>122</v>
      </c>
      <c r="B36" s="132" t="s">
        <v>121</v>
      </c>
      <c r="C36" s="149" t="s">
        <v>732</v>
      </c>
      <c r="D36" s="145"/>
      <c r="E36" s="146">
        <v>252.5</v>
      </c>
      <c r="F36" s="146">
        <v>152.5</v>
      </c>
      <c r="G36" s="146">
        <v>267.5</v>
      </c>
      <c r="H36" s="146">
        <v>672.5</v>
      </c>
      <c r="I36" s="146">
        <f>IFERROR(__xludf.DUMMYFUNCTION("QUERY(IMPORTHTML(C36,""table"",1),""Select Col2,Col3,Col4,Col5 where (Col1='Single')"",0)"),272.5)</f>
        <v>272.5</v>
      </c>
      <c r="J36" s="146">
        <f>IFERROR(__xludf.DUMMYFUNCTION("""COMPUTED_VALUE"""),175.0)</f>
        <v>175</v>
      </c>
      <c r="K36" s="146">
        <f>IFERROR(__xludf.DUMMYFUNCTION("""COMPUTED_VALUE"""),272.5)</f>
        <v>272.5</v>
      </c>
      <c r="L36" s="146">
        <f>IFERROR(__xludf.DUMMYFUNCTION("""COMPUTED_VALUE"""),705.0)</f>
        <v>705</v>
      </c>
      <c r="M36" s="146"/>
    </row>
    <row r="37">
      <c r="A37" s="131" t="s">
        <v>120</v>
      </c>
      <c r="B37" s="132" t="s">
        <v>119</v>
      </c>
      <c r="C37" s="148" t="str">
        <f t="shared" ref="C37:C62" si="2">"http://openpowerlifting.org/u/"&amp;B37&amp;A37</f>
        <v>http://openpowerlifting.org/u/JasonStimeling</v>
      </c>
      <c r="D37" s="145"/>
      <c r="E37" s="146">
        <v>215.0</v>
      </c>
      <c r="F37" s="146">
        <v>160.0</v>
      </c>
      <c r="G37" s="146">
        <v>235.0</v>
      </c>
      <c r="H37" s="146">
        <v>610.0</v>
      </c>
      <c r="I37" s="146">
        <f>IFERROR(__xludf.DUMMYFUNCTION("QUERY(IMPORTHTML(C37,""table"",1),""Select Col2,Col3,Col4,Col5 where (Col1='Single')"",0)"),280.0)</f>
        <v>280</v>
      </c>
      <c r="J37" s="146">
        <f>IFERROR(__xludf.DUMMYFUNCTION("""COMPUTED_VALUE"""),185.0)</f>
        <v>185</v>
      </c>
      <c r="K37" s="146">
        <f>IFERROR(__xludf.DUMMYFUNCTION("""COMPUTED_VALUE"""),240.0)</f>
        <v>240</v>
      </c>
      <c r="L37" s="146">
        <f>IFERROR(__xludf.DUMMYFUNCTION("""COMPUTED_VALUE"""),705.0)</f>
        <v>705</v>
      </c>
      <c r="M37" s="146"/>
    </row>
    <row r="38">
      <c r="A38" s="131" t="s">
        <v>116</v>
      </c>
      <c r="B38" s="132" t="s">
        <v>115</v>
      </c>
      <c r="C38" s="148" t="str">
        <f t="shared" si="2"/>
        <v>http://openpowerlifting.org/u/JohnLicata</v>
      </c>
      <c r="D38" s="145"/>
      <c r="E38" s="146">
        <v>230.0</v>
      </c>
      <c r="F38" s="146">
        <v>157.5</v>
      </c>
      <c r="G38" s="146">
        <v>247.5</v>
      </c>
      <c r="H38" s="146">
        <v>635.0</v>
      </c>
      <c r="I38" s="146">
        <f>IFERROR(__xludf.DUMMYFUNCTION("QUERY(IMPORTHTML(C38,""table"",1),""Select Col2,Col3,Col4,Col5 where (Col1='Single')"",0)"),285.0)</f>
        <v>285</v>
      </c>
      <c r="J38" s="146">
        <f>IFERROR(__xludf.DUMMYFUNCTION("""COMPUTED_VALUE"""),175.0)</f>
        <v>175</v>
      </c>
      <c r="K38" s="146">
        <f>IFERROR(__xludf.DUMMYFUNCTION("""COMPUTED_VALUE"""),242.5)</f>
        <v>242.5</v>
      </c>
      <c r="L38" s="146">
        <f>IFERROR(__xludf.DUMMYFUNCTION("""COMPUTED_VALUE"""),702.5)</f>
        <v>702.5</v>
      </c>
      <c r="M38" s="146"/>
    </row>
    <row r="39">
      <c r="A39" s="131" t="s">
        <v>342</v>
      </c>
      <c r="B39" s="132" t="s">
        <v>343</v>
      </c>
      <c r="C39" s="148" t="str">
        <f t="shared" si="2"/>
        <v>http://openpowerlifting.org/u/NicholasBowman</v>
      </c>
      <c r="D39" s="145"/>
      <c r="E39" s="146">
        <v>192.8</v>
      </c>
      <c r="F39" s="146">
        <v>95.0</v>
      </c>
      <c r="G39" s="146">
        <v>205.0</v>
      </c>
      <c r="H39" s="146">
        <v>492.5</v>
      </c>
      <c r="I39" s="146">
        <f>IFERROR(__xludf.DUMMYFUNCTION("QUERY(IMPORTHTML(C39,""table"",1),""Select Col2,Col3,Col4,Col5 where (Col1='Single')"",0)"),290.0)</f>
        <v>290</v>
      </c>
      <c r="J39" s="146">
        <f>IFERROR(__xludf.DUMMYFUNCTION("""COMPUTED_VALUE"""),185.0)</f>
        <v>185</v>
      </c>
      <c r="K39" s="146">
        <f>IFERROR(__xludf.DUMMYFUNCTION("""COMPUTED_VALUE"""),232.5)</f>
        <v>232.5</v>
      </c>
      <c r="L39" s="146">
        <f>IFERROR(__xludf.DUMMYFUNCTION("""COMPUTED_VALUE"""),700.0)</f>
        <v>700</v>
      </c>
      <c r="M39" s="146"/>
    </row>
    <row r="40">
      <c r="A40" s="131" t="s">
        <v>344</v>
      </c>
      <c r="B40" s="132" t="s">
        <v>345</v>
      </c>
      <c r="C40" s="148" t="str">
        <f t="shared" si="2"/>
        <v>http://openpowerlifting.org/u/CabeParham</v>
      </c>
      <c r="D40" s="145"/>
      <c r="E40" s="146">
        <v>222.5</v>
      </c>
      <c r="F40" s="146">
        <v>155.0</v>
      </c>
      <c r="G40" s="146">
        <v>275.0</v>
      </c>
      <c r="H40" s="146">
        <v>652.5</v>
      </c>
      <c r="I40" s="146">
        <f>IFERROR(__xludf.DUMMYFUNCTION("QUERY(IMPORTHTML(C40,""table"",1),""Select Col2,Col3,Col4,Col5 where (Col1='Single')"",0)"),270.0)</f>
        <v>270</v>
      </c>
      <c r="J40" s="146">
        <f>IFERROR(__xludf.DUMMYFUNCTION("""COMPUTED_VALUE"""),177.5)</f>
        <v>177.5</v>
      </c>
      <c r="K40" s="146">
        <f>IFERROR(__xludf.DUMMYFUNCTION("""COMPUTED_VALUE"""),245.0)</f>
        <v>245</v>
      </c>
      <c r="L40" s="146">
        <f>IFERROR(__xludf.DUMMYFUNCTION("""COMPUTED_VALUE"""),692.5)</f>
        <v>692.5</v>
      </c>
      <c r="M40" s="146"/>
    </row>
    <row r="41">
      <c r="A41" s="131" t="s">
        <v>323</v>
      </c>
      <c r="B41" s="132" t="s">
        <v>346</v>
      </c>
      <c r="C41" s="148" t="str">
        <f t="shared" si="2"/>
        <v>http://openpowerlifting.org/u/KeeganPellegrin</v>
      </c>
      <c r="D41" s="145"/>
      <c r="E41" s="146">
        <v>185.0</v>
      </c>
      <c r="F41" s="146">
        <v>115.0</v>
      </c>
      <c r="G41" s="146">
        <v>197.5</v>
      </c>
      <c r="H41" s="146">
        <v>497.5</v>
      </c>
      <c r="I41" s="146">
        <f>IFERROR(__xludf.DUMMYFUNCTION("QUERY(IMPORTHTML(C41,""table"",1),""Select Col2,Col3,Col4,Col5 where (Col1='Single')"",0)"),272.5)</f>
        <v>272.5</v>
      </c>
      <c r="J41" s="146">
        <f>IFERROR(__xludf.DUMMYFUNCTION("""COMPUTED_VALUE"""),147.5)</f>
        <v>147.5</v>
      </c>
      <c r="K41" s="146">
        <f>IFERROR(__xludf.DUMMYFUNCTION("""COMPUTED_VALUE"""),267.5)</f>
        <v>267.5</v>
      </c>
      <c r="L41" s="146">
        <f>IFERROR(__xludf.DUMMYFUNCTION("""COMPUTED_VALUE"""),685.0)</f>
        <v>685</v>
      </c>
      <c r="M41" s="146"/>
    </row>
    <row r="42">
      <c r="A42" s="131" t="s">
        <v>347</v>
      </c>
      <c r="B42" s="132" t="s">
        <v>348</v>
      </c>
      <c r="C42" s="148" t="str">
        <f t="shared" si="2"/>
        <v>http://openpowerlifting.org/u/TreyBijeaux</v>
      </c>
      <c r="D42" s="145"/>
      <c r="E42" s="146">
        <v>212.5</v>
      </c>
      <c r="F42" s="146">
        <v>142.5</v>
      </c>
      <c r="G42" s="146">
        <v>200.0</v>
      </c>
      <c r="H42" s="146">
        <v>555.0</v>
      </c>
      <c r="I42" s="146">
        <f>IFERROR(__xludf.DUMMYFUNCTION("QUERY(IMPORTHTML(C42,""table"",1),""Select Col2,Col3,Col4,Col5 where (Col1='Single')"",0)"),272.5)</f>
        <v>272.5</v>
      </c>
      <c r="J42" s="146">
        <f>IFERROR(__xludf.DUMMYFUNCTION("""COMPUTED_VALUE"""),200.0)</f>
        <v>200</v>
      </c>
      <c r="K42" s="146">
        <f>IFERROR(__xludf.DUMMYFUNCTION("""COMPUTED_VALUE"""),215.0)</f>
        <v>215</v>
      </c>
      <c r="L42" s="146">
        <f>IFERROR(__xludf.DUMMYFUNCTION("""COMPUTED_VALUE"""),682.5)</f>
        <v>682.5</v>
      </c>
      <c r="M42" s="146"/>
    </row>
    <row r="43">
      <c r="A43" s="131" t="s">
        <v>349</v>
      </c>
      <c r="B43" s="132" t="s">
        <v>350</v>
      </c>
      <c r="C43" s="148" t="str">
        <f t="shared" si="2"/>
        <v>http://openpowerlifting.org/u/MasonBoutte</v>
      </c>
      <c r="D43" s="145"/>
      <c r="E43" s="146">
        <v>235.0</v>
      </c>
      <c r="F43" s="146">
        <v>137.5</v>
      </c>
      <c r="G43" s="146">
        <v>250.0</v>
      </c>
      <c r="H43" s="146">
        <v>622.5</v>
      </c>
      <c r="I43" s="146">
        <f>IFERROR(__xludf.DUMMYFUNCTION("QUERY(IMPORTHTML(C43,""table"",1),""Select Col2,Col3,Col4,Col5 where (Col1='Single')"",0)"),270.0)</f>
        <v>270</v>
      </c>
      <c r="J43" s="146">
        <f>IFERROR(__xludf.DUMMYFUNCTION("""COMPUTED_VALUE"""),167.5)</f>
        <v>167.5</v>
      </c>
      <c r="K43" s="146">
        <f>IFERROR(__xludf.DUMMYFUNCTION("""COMPUTED_VALUE"""),252.5)</f>
        <v>252.5</v>
      </c>
      <c r="L43" s="146">
        <f>IFERROR(__xludf.DUMMYFUNCTION("""COMPUTED_VALUE"""),682.5)</f>
        <v>682.5</v>
      </c>
      <c r="M43" s="146"/>
    </row>
    <row r="44">
      <c r="A44" s="131" t="s">
        <v>351</v>
      </c>
      <c r="B44" s="132" t="s">
        <v>352</v>
      </c>
      <c r="C44" s="148" t="str">
        <f t="shared" si="2"/>
        <v>http://openpowerlifting.org/u/JosephEstopinal</v>
      </c>
      <c r="D44" s="145"/>
      <c r="E44" s="146">
        <v>205.0</v>
      </c>
      <c r="F44" s="146">
        <v>105.0</v>
      </c>
      <c r="G44" s="146">
        <v>225.0</v>
      </c>
      <c r="H44" s="146">
        <v>535.0</v>
      </c>
      <c r="I44" s="146">
        <f>IFERROR(__xludf.DUMMYFUNCTION("QUERY(IMPORTHTML(C44,""table"",1),""Select Col2,Col3,Col4,Col5 where (Col1='Single')"",0)"),275.0)</f>
        <v>275</v>
      </c>
      <c r="J44" s="146">
        <f>IFERROR(__xludf.DUMMYFUNCTION("""COMPUTED_VALUE"""),155.0)</f>
        <v>155</v>
      </c>
      <c r="K44" s="146">
        <f>IFERROR(__xludf.DUMMYFUNCTION("""COMPUTED_VALUE"""),252.5)</f>
        <v>252.5</v>
      </c>
      <c r="L44" s="146">
        <f>IFERROR(__xludf.DUMMYFUNCTION("""COMPUTED_VALUE"""),682.5)</f>
        <v>682.5</v>
      </c>
      <c r="M44" s="146"/>
    </row>
    <row r="45">
      <c r="A45" s="131" t="s">
        <v>353</v>
      </c>
      <c r="B45" s="132" t="s">
        <v>354</v>
      </c>
      <c r="C45" s="148" t="str">
        <f t="shared" si="2"/>
        <v>http://openpowerlifting.org/u/HadynMcIntyre</v>
      </c>
      <c r="D45" s="145"/>
      <c r="E45" s="146">
        <v>207.5</v>
      </c>
      <c r="F45" s="146">
        <v>125.0</v>
      </c>
      <c r="G45" s="146">
        <v>220.0</v>
      </c>
      <c r="H45" s="146">
        <v>552.5</v>
      </c>
      <c r="I45" s="146">
        <f>IFERROR(__xludf.DUMMYFUNCTION("QUERY(IMPORTHTML(C45,""table"",1),""Select Col2,Col3,Col4,Col5 where (Col1='Single')"",0)"),262.5)</f>
        <v>262.5</v>
      </c>
      <c r="J45" s="146">
        <f>IFERROR(__xludf.DUMMYFUNCTION("""COMPUTED_VALUE"""),170.0)</f>
        <v>170</v>
      </c>
      <c r="K45" s="146">
        <f>IFERROR(__xludf.DUMMYFUNCTION("""COMPUTED_VALUE"""),250.0)</f>
        <v>250</v>
      </c>
      <c r="L45" s="146">
        <f>IFERROR(__xludf.DUMMYFUNCTION("""COMPUTED_VALUE"""),682.5)</f>
        <v>682.5</v>
      </c>
      <c r="M45" s="146"/>
    </row>
    <row r="46">
      <c r="A46" s="131" t="s">
        <v>355</v>
      </c>
      <c r="B46" s="132" t="s">
        <v>343</v>
      </c>
      <c r="C46" s="148" t="str">
        <f t="shared" si="2"/>
        <v>http://openpowerlifting.org/u/NicholasNguyen</v>
      </c>
      <c r="D46" s="145"/>
      <c r="E46" s="146">
        <v>212.5</v>
      </c>
      <c r="F46" s="146">
        <v>145.0</v>
      </c>
      <c r="G46" s="146">
        <v>250.0</v>
      </c>
      <c r="H46" s="146">
        <v>600.0</v>
      </c>
      <c r="I46" s="146">
        <f>IFERROR(__xludf.DUMMYFUNCTION("QUERY(IMPORTHTML(C46,""table"",1),""Select Col2,Col3,Col4,Col5 where (Col1='Single')"",0)"),287.5)</f>
        <v>287.5</v>
      </c>
      <c r="J46" s="146">
        <f>IFERROR(__xludf.DUMMYFUNCTION("""COMPUTED_VALUE"""),160.0)</f>
        <v>160</v>
      </c>
      <c r="K46" s="146">
        <f>IFERROR(__xludf.DUMMYFUNCTION("""COMPUTED_VALUE"""),235.0)</f>
        <v>235</v>
      </c>
      <c r="L46" s="146">
        <f>IFERROR(__xludf.DUMMYFUNCTION("""COMPUTED_VALUE"""),682.5)</f>
        <v>682.5</v>
      </c>
      <c r="M46" s="146"/>
    </row>
    <row r="47">
      <c r="A47" s="131" t="s">
        <v>356</v>
      </c>
      <c r="B47" s="132" t="s">
        <v>357</v>
      </c>
      <c r="C47" s="148" t="str">
        <f t="shared" si="2"/>
        <v>http://openpowerlifting.org/u/JaxonMabile</v>
      </c>
      <c r="D47" s="145"/>
      <c r="E47" s="146">
        <v>265.0</v>
      </c>
      <c r="F47" s="146">
        <v>147.5</v>
      </c>
      <c r="G47" s="146">
        <v>267.5</v>
      </c>
      <c r="H47" s="146">
        <v>680.0</v>
      </c>
      <c r="I47" s="146">
        <f>IFERROR(__xludf.DUMMYFUNCTION("QUERY(IMPORTHTML(C47,""table"",1),""Select Col2,Col3,Col4,Col5 where (Col1='Single')"",0)"),317.5)</f>
        <v>317.5</v>
      </c>
      <c r="J47" s="146">
        <f>IFERROR(__xludf.DUMMYFUNCTION("""COMPUTED_VALUE"""),188.2)</f>
        <v>188.2</v>
      </c>
      <c r="K47" s="146">
        <f>IFERROR(__xludf.DUMMYFUNCTION("""COMPUTED_VALUE"""),283.5)</f>
        <v>283.5</v>
      </c>
      <c r="L47" s="146">
        <f>IFERROR(__xludf.DUMMYFUNCTION("""COMPUTED_VALUE"""),789.2)</f>
        <v>789.2</v>
      </c>
      <c r="M47" s="146"/>
    </row>
    <row r="48">
      <c r="A48" s="131" t="s">
        <v>358</v>
      </c>
      <c r="B48" s="132" t="s">
        <v>359</v>
      </c>
      <c r="C48" s="148" t="str">
        <f t="shared" si="2"/>
        <v>http://openpowerlifting.org/u/LeoMontanez</v>
      </c>
      <c r="D48" s="145"/>
      <c r="E48" s="146">
        <v>220.0</v>
      </c>
      <c r="F48" s="146">
        <v>160.0</v>
      </c>
      <c r="G48" s="146">
        <v>250.0</v>
      </c>
      <c r="H48" s="146">
        <v>630.0</v>
      </c>
      <c r="I48" s="146">
        <f>IFERROR(__xludf.DUMMYFUNCTION("QUERY(IMPORTHTML(C48,""table"",1),""Select Col2,Col3,Col4,Col5 where (Col1='Single')"",0)"),260.0)</f>
        <v>260</v>
      </c>
      <c r="J48" s="146">
        <f>IFERROR(__xludf.DUMMYFUNCTION("""COMPUTED_VALUE"""),180.0)</f>
        <v>180</v>
      </c>
      <c r="K48" s="146">
        <f>IFERROR(__xludf.DUMMYFUNCTION("""COMPUTED_VALUE"""),265.0)</f>
        <v>265</v>
      </c>
      <c r="L48" s="146">
        <f>IFERROR(__xludf.DUMMYFUNCTION("""COMPUTED_VALUE"""),705.0)</f>
        <v>705</v>
      </c>
      <c r="M48" s="146"/>
    </row>
    <row r="49">
      <c r="A49" s="131" t="s">
        <v>360</v>
      </c>
      <c r="B49" s="132" t="s">
        <v>361</v>
      </c>
      <c r="C49" s="148" t="str">
        <f t="shared" si="2"/>
        <v>http://openpowerlifting.org/u/MitchellRees</v>
      </c>
      <c r="D49" s="145"/>
      <c r="E49" s="146">
        <v>277.5</v>
      </c>
      <c r="F49" s="146">
        <v>162.5</v>
      </c>
      <c r="G49" s="146">
        <v>272.5</v>
      </c>
      <c r="H49" s="146">
        <v>687.5</v>
      </c>
      <c r="I49" s="146">
        <f>IFERROR(__xludf.DUMMYFUNCTION("QUERY(IMPORTHTML(C49,""table"",1),""Select Col2,Col3,Col4,Col5 where (Col1='Single')"",0)"),330.0)</f>
        <v>330</v>
      </c>
      <c r="J49" s="146">
        <f>IFERROR(__xludf.DUMMYFUNCTION("""COMPUTED_VALUE"""),202.5)</f>
        <v>202.5</v>
      </c>
      <c r="K49" s="146">
        <f>IFERROR(__xludf.DUMMYFUNCTION("""COMPUTED_VALUE"""),300.0)</f>
        <v>300</v>
      </c>
      <c r="L49" s="146">
        <f>IFERROR(__xludf.DUMMYFUNCTION("""COMPUTED_VALUE"""),832.5)</f>
        <v>832.5</v>
      </c>
      <c r="M49" s="146"/>
    </row>
    <row r="50">
      <c r="A50" s="131" t="s">
        <v>362</v>
      </c>
      <c r="B50" s="132" t="s">
        <v>363</v>
      </c>
      <c r="C50" s="148" t="str">
        <f t="shared" si="2"/>
        <v>http://openpowerlifting.org/u/KobeJenkins</v>
      </c>
      <c r="D50" s="151"/>
      <c r="E50" s="146" t="e">
        <v>#N/A</v>
      </c>
      <c r="F50" s="146"/>
      <c r="G50" s="146"/>
      <c r="H50" s="146"/>
      <c r="I50" s="146">
        <f>IFERROR(__xludf.DUMMYFUNCTION("QUERY(IMPORTHTML(C50,""table"",1),""Select Col2,Col3,Col4,Col5 where (Col1='Single')"",0)"),260.0)</f>
        <v>260</v>
      </c>
      <c r="J50" s="146">
        <f>IFERROR(__xludf.DUMMYFUNCTION("""COMPUTED_VALUE"""),155.0)</f>
        <v>155</v>
      </c>
      <c r="K50" s="146">
        <f>IFERROR(__xludf.DUMMYFUNCTION("""COMPUTED_VALUE"""),262.5)</f>
        <v>262.5</v>
      </c>
      <c r="L50" s="146">
        <f>IFERROR(__xludf.DUMMYFUNCTION("""COMPUTED_VALUE"""),677.5)</f>
        <v>677.5</v>
      </c>
      <c r="M50" s="146"/>
    </row>
    <row r="51">
      <c r="A51" s="131" t="s">
        <v>364</v>
      </c>
      <c r="B51" s="132" t="s">
        <v>365</v>
      </c>
      <c r="C51" s="148" t="str">
        <f t="shared" si="2"/>
        <v>http://openpowerlifting.org/u/WesleyLauney</v>
      </c>
      <c r="D51" s="145"/>
      <c r="E51" s="146">
        <v>197.5</v>
      </c>
      <c r="F51" s="146">
        <v>140.0</v>
      </c>
      <c r="G51" s="146">
        <v>220.0</v>
      </c>
      <c r="H51" s="146">
        <v>557.5</v>
      </c>
      <c r="I51" s="146">
        <f>IFERROR(__xludf.DUMMYFUNCTION("QUERY(IMPORTHTML(C51,""table"",1),""Select Col2,Col3,Col4,Col5 where (Col1='Single')"",0)"),262.5)</f>
        <v>262.5</v>
      </c>
      <c r="J51" s="146">
        <f>IFERROR(__xludf.DUMMYFUNCTION("""COMPUTED_VALUE"""),177.5)</f>
        <v>177.5</v>
      </c>
      <c r="K51" s="146">
        <f>IFERROR(__xludf.DUMMYFUNCTION("""COMPUTED_VALUE"""),245.0)</f>
        <v>245</v>
      </c>
      <c r="L51" s="146">
        <f>IFERROR(__xludf.DUMMYFUNCTION("""COMPUTED_VALUE"""),675.0)</f>
        <v>675</v>
      </c>
      <c r="M51" s="147"/>
    </row>
    <row r="52">
      <c r="A52" s="131" t="s">
        <v>366</v>
      </c>
      <c r="B52" s="132" t="s">
        <v>367</v>
      </c>
      <c r="C52" s="148" t="str">
        <f t="shared" si="2"/>
        <v>http://openpowerlifting.org/u/TyrellJackson</v>
      </c>
      <c r="D52" s="145"/>
      <c r="E52" s="146">
        <v>227.5</v>
      </c>
      <c r="F52" s="146">
        <v>172.5</v>
      </c>
      <c r="G52" s="146">
        <v>250.0</v>
      </c>
      <c r="H52" s="146">
        <v>637.5</v>
      </c>
      <c r="I52" s="146">
        <f>IFERROR(__xludf.DUMMYFUNCTION("QUERY(IMPORTHTML(C52,""table"",1),""Select Col2,Col3,Col4,Col5 where (Col1='Single')"",0)"),245.0)</f>
        <v>245</v>
      </c>
      <c r="J52" s="146">
        <f>IFERROR(__xludf.DUMMYFUNCTION("""COMPUTED_VALUE"""),170.0)</f>
        <v>170</v>
      </c>
      <c r="K52" s="146">
        <f>IFERROR(__xludf.DUMMYFUNCTION("""COMPUTED_VALUE"""),257.5)</f>
        <v>257.5</v>
      </c>
      <c r="L52" s="146">
        <f>IFERROR(__xludf.DUMMYFUNCTION("""COMPUTED_VALUE"""),672.5)</f>
        <v>672.5</v>
      </c>
      <c r="M52" s="146"/>
    </row>
    <row r="53">
      <c r="A53" s="131" t="s">
        <v>368</v>
      </c>
      <c r="B53" s="132" t="s">
        <v>369</v>
      </c>
      <c r="C53" s="148" t="str">
        <f t="shared" si="2"/>
        <v>http://openpowerlifting.org/u/DanielGil</v>
      </c>
      <c r="D53" s="145"/>
      <c r="E53" s="146" t="e">
        <v>#N/A</v>
      </c>
      <c r="F53" s="146"/>
      <c r="G53" s="146"/>
      <c r="H53" s="146"/>
      <c r="I53" s="146">
        <f>IFERROR(__xludf.DUMMYFUNCTION("QUERY(IMPORTHTML(C53,""table"",1),""Select Col2,Col3,Col4,Col5 where (Col1='Single')"",0)"),257.5)</f>
        <v>257.5</v>
      </c>
      <c r="J53" s="146">
        <f>IFERROR(__xludf.DUMMYFUNCTION("""COMPUTED_VALUE"""),162.5)</f>
        <v>162.5</v>
      </c>
      <c r="K53" s="146">
        <f>IFERROR(__xludf.DUMMYFUNCTION("""COMPUTED_VALUE"""),250.0)</f>
        <v>250</v>
      </c>
      <c r="L53" s="146">
        <f>IFERROR(__xludf.DUMMYFUNCTION("""COMPUTED_VALUE"""),670.0)</f>
        <v>670</v>
      </c>
      <c r="M53" s="146"/>
    </row>
    <row r="54">
      <c r="A54" s="131" t="s">
        <v>370</v>
      </c>
      <c r="B54" s="132" t="s">
        <v>371</v>
      </c>
      <c r="C54" s="148" t="str">
        <f t="shared" si="2"/>
        <v>http://openpowerlifting.org/u/ElijahHarris</v>
      </c>
      <c r="D54" s="145"/>
      <c r="E54" s="146">
        <v>127.5</v>
      </c>
      <c r="F54" s="146">
        <v>70.0</v>
      </c>
      <c r="G54" s="146">
        <v>145.0</v>
      </c>
      <c r="H54" s="146">
        <v>342.5</v>
      </c>
      <c r="I54" s="146" t="str">
        <f>IFERROR(__xludf.DUMMYFUNCTION("QUERY(IMPORTHTML(C54,""table"",1),""Select Col2,Col3,Col4,Col5 where (Col1='Single')"",0)"),"Loading...")</f>
        <v>Loading...</v>
      </c>
      <c r="J54" s="146"/>
      <c r="K54" s="146"/>
      <c r="L54" s="146"/>
      <c r="M54" s="146"/>
    </row>
    <row r="55">
      <c r="A55" s="131" t="s">
        <v>372</v>
      </c>
      <c r="B55" s="132" t="s">
        <v>373</v>
      </c>
      <c r="C55" s="148" t="str">
        <f t="shared" si="2"/>
        <v>http://openpowerlifting.org/u/AndrewLutz</v>
      </c>
      <c r="D55" s="145"/>
      <c r="E55" s="146" t="e">
        <v>#N/A</v>
      </c>
      <c r="F55" s="146"/>
      <c r="G55" s="146"/>
      <c r="H55" s="146"/>
      <c r="I55" s="146">
        <f>IFERROR(__xludf.DUMMYFUNCTION("QUERY(IMPORTHTML(C55,""table"",1),""Select Col2,Col3,Col4,Col5 where (Col1='Single')"",0)"),278.9)</f>
        <v>278.9</v>
      </c>
      <c r="J55" s="146">
        <f>IFERROR(__xludf.DUMMYFUNCTION("""COMPUTED_VALUE"""),165.0)</f>
        <v>165</v>
      </c>
      <c r="K55" s="146">
        <f>IFERROR(__xludf.DUMMYFUNCTION("""COMPUTED_VALUE"""),242.5)</f>
        <v>242.5</v>
      </c>
      <c r="L55" s="146">
        <f>IFERROR(__xludf.DUMMYFUNCTION("""COMPUTED_VALUE"""),665.0)</f>
        <v>665</v>
      </c>
      <c r="M55" s="147"/>
    </row>
    <row r="56">
      <c r="A56" s="131" t="s">
        <v>374</v>
      </c>
      <c r="B56" s="132" t="s">
        <v>375</v>
      </c>
      <c r="C56" s="148" t="str">
        <f t="shared" si="2"/>
        <v>http://openpowerlifting.org/u/DiegoTorres</v>
      </c>
      <c r="D56" s="145"/>
      <c r="E56" s="146" t="str">
        <f>IFERROR(__xludf.DUMMYFUNCTION("QUERY(IMPORTHTML(C56,""table"",1),""Select Col2,Col3,Col4,Col5 where (Col1='Raw')"",0)"),"")</f>
        <v/>
      </c>
      <c r="F56" s="146">
        <f>IFERROR(__xludf.DUMMYFUNCTION("""COMPUTED_VALUE"""),137.5)</f>
        <v>137.5</v>
      </c>
      <c r="G56" s="146">
        <f>IFERROR(__xludf.DUMMYFUNCTION("""COMPUTED_VALUE"""),225.0)</f>
        <v>225</v>
      </c>
      <c r="H56" s="146"/>
      <c r="I56" s="146">
        <f>IFERROR(__xludf.DUMMYFUNCTION("QUERY(IMPORTHTML(C56,""table"",1),""Select Col2,Col3,Col4,Col5 where (Col1='Single')"",0)"),257.5)</f>
        <v>257.5</v>
      </c>
      <c r="J56" s="146">
        <f>IFERROR(__xludf.DUMMYFUNCTION("""COMPUTED_VALUE"""),135.0)</f>
        <v>135</v>
      </c>
      <c r="K56" s="146">
        <f>IFERROR(__xludf.DUMMYFUNCTION("""COMPUTED_VALUE"""),270.0)</f>
        <v>270</v>
      </c>
      <c r="L56" s="146">
        <f>IFERROR(__xludf.DUMMYFUNCTION("""COMPUTED_VALUE"""),662.5)</f>
        <v>662.5</v>
      </c>
      <c r="M56" s="146"/>
    </row>
    <row r="57">
      <c r="A57" s="131" t="s">
        <v>376</v>
      </c>
      <c r="B57" s="132" t="s">
        <v>336</v>
      </c>
      <c r="C57" s="148" t="str">
        <f t="shared" si="2"/>
        <v>http://openpowerlifting.org/u/WilliamLyman</v>
      </c>
      <c r="D57" s="145"/>
      <c r="E57" s="146">
        <v>235.0</v>
      </c>
      <c r="F57" s="146">
        <v>142.5</v>
      </c>
      <c r="G57" s="146">
        <v>245.0</v>
      </c>
      <c r="H57" s="146">
        <v>622.5</v>
      </c>
      <c r="I57" s="146">
        <f>IFERROR(__xludf.DUMMYFUNCTION("QUERY(IMPORTHTML(C57,""table"",1),""Select Col2,Col3,Col4,Col5 where (Col1='Single')"",0)"),260.0)</f>
        <v>260</v>
      </c>
      <c r="J57" s="146">
        <f>IFERROR(__xludf.DUMMYFUNCTION("""COMPUTED_VALUE"""),172.5)</f>
        <v>172.5</v>
      </c>
      <c r="K57" s="146">
        <f>IFERROR(__xludf.DUMMYFUNCTION("""COMPUTED_VALUE"""),225.0)</f>
        <v>225</v>
      </c>
      <c r="L57" s="146">
        <f>IFERROR(__xludf.DUMMYFUNCTION("""COMPUTED_VALUE"""),657.5)</f>
        <v>657.5</v>
      </c>
      <c r="M57" s="146"/>
    </row>
    <row r="58">
      <c r="A58" s="131" t="s">
        <v>378</v>
      </c>
      <c r="B58" s="132" t="s">
        <v>379</v>
      </c>
      <c r="C58" s="148" t="str">
        <f t="shared" si="2"/>
        <v>http://openpowerlifting.org/u/DamonScott</v>
      </c>
      <c r="D58" s="145"/>
      <c r="E58" s="146">
        <v>200.0</v>
      </c>
      <c r="F58" s="146">
        <v>142.5</v>
      </c>
      <c r="G58" s="146">
        <v>225.0</v>
      </c>
      <c r="H58" s="146">
        <v>567.5</v>
      </c>
      <c r="I58" s="146">
        <f>IFERROR(__xludf.DUMMYFUNCTION("QUERY(IMPORTHTML(C58,""table"",1),""Select Col2,Col3,Col4,Col5 where (Col1='Single')"",0)"),240.0)</f>
        <v>240</v>
      </c>
      <c r="J58" s="146">
        <f>IFERROR(__xludf.DUMMYFUNCTION("""COMPUTED_VALUE"""),170.0)</f>
        <v>170</v>
      </c>
      <c r="K58" s="146">
        <f>IFERROR(__xludf.DUMMYFUNCTION("""COMPUTED_VALUE"""),247.5)</f>
        <v>247.5</v>
      </c>
      <c r="L58" s="146">
        <f>IFERROR(__xludf.DUMMYFUNCTION("""COMPUTED_VALUE"""),657.5)</f>
        <v>657.5</v>
      </c>
      <c r="M58" s="146"/>
    </row>
    <row r="59">
      <c r="A59" s="131" t="s">
        <v>114</v>
      </c>
      <c r="B59" s="132" t="s">
        <v>113</v>
      </c>
      <c r="C59" s="148" t="str">
        <f t="shared" si="2"/>
        <v>http://openpowerlifting.org/u/BrendanWitts</v>
      </c>
      <c r="D59" s="145"/>
      <c r="E59" s="146">
        <v>200.0</v>
      </c>
      <c r="F59" s="146">
        <v>130.0</v>
      </c>
      <c r="G59" s="146">
        <v>272.5</v>
      </c>
      <c r="H59" s="146">
        <v>602.5</v>
      </c>
      <c r="I59" s="146">
        <f>IFERROR(__xludf.DUMMYFUNCTION("QUERY(IMPORTHTML(C59,""table"",1),""Select Col2,Col3,Col4,Col5 where (Col1='Single')"",0)"),237.5)</f>
        <v>237.5</v>
      </c>
      <c r="J59" s="146">
        <f>IFERROR(__xludf.DUMMYFUNCTION("""COMPUTED_VALUE"""),150.0)</f>
        <v>150</v>
      </c>
      <c r="K59" s="146">
        <f>IFERROR(__xludf.DUMMYFUNCTION("""COMPUTED_VALUE"""),277.5)</f>
        <v>277.5</v>
      </c>
      <c r="L59" s="146">
        <f>IFERROR(__xludf.DUMMYFUNCTION("""COMPUTED_VALUE"""),657.5)</f>
        <v>657.5</v>
      </c>
      <c r="M59" s="146"/>
    </row>
    <row r="60">
      <c r="A60" s="131" t="s">
        <v>381</v>
      </c>
      <c r="B60" s="132" t="s">
        <v>382</v>
      </c>
      <c r="C60" s="148" t="str">
        <f t="shared" si="2"/>
        <v>http://openpowerlifting.org/u/BobbyRobinson</v>
      </c>
      <c r="D60" s="145"/>
      <c r="E60" s="146">
        <v>210.0</v>
      </c>
      <c r="F60" s="146">
        <v>147.5</v>
      </c>
      <c r="G60" s="146">
        <v>210.0</v>
      </c>
      <c r="H60" s="146">
        <v>562.5</v>
      </c>
      <c r="I60" s="146">
        <f>IFERROR(__xludf.DUMMYFUNCTION("QUERY(IMPORTHTML(C60,""table"",1),""Select Col2,Col3,Col4,Col5 where (Col1='Single')"",0)"),245.0)</f>
        <v>245</v>
      </c>
      <c r="J60" s="146">
        <f>IFERROR(__xludf.DUMMYFUNCTION("""COMPUTED_VALUE"""),185.0)</f>
        <v>185</v>
      </c>
      <c r="K60" s="146">
        <f>IFERROR(__xludf.DUMMYFUNCTION("""COMPUTED_VALUE"""),225.0)</f>
        <v>225</v>
      </c>
      <c r="L60" s="146">
        <f>IFERROR(__xludf.DUMMYFUNCTION("""COMPUTED_VALUE"""),652.5)</f>
        <v>652.5</v>
      </c>
      <c r="M60" s="146"/>
    </row>
    <row r="61">
      <c r="A61" s="131" t="s">
        <v>383</v>
      </c>
      <c r="B61" s="132" t="s">
        <v>369</v>
      </c>
      <c r="C61" s="148" t="str">
        <f t="shared" si="2"/>
        <v>http://openpowerlifting.org/u/DanielDomian</v>
      </c>
      <c r="D61" s="145"/>
      <c r="E61" s="146">
        <v>240.0</v>
      </c>
      <c r="F61" s="146">
        <v>155.0</v>
      </c>
      <c r="G61" s="146">
        <v>255.0</v>
      </c>
      <c r="H61" s="146">
        <v>650.0</v>
      </c>
      <c r="I61" s="146">
        <f>IFERROR(__xludf.DUMMYFUNCTION("QUERY(IMPORTHTML(C61,""table"",1),""Select Col2,Col3,Col4,Col5 where (Col1='Single')"",0)"),269.8)</f>
        <v>269.8</v>
      </c>
      <c r="J61" s="146">
        <f>IFERROR(__xludf.DUMMYFUNCTION("""COMPUTED_VALUE"""),174.6)</f>
        <v>174.6</v>
      </c>
      <c r="K61" s="146">
        <f>IFERROR(__xludf.DUMMYFUNCTION("""COMPUTED_VALUE"""),242.6)</f>
        <v>242.6</v>
      </c>
      <c r="L61" s="146">
        <f>IFERROR(__xludf.DUMMYFUNCTION("""COMPUTED_VALUE"""),684.9)</f>
        <v>684.9</v>
      </c>
      <c r="M61" s="146"/>
    </row>
    <row r="62">
      <c r="A62" s="131" t="s">
        <v>384</v>
      </c>
      <c r="B62" s="132" t="s">
        <v>352</v>
      </c>
      <c r="C62" s="148" t="str">
        <f t="shared" si="2"/>
        <v>http://openpowerlifting.org/u/JosephGarza</v>
      </c>
      <c r="D62" s="145"/>
      <c r="E62" s="146">
        <v>185.0</v>
      </c>
      <c r="F62" s="146">
        <v>107.5</v>
      </c>
      <c r="G62" s="146">
        <v>240.0</v>
      </c>
      <c r="H62" s="146">
        <v>512.5</v>
      </c>
      <c r="I62" s="146">
        <f>IFERROR(__xludf.DUMMYFUNCTION("QUERY(IMPORTHTML(C62,""table"",1),""Select Col2,Col3,Col4,Col5 where (Col1='Single')"",0)"),283.5)</f>
        <v>283.5</v>
      </c>
      <c r="J62" s="146">
        <f>IFERROR(__xludf.DUMMYFUNCTION("""COMPUTED_VALUE"""),158.7)</f>
        <v>158.7</v>
      </c>
      <c r="K62" s="146">
        <f>IFERROR(__xludf.DUMMYFUNCTION("""COMPUTED_VALUE"""),260.8)</f>
        <v>260.8</v>
      </c>
      <c r="L62" s="146">
        <f>IFERROR(__xludf.DUMMYFUNCTION("""COMPUTED_VALUE"""),703.0)</f>
        <v>703</v>
      </c>
      <c r="M62" s="146"/>
    </row>
    <row r="63">
      <c r="A63" s="131" t="s">
        <v>385</v>
      </c>
      <c r="B63" s="132" t="s">
        <v>386</v>
      </c>
      <c r="C63" s="149" t="s">
        <v>733</v>
      </c>
      <c r="D63" s="145"/>
      <c r="E63" s="146">
        <v>200.0</v>
      </c>
      <c r="F63" s="146">
        <v>95.0</v>
      </c>
      <c r="G63" s="146">
        <v>207.5</v>
      </c>
      <c r="H63" s="146">
        <v>502.5</v>
      </c>
      <c r="I63" s="146">
        <f>IFERROR(__xludf.DUMMYFUNCTION("QUERY(IMPORTHTML(C63,""table"",1),""Select Col2,Col3,Col4,Col5 where (Col1='Single')"",0)"),290.0)</f>
        <v>290</v>
      </c>
      <c r="J63" s="146">
        <f>IFERROR(__xludf.DUMMYFUNCTION("""COMPUTED_VALUE"""),142.5)</f>
        <v>142.5</v>
      </c>
      <c r="K63" s="146">
        <f>IFERROR(__xludf.DUMMYFUNCTION("""COMPUTED_VALUE"""),223.5)</f>
        <v>223.5</v>
      </c>
      <c r="L63" s="146">
        <f>IFERROR(__xludf.DUMMYFUNCTION("""COMPUTED_VALUE"""),646.0)</f>
        <v>646</v>
      </c>
      <c r="M63" s="146"/>
    </row>
    <row r="64">
      <c r="A64" s="131" t="s">
        <v>388</v>
      </c>
      <c r="B64" s="132" t="s">
        <v>389</v>
      </c>
      <c r="C64" s="148" t="str">
        <f t="shared" ref="C64:C68" si="3">"http://openpowerlifting.org/u/"&amp;B64&amp;A64</f>
        <v>http://openpowerlifting.org/u/JuanGomez</v>
      </c>
      <c r="D64" s="145"/>
      <c r="E64" s="146">
        <v>227.5</v>
      </c>
      <c r="F64" s="146">
        <v>160.0</v>
      </c>
      <c r="G64" s="146">
        <v>272.5</v>
      </c>
      <c r="H64" s="146">
        <v>660.0</v>
      </c>
      <c r="I64" s="146">
        <f>IFERROR(__xludf.DUMMYFUNCTION("QUERY(IMPORTHTML(C64,""table"",1),""Select Col2,Col3,Col4,Col5 where (Col1='Single')"",0)"),272.1)</f>
        <v>272.1</v>
      </c>
      <c r="J64" s="146">
        <f>IFERROR(__xludf.DUMMYFUNCTION("""COMPUTED_VALUE"""),160.0)</f>
        <v>160</v>
      </c>
      <c r="K64" s="146">
        <f>IFERROR(__xludf.DUMMYFUNCTION("""COMPUTED_VALUE"""),229.0)</f>
        <v>229</v>
      </c>
      <c r="L64" s="146">
        <f>IFERROR(__xludf.DUMMYFUNCTION("""COMPUTED_VALUE"""),653.1)</f>
        <v>653.1</v>
      </c>
      <c r="M64" s="147"/>
    </row>
    <row r="65">
      <c r="A65" s="131" t="s">
        <v>390</v>
      </c>
      <c r="B65" s="132" t="s">
        <v>391</v>
      </c>
      <c r="C65" s="148" t="str">
        <f t="shared" si="3"/>
        <v>http://openpowerlifting.org/u/CalebEsparza</v>
      </c>
      <c r="D65" s="145"/>
      <c r="E65" s="146">
        <v>250.0</v>
      </c>
      <c r="F65" s="146">
        <v>152.5</v>
      </c>
      <c r="G65" s="146">
        <v>240.0</v>
      </c>
      <c r="H65" s="146">
        <v>642.5</v>
      </c>
      <c r="I65" s="146">
        <f>IFERROR(__xludf.DUMMYFUNCTION("QUERY(IMPORTHTML(C65,""table"",1),""Select Col2,Col3,Col4,Col5 where (Col1='Single')"",0)"),362.8)</f>
        <v>362.8</v>
      </c>
      <c r="J65" s="146">
        <f>IFERROR(__xludf.DUMMYFUNCTION("""COMPUTED_VALUE"""),183.7)</f>
        <v>183.7</v>
      </c>
      <c r="K65" s="146">
        <f>IFERROR(__xludf.DUMMYFUNCTION("""COMPUTED_VALUE"""),260.8)</f>
        <v>260.8</v>
      </c>
      <c r="L65" s="146">
        <f>IFERROR(__xludf.DUMMYFUNCTION("""COMPUTED_VALUE"""),802.8)</f>
        <v>802.8</v>
      </c>
      <c r="M65" s="146"/>
    </row>
    <row r="66">
      <c r="A66" s="131" t="s">
        <v>392</v>
      </c>
      <c r="B66" s="132" t="s">
        <v>393</v>
      </c>
      <c r="C66" s="148" t="str">
        <f t="shared" si="3"/>
        <v>http://openpowerlifting.org/u/DominiqueFelder</v>
      </c>
      <c r="D66" s="145"/>
      <c r="E66" s="146">
        <v>212.5</v>
      </c>
      <c r="F66" s="146">
        <v>122.5</v>
      </c>
      <c r="G66" s="146">
        <v>242.5</v>
      </c>
      <c r="H66" s="146">
        <v>577.5</v>
      </c>
      <c r="I66" s="146">
        <f>IFERROR(__xludf.DUMMYFUNCTION("QUERY(IMPORTHTML(C66,""table"",1),""Select Col2,Col3,Col4,Col5 where (Col1='Single')"",0)"),231.3)</f>
        <v>231.3</v>
      </c>
      <c r="J66" s="146">
        <f>IFERROR(__xludf.DUMMYFUNCTION("""COMPUTED_VALUE"""),136.0)</f>
        <v>136</v>
      </c>
      <c r="K66" s="146">
        <f>IFERROR(__xludf.DUMMYFUNCTION("""COMPUTED_VALUE"""),275.0)</f>
        <v>275</v>
      </c>
      <c r="L66" s="146">
        <f>IFERROR(__xludf.DUMMYFUNCTION("""COMPUTED_VALUE"""),640.0)</f>
        <v>640</v>
      </c>
      <c r="M66" s="146"/>
    </row>
    <row r="67">
      <c r="A67" s="131" t="s">
        <v>301</v>
      </c>
      <c r="B67" s="132" t="s">
        <v>394</v>
      </c>
      <c r="C67" s="148" t="str">
        <f t="shared" si="3"/>
        <v>http://openpowerlifting.org/u/JoseHernandez</v>
      </c>
      <c r="D67" s="145"/>
      <c r="E67" s="146" t="str">
        <f>IFERROR(__xludf.DUMMYFUNCTION("QUERY(IMPORTHTML(C67,""table"",1),""Select Col2,Col3,Col4,Col5 where (Col1='Raw')"",0)"),"#N/A")</f>
        <v>#N/A</v>
      </c>
      <c r="F67" s="146"/>
      <c r="G67" s="146"/>
      <c r="H67" s="146"/>
      <c r="I67" s="146" t="str">
        <f>IFERROR(__xludf.DUMMYFUNCTION("QUERY(IMPORTHTML(C67,""table"",1),""Select Col2,Col3,Col4,Col5 where (Col1='Single')"",0)"),"#N/A")</f>
        <v>#N/A</v>
      </c>
      <c r="J67" s="146"/>
      <c r="K67" s="146"/>
      <c r="L67" s="146"/>
      <c r="M67" s="147"/>
    </row>
    <row r="68">
      <c r="A68" s="131" t="s">
        <v>396</v>
      </c>
      <c r="B68" s="132" t="s">
        <v>397</v>
      </c>
      <c r="C68" s="148" t="str">
        <f t="shared" si="3"/>
        <v>http://openpowerlifting.org/u/KimMensinger</v>
      </c>
      <c r="D68" s="145"/>
      <c r="E68" s="146">
        <v>245.0</v>
      </c>
      <c r="F68" s="146">
        <v>160.0</v>
      </c>
      <c r="G68" s="146">
        <v>235.0</v>
      </c>
      <c r="H68" s="146">
        <v>640.0</v>
      </c>
      <c r="I68" s="146" t="str">
        <f>IFERROR(__xludf.DUMMYFUNCTION("QUERY(IMPORTHTML(C68,""table"",1),""Select Col2,Col3,Col4,Col5 where (Col1='Single')"",0)"),"#N/A")</f>
        <v>#N/A</v>
      </c>
      <c r="J68" s="146"/>
      <c r="K68" s="146"/>
      <c r="L68" s="146"/>
      <c r="M68" s="146"/>
    </row>
    <row r="69">
      <c r="A69" s="131" t="s">
        <v>398</v>
      </c>
      <c r="B69" s="132" t="s">
        <v>399</v>
      </c>
      <c r="C69" s="149" t="s">
        <v>734</v>
      </c>
      <c r="D69" s="145"/>
      <c r="E69" s="146">
        <v>232.5</v>
      </c>
      <c r="F69" s="146">
        <v>165.0</v>
      </c>
      <c r="G69" s="146">
        <v>240.0</v>
      </c>
      <c r="H69" s="146">
        <v>637.5</v>
      </c>
      <c r="I69" s="146">
        <f>IFERROR(__xludf.DUMMYFUNCTION("QUERY(IMPORTHTML(C69,""table"",1),""Select Col2,Col3,Col4,Col5 where (Col1='Single')"",0)"),262.5)</f>
        <v>262.5</v>
      </c>
      <c r="J69" s="146">
        <f>IFERROR(__xludf.DUMMYFUNCTION("""COMPUTED_VALUE"""),175.0)</f>
        <v>175</v>
      </c>
      <c r="K69" s="146">
        <f>IFERROR(__xludf.DUMMYFUNCTION("""COMPUTED_VALUE"""),215.0)</f>
        <v>215</v>
      </c>
      <c r="L69" s="146">
        <f>IFERROR(__xludf.DUMMYFUNCTION("""COMPUTED_VALUE"""),652.5)</f>
        <v>652.5</v>
      </c>
      <c r="M69" s="146"/>
    </row>
    <row r="70">
      <c r="A70" s="131" t="s">
        <v>400</v>
      </c>
      <c r="B70" s="132" t="s">
        <v>401</v>
      </c>
      <c r="C70" s="148" t="str">
        <f t="shared" ref="C70:C74" si="4">"http://openpowerlifting.org/u/"&amp;B70&amp;A70</f>
        <v>http://openpowerlifting.org/u/ClayFant</v>
      </c>
      <c r="D70" s="145"/>
      <c r="E70" s="146" t="e">
        <v>#N/A</v>
      </c>
      <c r="F70" s="146"/>
      <c r="G70" s="146"/>
      <c r="H70" s="146"/>
      <c r="I70" s="146">
        <f>IFERROR(__xludf.DUMMYFUNCTION("QUERY(IMPORTHTML(C70,""table"",1),""Select Col2,Col3,Col4,Col5 where (Col1='Single')"",0)"),263.0)</f>
        <v>263</v>
      </c>
      <c r="J70" s="146">
        <f>IFERROR(__xludf.DUMMYFUNCTION("""COMPUTED_VALUE"""),145.1)</f>
        <v>145.1</v>
      </c>
      <c r="K70" s="146">
        <f>IFERROR(__xludf.DUMMYFUNCTION("""COMPUTED_VALUE"""),250.0)</f>
        <v>250</v>
      </c>
      <c r="L70" s="146">
        <f>IFERROR(__xludf.DUMMYFUNCTION("""COMPUTED_VALUE"""),635.0)</f>
        <v>635</v>
      </c>
      <c r="M70" s="147"/>
    </row>
    <row r="71">
      <c r="A71" s="131" t="s">
        <v>402</v>
      </c>
      <c r="B71" s="132" t="s">
        <v>403</v>
      </c>
      <c r="C71" s="148" t="str">
        <f t="shared" si="4"/>
        <v>http://openpowerlifting.org/u/RicardoCaballero</v>
      </c>
      <c r="D71" s="145"/>
      <c r="E71" s="146">
        <v>220.0</v>
      </c>
      <c r="F71" s="146">
        <v>137.5</v>
      </c>
      <c r="G71" s="146">
        <v>230.0</v>
      </c>
      <c r="H71" s="146">
        <v>572.5</v>
      </c>
      <c r="I71" s="146">
        <f>IFERROR(__xludf.DUMMYFUNCTION("QUERY(IMPORTHTML(C71,""table"",1),""Select Col2,Col3,Col4,Col5 where (Col1='Single')"",0)"),250.0)</f>
        <v>250</v>
      </c>
      <c r="J71" s="146">
        <f>IFERROR(__xludf.DUMMYFUNCTION("""COMPUTED_VALUE"""),167.5)</f>
        <v>167.5</v>
      </c>
      <c r="K71" s="146">
        <f>IFERROR(__xludf.DUMMYFUNCTION("""COMPUTED_VALUE"""),215.0)</f>
        <v>215</v>
      </c>
      <c r="L71" s="146">
        <f>IFERROR(__xludf.DUMMYFUNCTION("""COMPUTED_VALUE"""),632.5)</f>
        <v>632.5</v>
      </c>
      <c r="M71" s="146"/>
    </row>
    <row r="72">
      <c r="A72" s="131" t="s">
        <v>118</v>
      </c>
      <c r="B72" s="132" t="s">
        <v>117</v>
      </c>
      <c r="C72" s="148" t="str">
        <f t="shared" si="4"/>
        <v>http://openpowerlifting.org/u/SamuelCohen</v>
      </c>
      <c r="D72" s="145"/>
      <c r="E72" s="146">
        <v>235.0</v>
      </c>
      <c r="F72" s="146">
        <v>145.0</v>
      </c>
      <c r="G72" s="146">
        <v>250.0</v>
      </c>
      <c r="H72" s="146">
        <v>630.0</v>
      </c>
      <c r="I72" s="146" t="str">
        <f>IFERROR(__xludf.DUMMYFUNCTION("QUERY(IMPORTHTML(C72,""table"",1),""Select Col2,Col3,Col4,Col5 where (Col1='Single')"",0)"),"#N/A")</f>
        <v>#N/A</v>
      </c>
      <c r="J72" s="146"/>
      <c r="K72" s="146"/>
      <c r="L72" s="146"/>
      <c r="M72" s="146"/>
    </row>
    <row r="73">
      <c r="A73" s="131" t="s">
        <v>405</v>
      </c>
      <c r="B73" s="132" t="s">
        <v>406</v>
      </c>
      <c r="C73" s="148" t="str">
        <f t="shared" si="4"/>
        <v>http://openpowerlifting.org/u/DrewGriffin</v>
      </c>
      <c r="D73" s="145"/>
      <c r="E73" s="146" t="e">
        <v>#N/A</v>
      </c>
      <c r="F73" s="146"/>
      <c r="G73" s="146"/>
      <c r="H73" s="146"/>
      <c r="I73" s="146">
        <f>IFERROR(__xludf.DUMMYFUNCTION("QUERY(IMPORTHTML(C73,""table"",1),""Select Col2,Col3,Col4,Col5 where (Col1='Single')"",0)"),250.0)</f>
        <v>250</v>
      </c>
      <c r="J73" s="146">
        <f>IFERROR(__xludf.DUMMYFUNCTION("""COMPUTED_VALUE"""),130.0)</f>
        <v>130</v>
      </c>
      <c r="K73" s="146">
        <f>IFERROR(__xludf.DUMMYFUNCTION("""COMPUTED_VALUE"""),250.0)</f>
        <v>250</v>
      </c>
      <c r="L73" s="146">
        <f>IFERROR(__xludf.DUMMYFUNCTION("""COMPUTED_VALUE"""),630.0)</f>
        <v>630</v>
      </c>
      <c r="M73" s="146"/>
    </row>
    <row r="74">
      <c r="A74" s="131" t="s">
        <v>407</v>
      </c>
      <c r="B74" s="132" t="s">
        <v>408</v>
      </c>
      <c r="C74" s="148" t="str">
        <f t="shared" si="4"/>
        <v>http://openpowerlifting.org/u/JessePerez</v>
      </c>
      <c r="D74" s="145"/>
      <c r="E74" s="146">
        <v>240.0</v>
      </c>
      <c r="F74" s="146">
        <v>167.5</v>
      </c>
      <c r="G74" s="146">
        <v>280.0</v>
      </c>
      <c r="H74" s="146">
        <v>670.0</v>
      </c>
      <c r="I74" s="146">
        <f>IFERROR(__xludf.DUMMYFUNCTION("QUERY(IMPORTHTML(C74,""table"",1),""Select Col2,Col3,Col4,Col5 where (Col1='Single')"",0)"),258.5)</f>
        <v>258.5</v>
      </c>
      <c r="J74" s="146">
        <f>IFERROR(__xludf.DUMMYFUNCTION("""COMPUTED_VALUE"""),165.5)</f>
        <v>165.5</v>
      </c>
      <c r="K74" s="146">
        <f>IFERROR(__xludf.DUMMYFUNCTION("""COMPUTED_VALUE"""),215.4)</f>
        <v>215.4</v>
      </c>
      <c r="L74" s="146">
        <f>IFERROR(__xludf.DUMMYFUNCTION("""COMPUTED_VALUE"""),632.7)</f>
        <v>632.7</v>
      </c>
      <c r="M74" s="146"/>
    </row>
    <row r="75">
      <c r="A75" s="131" t="s">
        <v>409</v>
      </c>
      <c r="B75" s="132" t="s">
        <v>410</v>
      </c>
      <c r="C75" s="149" t="s">
        <v>735</v>
      </c>
      <c r="D75" s="145"/>
      <c r="E75" s="146">
        <v>235.0</v>
      </c>
      <c r="F75" s="146">
        <v>130.0</v>
      </c>
      <c r="G75" s="146">
        <v>260.0</v>
      </c>
      <c r="H75" s="146">
        <v>625.0</v>
      </c>
      <c r="I75" s="146">
        <f>IFERROR(__xludf.DUMMYFUNCTION("QUERY(IMPORTHTML(C75,""table"",1),""Select Col2,Col3,Col4,Col5 where (Col1='Single')"",0)"),317.5)</f>
        <v>317.5</v>
      </c>
      <c r="J75" s="146">
        <f>IFERROR(__xludf.DUMMYFUNCTION("""COMPUTED_VALUE"""),154.2)</f>
        <v>154.2</v>
      </c>
      <c r="K75" s="146">
        <f>IFERROR(__xludf.DUMMYFUNCTION("""COMPUTED_VALUE"""),263.0)</f>
        <v>263</v>
      </c>
      <c r="L75" s="146">
        <f>IFERROR(__xludf.DUMMYFUNCTION("""COMPUTED_VALUE"""),734.8)</f>
        <v>734.8</v>
      </c>
      <c r="M75" s="146"/>
    </row>
    <row r="76">
      <c r="A76" s="131" t="s">
        <v>411</v>
      </c>
      <c r="B76" s="132" t="s">
        <v>336</v>
      </c>
      <c r="C76" s="148" t="str">
        <f t="shared" ref="C76:C89" si="5">"http://openpowerlifting.org/u/"&amp;B76&amp;A76</f>
        <v>http://openpowerlifting.org/u/WilliamHathaway</v>
      </c>
      <c r="D76" s="145"/>
      <c r="E76" s="146">
        <v>177.5</v>
      </c>
      <c r="F76" s="146">
        <v>115.0</v>
      </c>
      <c r="G76" s="146">
        <v>187.5</v>
      </c>
      <c r="H76" s="146">
        <v>480.0</v>
      </c>
      <c r="I76" s="146">
        <f>IFERROR(__xludf.DUMMYFUNCTION("QUERY(IMPORTHTML(C76,""table"",1),""Select Col2,Col3,Col4,Col5 where (Col1='Single')"",0)"),272.5)</f>
        <v>272.5</v>
      </c>
      <c r="J76" s="146">
        <f>IFERROR(__xludf.DUMMYFUNCTION("""COMPUTED_VALUE"""),165.0)</f>
        <v>165</v>
      </c>
      <c r="K76" s="146">
        <f>IFERROR(__xludf.DUMMYFUNCTION("""COMPUTED_VALUE"""),247.5)</f>
        <v>247.5</v>
      </c>
      <c r="L76" s="146">
        <f>IFERROR(__xludf.DUMMYFUNCTION("""COMPUTED_VALUE"""),680.0)</f>
        <v>680</v>
      </c>
      <c r="M76" s="147"/>
    </row>
    <row r="77">
      <c r="A77" s="131" t="s">
        <v>412</v>
      </c>
      <c r="B77" s="132" t="s">
        <v>413</v>
      </c>
      <c r="C77" s="148" t="str">
        <f t="shared" si="5"/>
        <v>http://openpowerlifting.org/u/JerryReyes</v>
      </c>
      <c r="D77" s="145"/>
      <c r="E77" s="146" t="e">
        <v>#N/A</v>
      </c>
      <c r="F77" s="146"/>
      <c r="G77" s="146"/>
      <c r="H77" s="146"/>
      <c r="I77" s="146">
        <f>IFERROR(__xludf.DUMMYFUNCTION("QUERY(IMPORTHTML(C77,""table"",1),""Select Col2,Col3,Col4,Col5 where (Col1='Single')"",0)"),265.3)</f>
        <v>265.3</v>
      </c>
      <c r="J77" s="146">
        <f>IFERROR(__xludf.DUMMYFUNCTION("""COMPUTED_VALUE"""),183.7)</f>
        <v>183.7</v>
      </c>
      <c r="K77" s="146">
        <f>IFERROR(__xludf.DUMMYFUNCTION("""COMPUTED_VALUE"""),232.5)</f>
        <v>232.5</v>
      </c>
      <c r="L77" s="146">
        <f>IFERROR(__xludf.DUMMYFUNCTION("""COMPUTED_VALUE"""),635.0)</f>
        <v>635</v>
      </c>
      <c r="M77" s="146"/>
    </row>
    <row r="78">
      <c r="A78" s="131" t="s">
        <v>414</v>
      </c>
      <c r="B78" s="132" t="s">
        <v>415</v>
      </c>
      <c r="C78" s="148" t="str">
        <f t="shared" si="5"/>
        <v>http://openpowerlifting.org/u/JaedenBrown</v>
      </c>
      <c r="D78" s="145"/>
      <c r="E78" s="146" t="e">
        <v>#N/A</v>
      </c>
      <c r="F78" s="146"/>
      <c r="G78" s="146"/>
      <c r="H78" s="146"/>
      <c r="I78" s="146">
        <f>IFERROR(__xludf.DUMMYFUNCTION("QUERY(IMPORTHTML(C78,""table"",1),""Select Col2,Col3,Col4,Col5 where (Col1='Single')"",0)"),235.0)</f>
        <v>235</v>
      </c>
      <c r="J78" s="146">
        <f>IFERROR(__xludf.DUMMYFUNCTION("""COMPUTED_VALUE"""),110.0)</f>
        <v>110</v>
      </c>
      <c r="K78" s="146">
        <f>IFERROR(__xludf.DUMMYFUNCTION("""COMPUTED_VALUE"""),272.5)</f>
        <v>272.5</v>
      </c>
      <c r="L78" s="146">
        <f>IFERROR(__xludf.DUMMYFUNCTION("""COMPUTED_VALUE"""),617.5)</f>
        <v>617.5</v>
      </c>
      <c r="M78" s="147"/>
    </row>
    <row r="79">
      <c r="A79" s="131" t="s">
        <v>416</v>
      </c>
      <c r="B79" s="132" t="s">
        <v>417</v>
      </c>
      <c r="C79" s="148" t="str">
        <f t="shared" si="5"/>
        <v>http://openpowerlifting.org/u/AidenCabrera</v>
      </c>
      <c r="D79" s="145"/>
      <c r="E79" s="146">
        <v>225.0</v>
      </c>
      <c r="F79" s="146">
        <v>120.0</v>
      </c>
      <c r="G79" s="146">
        <v>257.5</v>
      </c>
      <c r="H79" s="146">
        <v>600.0</v>
      </c>
      <c r="I79" s="146">
        <f>IFERROR(__xludf.DUMMYFUNCTION("QUERY(IMPORTHTML(C79,""table"",1),""Select Col2,Col3,Col4,Col5 where (Col1='Single')"",0)"),255.0)</f>
        <v>255</v>
      </c>
      <c r="J79" s="146">
        <f>IFERROR(__xludf.DUMMYFUNCTION("""COMPUTED_VALUE"""),112.5)</f>
        <v>112.5</v>
      </c>
      <c r="K79" s="146">
        <f>IFERROR(__xludf.DUMMYFUNCTION("""COMPUTED_VALUE"""),247.5)</f>
        <v>247.5</v>
      </c>
      <c r="L79" s="146">
        <f>IFERROR(__xludf.DUMMYFUNCTION("""COMPUTED_VALUE"""),615.0)</f>
        <v>615</v>
      </c>
      <c r="M79" s="146"/>
    </row>
    <row r="80">
      <c r="A80" s="131" t="s">
        <v>112</v>
      </c>
      <c r="B80" s="132" t="s">
        <v>111</v>
      </c>
      <c r="C80" s="148" t="str">
        <f t="shared" si="5"/>
        <v>http://openpowerlifting.org/u/ZacharyFowler</v>
      </c>
      <c r="D80" s="145"/>
      <c r="E80" s="146">
        <v>227.5</v>
      </c>
      <c r="F80" s="146">
        <v>130.0</v>
      </c>
      <c r="G80" s="146">
        <v>255.0</v>
      </c>
      <c r="H80" s="146">
        <v>612.5</v>
      </c>
      <c r="I80" s="146">
        <f>IFERROR(__xludf.DUMMYFUNCTION("QUERY(IMPORTHTML(C80,""table"",1),""Select Col2,Col3,Col4,Col5 where (Col1='Single')"",0)"),242.5)</f>
        <v>242.5</v>
      </c>
      <c r="J80" s="146">
        <f>IFERROR(__xludf.DUMMYFUNCTION("""COMPUTED_VALUE"""),130.0)</f>
        <v>130</v>
      </c>
      <c r="K80" s="146">
        <f>IFERROR(__xludf.DUMMYFUNCTION("""COMPUTED_VALUE"""),247.5)</f>
        <v>247.5</v>
      </c>
      <c r="L80" s="146">
        <f>IFERROR(__xludf.DUMMYFUNCTION("""COMPUTED_VALUE"""),615.0)</f>
        <v>615</v>
      </c>
      <c r="M80" s="146"/>
    </row>
    <row r="81">
      <c r="A81" s="131" t="s">
        <v>418</v>
      </c>
      <c r="B81" s="132" t="s">
        <v>419</v>
      </c>
      <c r="C81" s="148" t="str">
        <f t="shared" si="5"/>
        <v>http://openpowerlifting.org/u/KainGala</v>
      </c>
      <c r="D81" s="145"/>
      <c r="E81" s="146" t="e">
        <v>#N/A</v>
      </c>
      <c r="F81" s="146"/>
      <c r="G81" s="146"/>
      <c r="H81" s="146"/>
      <c r="I81" s="146">
        <f>IFERROR(__xludf.DUMMYFUNCTION("QUERY(IMPORTHTML(C81,""table"",1),""Select Col2,Col3,Col4,Col5 where (Col1='Single')"",0)"),235.0)</f>
        <v>235</v>
      </c>
      <c r="J81" s="146">
        <f>IFERROR(__xludf.DUMMYFUNCTION("""COMPUTED_VALUE"""),175.0)</f>
        <v>175</v>
      </c>
      <c r="K81" s="146">
        <f>IFERROR(__xludf.DUMMYFUNCTION("""COMPUTED_VALUE"""),212.5)</f>
        <v>212.5</v>
      </c>
      <c r="L81" s="146">
        <f>IFERROR(__xludf.DUMMYFUNCTION("""COMPUTED_VALUE"""),615.0)</f>
        <v>615</v>
      </c>
      <c r="M81" s="146"/>
    </row>
    <row r="82">
      <c r="A82" s="131" t="s">
        <v>420</v>
      </c>
      <c r="B82" s="132" t="s">
        <v>421</v>
      </c>
      <c r="C82" s="148" t="str">
        <f t="shared" si="5"/>
        <v>http://openpowerlifting.org/u/ChristopherHicks</v>
      </c>
      <c r="D82" s="145"/>
      <c r="E82" s="146">
        <v>217.5</v>
      </c>
      <c r="F82" s="146">
        <v>125.0</v>
      </c>
      <c r="G82" s="146">
        <v>257.5</v>
      </c>
      <c r="H82" s="146">
        <v>600.0</v>
      </c>
      <c r="I82" s="146" t="str">
        <f>IFERROR(__xludf.DUMMYFUNCTION("QUERY(IMPORTHTML(C82,""table"",1),""Select Col2,Col3,Col4,Col5 where (Col1='Single')"",0)"),"Loading...")</f>
        <v>Loading...</v>
      </c>
      <c r="J82" s="146"/>
      <c r="K82" s="146"/>
      <c r="L82" s="146"/>
      <c r="M82" s="147"/>
    </row>
    <row r="83">
      <c r="A83" s="131" t="s">
        <v>422</v>
      </c>
      <c r="B83" s="132" t="s">
        <v>423</v>
      </c>
      <c r="C83" s="148" t="str">
        <f t="shared" si="5"/>
        <v>http://openpowerlifting.org/u/TrentSumers</v>
      </c>
      <c r="D83" s="145"/>
      <c r="E83" s="146">
        <v>220.0</v>
      </c>
      <c r="F83" s="146">
        <v>157.5</v>
      </c>
      <c r="G83" s="146">
        <v>237.5</v>
      </c>
      <c r="H83" s="146">
        <v>615.0</v>
      </c>
      <c r="I83" s="146" t="str">
        <f>IFERROR(__xludf.DUMMYFUNCTION("QUERY(IMPORTHTML(C83,""table"",1),""Select Col2,Col3,Col4,Col5 where (Col1='Single')"",0)"),"#N/A")</f>
        <v>#N/A</v>
      </c>
      <c r="J83" s="146"/>
      <c r="K83" s="146"/>
      <c r="L83" s="146"/>
      <c r="M83" s="146"/>
    </row>
    <row r="84">
      <c r="A84" s="131" t="s">
        <v>424</v>
      </c>
      <c r="B84" s="132" t="s">
        <v>425</v>
      </c>
      <c r="C84" s="148" t="str">
        <f t="shared" si="5"/>
        <v>http://openpowerlifting.org/u/XavierChavarria</v>
      </c>
      <c r="D84" s="145"/>
      <c r="E84" s="146">
        <v>235.0</v>
      </c>
      <c r="F84" s="146">
        <v>150.0</v>
      </c>
      <c r="G84" s="146">
        <v>227.5</v>
      </c>
      <c r="H84" s="146">
        <v>612.5</v>
      </c>
      <c r="I84" s="146">
        <f>IFERROR(__xludf.DUMMYFUNCTION("QUERY(IMPORTHTML(C84,""table"",1),""Select Col2,Col3,Col4,Col5 where (Col1='Single')"",0)"),232.5)</f>
        <v>232.5</v>
      </c>
      <c r="J84" s="146">
        <f>IFERROR(__xludf.DUMMYFUNCTION("""COMPUTED_VALUE"""),155.0)</f>
        <v>155</v>
      </c>
      <c r="K84" s="146">
        <f>IFERROR(__xludf.DUMMYFUNCTION("""COMPUTED_VALUE"""),215.0)</f>
        <v>215</v>
      </c>
      <c r="L84" s="146">
        <f>IFERROR(__xludf.DUMMYFUNCTION("""COMPUTED_VALUE"""),602.5)</f>
        <v>602.5</v>
      </c>
      <c r="M84" s="146"/>
    </row>
    <row r="85">
      <c r="A85" s="131" t="s">
        <v>426</v>
      </c>
      <c r="B85" s="132" t="s">
        <v>427</v>
      </c>
      <c r="C85" s="148" t="str">
        <f t="shared" si="5"/>
        <v>http://openpowerlifting.org/u/EdgardSyllah</v>
      </c>
      <c r="D85" s="145"/>
      <c r="E85" s="146">
        <v>215.0</v>
      </c>
      <c r="F85" s="146">
        <v>132.5</v>
      </c>
      <c r="G85" s="146">
        <v>265.0</v>
      </c>
      <c r="H85" s="146">
        <v>612.5</v>
      </c>
      <c r="I85" s="146" t="str">
        <f>IFERROR(__xludf.DUMMYFUNCTION("QUERY(IMPORTHTML(C85,""table"",1),""Select Col2,Col3,Col4,Col5 where (Col1='Single')"",0)"),"#N/A")</f>
        <v>#N/A</v>
      </c>
      <c r="J85" s="146"/>
      <c r="K85" s="146"/>
      <c r="L85" s="146"/>
      <c r="M85" s="147"/>
    </row>
    <row r="86">
      <c r="A86" s="131" t="s">
        <v>428</v>
      </c>
      <c r="B86" s="132" t="s">
        <v>429</v>
      </c>
      <c r="C86" s="148" t="str">
        <f t="shared" si="5"/>
        <v>http://openpowerlifting.org/u/ShawnWheeler</v>
      </c>
      <c r="D86" s="145"/>
      <c r="E86" s="146">
        <v>230.0</v>
      </c>
      <c r="F86" s="146">
        <v>115.0</v>
      </c>
      <c r="G86" s="146">
        <v>267.5</v>
      </c>
      <c r="H86" s="146">
        <v>612.5</v>
      </c>
      <c r="I86" s="146" t="str">
        <f>IFERROR(__xludf.DUMMYFUNCTION("QUERY(IMPORTHTML(C86,""table"",1),""Select Col2,Col3,Col4,Col5 where (Col1='Single')"",0)"),"#N/A")</f>
        <v>#N/A</v>
      </c>
      <c r="J86" s="146"/>
      <c r="K86" s="146"/>
      <c r="L86" s="146"/>
      <c r="M86" s="146"/>
    </row>
    <row r="87">
      <c r="A87" s="131" t="s">
        <v>431</v>
      </c>
      <c r="B87" s="132" t="s">
        <v>309</v>
      </c>
      <c r="C87" s="148" t="str">
        <f t="shared" si="5"/>
        <v>http://openpowerlifting.org/u/HunterSullivan</v>
      </c>
      <c r="D87" s="145"/>
      <c r="E87" s="146">
        <v>200.0</v>
      </c>
      <c r="F87" s="146">
        <v>170.0</v>
      </c>
      <c r="G87" s="146">
        <v>242.5</v>
      </c>
      <c r="H87" s="146">
        <v>607.5</v>
      </c>
      <c r="I87" s="146">
        <f>IFERROR(__xludf.DUMMYFUNCTION("QUERY(IMPORTHTML(C87,""table"",1),""Select Col2,Col3,Col4,Col5 where (Col1='Single')"",0)"),245.0)</f>
        <v>245</v>
      </c>
      <c r="J87" s="146">
        <f>IFERROR(__xludf.DUMMYFUNCTION("""COMPUTED_VALUE"""),137.5)</f>
        <v>137.5</v>
      </c>
      <c r="K87" s="146">
        <f>IFERROR(__xludf.DUMMYFUNCTION("""COMPUTED_VALUE"""),227.5)</f>
        <v>227.5</v>
      </c>
      <c r="L87" s="146">
        <f>IFERROR(__xludf.DUMMYFUNCTION("""COMPUTED_VALUE"""),610.0)</f>
        <v>610</v>
      </c>
      <c r="M87" s="146"/>
    </row>
    <row r="88">
      <c r="A88" s="131" t="s">
        <v>370</v>
      </c>
      <c r="B88" s="132" t="s">
        <v>433</v>
      </c>
      <c r="C88" s="148" t="str">
        <f t="shared" si="5"/>
        <v>http://openpowerlifting.org/u/CordariusHarris</v>
      </c>
      <c r="D88" s="145"/>
      <c r="E88" s="146">
        <v>161.0</v>
      </c>
      <c r="F88" s="146">
        <v>120.0</v>
      </c>
      <c r="G88" s="146">
        <v>217.7</v>
      </c>
      <c r="H88" s="146">
        <v>489.9</v>
      </c>
      <c r="I88" s="146">
        <f>IFERROR(__xludf.DUMMYFUNCTION("QUERY(IMPORTHTML(C88,""table"",1),""Select Col2,Col3,Col4,Col5 where (Col1='Single')"",0)"),245.0)</f>
        <v>245</v>
      </c>
      <c r="J88" s="146">
        <f>IFERROR(__xludf.DUMMYFUNCTION("""COMPUTED_VALUE"""),142.5)</f>
        <v>142.5</v>
      </c>
      <c r="K88" s="146">
        <f>IFERROR(__xludf.DUMMYFUNCTION("""COMPUTED_VALUE"""),250.0)</f>
        <v>250</v>
      </c>
      <c r="L88" s="146">
        <f>IFERROR(__xludf.DUMMYFUNCTION("""COMPUTED_VALUE"""),632.5)</f>
        <v>632.5</v>
      </c>
      <c r="M88" s="146"/>
    </row>
    <row r="89">
      <c r="A89" s="131" t="s">
        <v>434</v>
      </c>
      <c r="B89" s="132" t="s">
        <v>435</v>
      </c>
      <c r="C89" s="148" t="str">
        <f t="shared" si="5"/>
        <v>http://openpowerlifting.org/u/KashamiRichard</v>
      </c>
      <c r="D89" s="145"/>
      <c r="E89" s="146">
        <v>220.0</v>
      </c>
      <c r="F89" s="146">
        <v>135.0</v>
      </c>
      <c r="G89" s="146">
        <v>240.0</v>
      </c>
      <c r="H89" s="146">
        <v>587.5</v>
      </c>
      <c r="I89" s="146">
        <f>IFERROR(__xludf.DUMMYFUNCTION("QUERY(IMPORTHTML(C89,""table"",1),""Select Col2,Col3,Col4,Col5 where (Col1='Single')"",0)"),225.0)</f>
        <v>225</v>
      </c>
      <c r="J89" s="146">
        <f>IFERROR(__xludf.DUMMYFUNCTION("""COMPUTED_VALUE"""),167.5)</f>
        <v>167.5</v>
      </c>
      <c r="K89" s="146">
        <f>IFERROR(__xludf.DUMMYFUNCTION("""COMPUTED_VALUE"""),215.0)</f>
        <v>215</v>
      </c>
      <c r="L89" s="146">
        <f>IFERROR(__xludf.DUMMYFUNCTION("""COMPUTED_VALUE"""),607.5)</f>
        <v>607.5</v>
      </c>
      <c r="M89" s="146"/>
    </row>
    <row r="90">
      <c r="A90" s="131" t="s">
        <v>436</v>
      </c>
      <c r="B90" s="132" t="s">
        <v>437</v>
      </c>
      <c r="C90" s="149" t="s">
        <v>736</v>
      </c>
      <c r="D90" s="145"/>
      <c r="E90" s="146" t="e">
        <v>#N/A</v>
      </c>
      <c r="F90" s="146"/>
      <c r="G90" s="146"/>
      <c r="H90" s="146"/>
      <c r="I90" s="146" t="str">
        <f>IFERROR(__xludf.DUMMYFUNCTION("QUERY(IMPORTHTML(C90,""table"",1),""Select Col2,Col3,Col4,Col5 where (Col1='Single')"",0)"),"Loading...")</f>
        <v>Loading...</v>
      </c>
      <c r="J90" s="146"/>
      <c r="K90" s="146"/>
      <c r="L90" s="146"/>
      <c r="M90" s="146"/>
    </row>
    <row r="91">
      <c r="A91" s="131" t="s">
        <v>438</v>
      </c>
      <c r="B91" s="132" t="s">
        <v>369</v>
      </c>
      <c r="C91" s="148" t="str">
        <f t="shared" ref="C91:C99" si="6">"http://openpowerlifting.org/u/"&amp;B91&amp;A91</f>
        <v>http://openpowerlifting.org/u/DanielMedina</v>
      </c>
      <c r="D91" s="145"/>
      <c r="E91" s="146" t="str">
        <f>IFERROR(__xludf.DUMMYFUNCTION("QUERY(IMPORTHTML(C91,""table"",1),""Select Col2,Col3,Col4,Col5 where (Col1='Raw')"",0)"),"")</f>
        <v/>
      </c>
      <c r="F91" s="146">
        <f>IFERROR(__xludf.DUMMYFUNCTION("""COMPUTED_VALUE"""),132.5)</f>
        <v>132.5</v>
      </c>
      <c r="G91" s="146">
        <f>IFERROR(__xludf.DUMMYFUNCTION("""COMPUTED_VALUE"""),202.5)</f>
        <v>202.5</v>
      </c>
      <c r="H91" s="146"/>
      <c r="I91" s="146">
        <f>IFERROR(__xludf.DUMMYFUNCTION("QUERY(IMPORTHTML(C91,""table"",1),""Select Col2,Col3,Col4,Col5 where (Col1='Single')"",0)"),235.0)</f>
        <v>235</v>
      </c>
      <c r="J91" s="146">
        <f>IFERROR(__xludf.DUMMYFUNCTION("""COMPUTED_VALUE"""),182.5)</f>
        <v>182.5</v>
      </c>
      <c r="K91" s="146">
        <f>IFERROR(__xludf.DUMMYFUNCTION("""COMPUTED_VALUE"""),232.5)</f>
        <v>232.5</v>
      </c>
      <c r="L91" s="146">
        <f>IFERROR(__xludf.DUMMYFUNCTION("""COMPUTED_VALUE"""),617.5)</f>
        <v>617.5</v>
      </c>
      <c r="M91" s="146"/>
    </row>
    <row r="92">
      <c r="A92" s="131" t="s">
        <v>439</v>
      </c>
      <c r="B92" s="132" t="s">
        <v>326</v>
      </c>
      <c r="C92" s="148" t="str">
        <f t="shared" si="6"/>
        <v>http://openpowerlifting.org/u/JoshuaRayburn</v>
      </c>
      <c r="D92" s="145"/>
      <c r="E92" s="146">
        <v>247.5</v>
      </c>
      <c r="F92" s="146">
        <v>132.5</v>
      </c>
      <c r="G92" s="146">
        <v>225.0</v>
      </c>
      <c r="H92" s="146">
        <v>600.0</v>
      </c>
      <c r="I92" s="146" t="str">
        <f>IFERROR(__xludf.DUMMYFUNCTION("QUERY(IMPORTHTML(C92,""table"",1),""Select Col2,Col3,Col4,Col5 where (Col1='Single')"",0)"),"#N/A")</f>
        <v>#N/A</v>
      </c>
      <c r="J92" s="146"/>
      <c r="K92" s="146"/>
      <c r="L92" s="146"/>
      <c r="M92" s="146"/>
    </row>
    <row r="93">
      <c r="A93" s="131" t="s">
        <v>440</v>
      </c>
      <c r="B93" s="132" t="s">
        <v>326</v>
      </c>
      <c r="C93" s="148" t="str">
        <f t="shared" si="6"/>
        <v>http://openpowerlifting.org/u/JoshuaHamilton</v>
      </c>
      <c r="D93" s="145"/>
      <c r="E93" s="146">
        <v>230.0</v>
      </c>
      <c r="F93" s="146">
        <v>150.0</v>
      </c>
      <c r="G93" s="146">
        <v>215.0</v>
      </c>
      <c r="H93" s="146">
        <v>595.0</v>
      </c>
      <c r="I93" s="146" t="str">
        <f>IFERROR(__xludf.DUMMYFUNCTION("QUERY(IMPORTHTML(C93,""table"",1),""Select Col2,Col3,Col4,Col5 where (Col1='Single')"",0)"),"#N/A")</f>
        <v>#N/A</v>
      </c>
      <c r="J93" s="146"/>
      <c r="K93" s="146"/>
      <c r="L93" s="146"/>
      <c r="M93" s="146"/>
    </row>
    <row r="94">
      <c r="A94" s="131" t="s">
        <v>441</v>
      </c>
      <c r="B94" s="132" t="s">
        <v>442</v>
      </c>
      <c r="C94" s="148" t="str">
        <f t="shared" si="6"/>
        <v>http://openpowerlifting.org/u/JunjiChen</v>
      </c>
      <c r="D94" s="145"/>
      <c r="E94" s="146">
        <v>192.5</v>
      </c>
      <c r="F94" s="146">
        <v>117.5</v>
      </c>
      <c r="G94" s="146">
        <v>230.0</v>
      </c>
      <c r="H94" s="146">
        <v>540.0</v>
      </c>
      <c r="I94" s="146">
        <f>IFERROR(__xludf.DUMMYFUNCTION("QUERY(IMPORTHTML(C94,""table"",1),""Select Col2,Col3,Col4,Col5 where (Col1='Single')"",0)"),225.0)</f>
        <v>225</v>
      </c>
      <c r="J94" s="146">
        <f>IFERROR(__xludf.DUMMYFUNCTION("""COMPUTED_VALUE"""),124.7)</f>
        <v>124.7</v>
      </c>
      <c r="K94" s="146">
        <f>IFERROR(__xludf.DUMMYFUNCTION("""COMPUTED_VALUE"""),245.0)</f>
        <v>245</v>
      </c>
      <c r="L94" s="146">
        <f>IFERROR(__xludf.DUMMYFUNCTION("""COMPUTED_VALUE"""),592.5)</f>
        <v>592.5</v>
      </c>
      <c r="M94" s="146"/>
    </row>
    <row r="95">
      <c r="A95" s="131" t="s">
        <v>443</v>
      </c>
      <c r="B95" s="132" t="s">
        <v>394</v>
      </c>
      <c r="C95" s="148" t="str">
        <f t="shared" si="6"/>
        <v>http://openpowerlifting.org/u/JoseTrejo</v>
      </c>
      <c r="D95" s="145"/>
      <c r="E95" s="146">
        <v>195.0</v>
      </c>
      <c r="F95" s="146">
        <v>115.0</v>
      </c>
      <c r="G95" s="146">
        <v>215.0</v>
      </c>
      <c r="H95" s="146">
        <v>517.5</v>
      </c>
      <c r="I95" s="146">
        <f>IFERROR(__xludf.DUMMYFUNCTION("QUERY(IMPORTHTML(C95,""table"",1),""Select Col2,Col3,Col4,Col5 where (Col1='Single')"",0)"),237.5)</f>
        <v>237.5</v>
      </c>
      <c r="J95" s="146">
        <f>IFERROR(__xludf.DUMMYFUNCTION("""COMPUTED_VALUE"""),300.5)</f>
        <v>300.5</v>
      </c>
      <c r="K95" s="146">
        <f>IFERROR(__xludf.DUMMYFUNCTION("""COMPUTED_VALUE"""),237.5)</f>
        <v>237.5</v>
      </c>
      <c r="L95" s="146">
        <f>IFERROR(__xludf.DUMMYFUNCTION("""COMPUTED_VALUE"""),592.5)</f>
        <v>592.5</v>
      </c>
      <c r="M95" s="146"/>
    </row>
    <row r="96">
      <c r="A96" s="131" t="s">
        <v>109</v>
      </c>
      <c r="B96" s="132" t="s">
        <v>108</v>
      </c>
      <c r="C96" s="148" t="str">
        <f t="shared" si="6"/>
        <v>http://openpowerlifting.org/u/ThomasZuccarello</v>
      </c>
      <c r="D96" s="145"/>
      <c r="E96" s="146">
        <v>212.5</v>
      </c>
      <c r="F96" s="146">
        <v>152.5</v>
      </c>
      <c r="G96" s="146">
        <v>217.5</v>
      </c>
      <c r="H96" s="146">
        <v>582.5</v>
      </c>
      <c r="I96" s="146" t="str">
        <f>IFERROR(__xludf.DUMMYFUNCTION("QUERY(IMPORTHTML(C96,""table"",1),""Select Col2,Col3,Col4,Col5 where (Col1='Single')"",0)"),"#N/A")</f>
        <v>#N/A</v>
      </c>
      <c r="J96" s="146"/>
      <c r="K96" s="146"/>
      <c r="L96" s="146"/>
      <c r="M96" s="146"/>
    </row>
    <row r="97">
      <c r="A97" s="131" t="s">
        <v>445</v>
      </c>
      <c r="B97" s="132" t="s">
        <v>446</v>
      </c>
      <c r="C97" s="148" t="str">
        <f t="shared" si="6"/>
        <v>http://openpowerlifting.org/u/JacobPortier</v>
      </c>
      <c r="D97" s="145"/>
      <c r="E97" s="146" t="e">
        <v>#N/A</v>
      </c>
      <c r="F97" s="146"/>
      <c r="G97" s="146"/>
      <c r="H97" s="146"/>
      <c r="I97" s="146">
        <f>IFERROR(__xludf.DUMMYFUNCTION("QUERY(IMPORTHTML(C97,""table"",1),""Select Col2,Col3,Col4,Col5 where (Col1='Single')"",0)"),225.0)</f>
        <v>225</v>
      </c>
      <c r="J97" s="146">
        <f>IFERROR(__xludf.DUMMYFUNCTION("""COMPUTED_VALUE"""),120.0)</f>
        <v>120</v>
      </c>
      <c r="K97" s="146">
        <f>IFERROR(__xludf.DUMMYFUNCTION("""COMPUTED_VALUE"""),230.0)</f>
        <v>230</v>
      </c>
      <c r="L97" s="146">
        <f>IFERROR(__xludf.DUMMYFUNCTION("""COMPUTED_VALUE"""),575.0)</f>
        <v>575</v>
      </c>
      <c r="M97" s="146"/>
    </row>
    <row r="98">
      <c r="A98" s="131" t="s">
        <v>447</v>
      </c>
      <c r="B98" s="132" t="s">
        <v>448</v>
      </c>
      <c r="C98" s="148" t="str">
        <f t="shared" si="6"/>
        <v>http://openpowerlifting.org/u/EthanDiaz</v>
      </c>
      <c r="D98" s="145"/>
      <c r="E98" s="146" t="e">
        <v>#N/A</v>
      </c>
      <c r="F98" s="146"/>
      <c r="G98" s="146"/>
      <c r="H98" s="146"/>
      <c r="I98" s="146">
        <f>IFERROR(__xludf.DUMMYFUNCTION("QUERY(IMPORTHTML(C98,""table"",1),""Select Col2,Col3,Col4,Col5 where (Col1='Single')"",0)"),227.5)</f>
        <v>227.5</v>
      </c>
      <c r="J98" s="146">
        <f>IFERROR(__xludf.DUMMYFUNCTION("""COMPUTED_VALUE"""),117.5)</f>
        <v>117.5</v>
      </c>
      <c r="K98" s="146">
        <f>IFERROR(__xludf.DUMMYFUNCTION("""COMPUTED_VALUE"""),227.5)</f>
        <v>227.5</v>
      </c>
      <c r="L98" s="146">
        <f>IFERROR(__xludf.DUMMYFUNCTION("""COMPUTED_VALUE"""),572.5)</f>
        <v>572.5</v>
      </c>
      <c r="M98" s="146"/>
    </row>
    <row r="99">
      <c r="A99" s="131" t="s">
        <v>449</v>
      </c>
      <c r="B99" s="132" t="s">
        <v>326</v>
      </c>
      <c r="C99" s="148" t="str">
        <f t="shared" si="6"/>
        <v>http://openpowerlifting.org/u/JoshuaTrevino</v>
      </c>
      <c r="D99" s="145"/>
      <c r="E99" s="146">
        <v>162.5</v>
      </c>
      <c r="F99" s="146">
        <v>110.0</v>
      </c>
      <c r="G99" s="146">
        <v>200.0</v>
      </c>
      <c r="H99" s="146">
        <v>472.5</v>
      </c>
      <c r="I99" s="146">
        <f>IFERROR(__xludf.DUMMYFUNCTION("QUERY(IMPORTHTML(C99,""table"",1),""Select Col2,Col3,Col4,Col5 where (Col1='Single')"",0)"),225.0)</f>
        <v>225</v>
      </c>
      <c r="J99" s="146">
        <f>IFERROR(__xludf.DUMMYFUNCTION("""COMPUTED_VALUE"""),125.0)</f>
        <v>125</v>
      </c>
      <c r="K99" s="146">
        <f>IFERROR(__xludf.DUMMYFUNCTION("""COMPUTED_VALUE"""),222.5)</f>
        <v>222.5</v>
      </c>
      <c r="L99" s="146">
        <f>IFERROR(__xludf.DUMMYFUNCTION("""COMPUTED_VALUE"""),572.5)</f>
        <v>572.5</v>
      </c>
      <c r="M99" s="146"/>
    </row>
    <row r="100">
      <c r="A100" s="131" t="s">
        <v>450</v>
      </c>
      <c r="B100" s="132" t="s">
        <v>451</v>
      </c>
      <c r="C100" s="149" t="s">
        <v>737</v>
      </c>
      <c r="D100" s="145"/>
      <c r="E100" s="146" t="e">
        <v>#N/A</v>
      </c>
      <c r="F100" s="146"/>
      <c r="G100" s="146"/>
      <c r="H100" s="146"/>
      <c r="I100" s="146">
        <f>IFERROR(__xludf.DUMMYFUNCTION("QUERY(IMPORTHTML(C100,""table"",1),""Select Col2,Col3,Col4,Col5 where (Col1='Single')"",0)"),207.5)</f>
        <v>207.5</v>
      </c>
      <c r="J100" s="146">
        <f>IFERROR(__xludf.DUMMYFUNCTION("""COMPUTED_VALUE"""),130.0)</f>
        <v>130</v>
      </c>
      <c r="K100" s="146">
        <f>IFERROR(__xludf.DUMMYFUNCTION("""COMPUTED_VALUE"""),232.5)</f>
        <v>232.5</v>
      </c>
      <c r="L100" s="146">
        <f>IFERROR(__xludf.DUMMYFUNCTION("""COMPUTED_VALUE"""),570.0)</f>
        <v>570</v>
      </c>
      <c r="M100" s="147"/>
    </row>
    <row r="101">
      <c r="A101" s="131" t="s">
        <v>452</v>
      </c>
      <c r="B101" s="132" t="s">
        <v>453</v>
      </c>
      <c r="C101" s="148" t="str">
        <f t="shared" ref="C101:C110" si="7">"http://openpowerlifting.org/u/"&amp;B101&amp;A101</f>
        <v>http://openpowerlifting.org/u/WillEckford</v>
      </c>
      <c r="D101" s="145"/>
      <c r="E101" s="146">
        <v>215.0</v>
      </c>
      <c r="F101" s="146">
        <v>125.0</v>
      </c>
      <c r="G101" s="146">
        <v>225.0</v>
      </c>
      <c r="H101" s="146">
        <v>565.0</v>
      </c>
      <c r="I101" s="146">
        <f>IFERROR(__xludf.DUMMYFUNCTION("QUERY(IMPORTHTML(C101,""table"",1),""Select Col2,Col3,Col4,Col5 where (Col1='Single')"",0)"),210.9)</f>
        <v>210.9</v>
      </c>
      <c r="J101" s="146">
        <f>IFERROR(__xludf.DUMMYFUNCTION("""COMPUTED_VALUE"""),140.6)</f>
        <v>140.6</v>
      </c>
      <c r="K101" s="146">
        <f>IFERROR(__xludf.DUMMYFUNCTION("""COMPUTED_VALUE"""),208.6)</f>
        <v>208.6</v>
      </c>
      <c r="L101" s="146">
        <f>IFERROR(__xludf.DUMMYFUNCTION("""COMPUTED_VALUE"""),553.3)</f>
        <v>553.3</v>
      </c>
      <c r="M101" s="147"/>
    </row>
    <row r="102">
      <c r="A102" s="131" t="s">
        <v>454</v>
      </c>
      <c r="B102" s="132" t="s">
        <v>371</v>
      </c>
      <c r="C102" s="148" t="str">
        <f t="shared" si="7"/>
        <v>http://openpowerlifting.org/u/ElijahGarrett</v>
      </c>
      <c r="D102" s="145"/>
      <c r="E102" s="146">
        <v>150.0</v>
      </c>
      <c r="F102" s="146">
        <v>105.0</v>
      </c>
      <c r="G102" s="146">
        <v>182.5</v>
      </c>
      <c r="H102" s="146">
        <v>437.5</v>
      </c>
      <c r="I102" s="146">
        <f>IFERROR(__xludf.DUMMYFUNCTION("QUERY(IMPORTHTML(C102,""table"",1),""Select Col2,Col3,Col4,Col5 where (Col1='Single')"",0)"),215.0)</f>
        <v>215</v>
      </c>
      <c r="J102" s="146">
        <f>IFERROR(__xludf.DUMMYFUNCTION("""COMPUTED_VALUE"""),137.5)</f>
        <v>137.5</v>
      </c>
      <c r="K102" s="146">
        <f>IFERROR(__xludf.DUMMYFUNCTION("""COMPUTED_VALUE"""),210.0)</f>
        <v>210</v>
      </c>
      <c r="L102" s="146">
        <f>IFERROR(__xludf.DUMMYFUNCTION("""COMPUTED_VALUE"""),562.5)</f>
        <v>562.5</v>
      </c>
      <c r="M102" s="146"/>
    </row>
    <row r="103">
      <c r="A103" s="131" t="s">
        <v>455</v>
      </c>
      <c r="B103" s="132" t="s">
        <v>117</v>
      </c>
      <c r="C103" s="148" t="str">
        <f t="shared" si="7"/>
        <v>http://openpowerlifting.org/u/SamuelLawson</v>
      </c>
      <c r="D103" s="145"/>
      <c r="E103" s="146" t="e">
        <v>#N/A</v>
      </c>
      <c r="F103" s="146"/>
      <c r="G103" s="146"/>
      <c r="H103" s="146"/>
      <c r="I103" s="146">
        <f>IFERROR(__xludf.DUMMYFUNCTION("QUERY(IMPORTHTML(C103,""table"",1),""Select Col2,Col3,Col4,Col5 where (Col1='Single')"",0)"),227.5)</f>
        <v>227.5</v>
      </c>
      <c r="J103" s="146">
        <f>IFERROR(__xludf.DUMMYFUNCTION("""COMPUTED_VALUE"""),102.5)</f>
        <v>102.5</v>
      </c>
      <c r="K103" s="146">
        <f>IFERROR(__xludf.DUMMYFUNCTION("""COMPUTED_VALUE"""),230.0)</f>
        <v>230</v>
      </c>
      <c r="L103" s="146">
        <f>IFERROR(__xludf.DUMMYFUNCTION("""COMPUTED_VALUE"""),560.0)</f>
        <v>560</v>
      </c>
      <c r="M103" s="147"/>
    </row>
    <row r="104">
      <c r="A104" s="131" t="s">
        <v>456</v>
      </c>
      <c r="B104" s="132" t="s">
        <v>457</v>
      </c>
      <c r="C104" s="148" t="str">
        <f t="shared" si="7"/>
        <v>http://openpowerlifting.org/u/JamesLloyd</v>
      </c>
      <c r="D104" s="145"/>
      <c r="E104" s="146" t="e">
        <v>#N/A</v>
      </c>
      <c r="F104" s="146"/>
      <c r="G104" s="146"/>
      <c r="H104" s="146"/>
      <c r="I104" s="146">
        <f>IFERROR(__xludf.DUMMYFUNCTION("QUERY(IMPORTHTML(C104,""table"",1),""Select Col2,Col3,Col4,Col5 where (Col1='Single')"",0)"),233.6)</f>
        <v>233.6</v>
      </c>
      <c r="J104" s="146">
        <f>IFERROR(__xludf.DUMMYFUNCTION("""COMPUTED_VALUE"""),188.2)</f>
        <v>188.2</v>
      </c>
      <c r="K104" s="146">
        <f>IFERROR(__xludf.DUMMYFUNCTION("""COMPUTED_VALUE"""),240.4)</f>
        <v>240.4</v>
      </c>
      <c r="L104" s="146">
        <f>IFERROR(__xludf.DUMMYFUNCTION("""COMPUTED_VALUE"""),662.2)</f>
        <v>662.2</v>
      </c>
      <c r="M104" s="147"/>
    </row>
    <row r="105">
      <c r="A105" s="131" t="s">
        <v>458</v>
      </c>
      <c r="B105" s="132" t="s">
        <v>459</v>
      </c>
      <c r="C105" s="148" t="str">
        <f t="shared" si="7"/>
        <v>http://openpowerlifting.org/u/GeriFredrickson</v>
      </c>
      <c r="D105" s="145"/>
      <c r="E105" s="146" t="e">
        <v>#N/A</v>
      </c>
      <c r="F105" s="146"/>
      <c r="G105" s="146"/>
      <c r="H105" s="146"/>
      <c r="I105" s="146">
        <f>IFERROR(__xludf.DUMMYFUNCTION("QUERY(IMPORTHTML(C105,""table"",1),""Select Col2,Col3,Col4,Col5 where (Col1='Single')"",0)"),240.5)</f>
        <v>240.5</v>
      </c>
      <c r="J105" s="146">
        <f>IFERROR(__xludf.DUMMYFUNCTION("""COMPUTED_VALUE"""),140.0)</f>
        <v>140</v>
      </c>
      <c r="K105" s="146">
        <f>IFERROR(__xludf.DUMMYFUNCTION("""COMPUTED_VALUE"""),182.5)</f>
        <v>182.5</v>
      </c>
      <c r="L105" s="146">
        <f>IFERROR(__xludf.DUMMYFUNCTION("""COMPUTED_VALUE"""),550.5)</f>
        <v>550.5</v>
      </c>
      <c r="M105" s="146"/>
    </row>
    <row r="106">
      <c r="A106" s="131" t="s">
        <v>460</v>
      </c>
      <c r="B106" s="132" t="s">
        <v>394</v>
      </c>
      <c r="C106" s="148" t="str">
        <f t="shared" si="7"/>
        <v>http://openpowerlifting.org/u/JoseDelgado</v>
      </c>
      <c r="D106" s="145"/>
      <c r="E106" s="146">
        <v>205.0</v>
      </c>
      <c r="F106" s="146">
        <v>125.0</v>
      </c>
      <c r="G106" s="146">
        <v>220.0</v>
      </c>
      <c r="H106" s="146">
        <v>550.0</v>
      </c>
      <c r="I106" s="146">
        <f>IFERROR(__xludf.DUMMYFUNCTION("QUERY(IMPORTHTML(C106,""table"",1),""Select Col2,Col3,Col4,Col5 where (Col1='Single')"",0)"),160.0)</f>
        <v>160</v>
      </c>
      <c r="J106" s="146">
        <f>IFERROR(__xludf.DUMMYFUNCTION("""COMPUTED_VALUE"""),90.0)</f>
        <v>90</v>
      </c>
      <c r="K106" s="146">
        <f>IFERROR(__xludf.DUMMYFUNCTION("""COMPUTED_VALUE"""),170.0)</f>
        <v>170</v>
      </c>
      <c r="L106" s="146">
        <f>IFERROR(__xludf.DUMMYFUNCTION("""COMPUTED_VALUE"""),420.0)</f>
        <v>420</v>
      </c>
      <c r="M106" s="146"/>
    </row>
    <row r="107">
      <c r="A107" s="131" t="s">
        <v>461</v>
      </c>
      <c r="B107" s="132" t="s">
        <v>462</v>
      </c>
      <c r="C107" s="148" t="str">
        <f t="shared" si="7"/>
        <v>http://openpowerlifting.org/u/AlexanderGorczyca</v>
      </c>
      <c r="D107" s="145"/>
      <c r="E107" s="146">
        <v>185.0</v>
      </c>
      <c r="F107" s="146">
        <v>115.0</v>
      </c>
      <c r="G107" s="146">
        <v>245.0</v>
      </c>
      <c r="H107" s="146">
        <v>545.0</v>
      </c>
      <c r="I107" s="146">
        <f>IFERROR(__xludf.DUMMYFUNCTION("QUERY(IMPORTHTML(C107,""table"",1),""Select Col2,Col3,Col4,Col5 where (Col1='Single')"",0)"),195.0)</f>
        <v>195</v>
      </c>
      <c r="J107" s="146">
        <f>IFERROR(__xludf.DUMMYFUNCTION("""COMPUTED_VALUE"""),102.5)</f>
        <v>102.5</v>
      </c>
      <c r="K107" s="146">
        <f>IFERROR(__xludf.DUMMYFUNCTION("""COMPUTED_VALUE"""),192.5)</f>
        <v>192.5</v>
      </c>
      <c r="L107" s="146">
        <f>IFERROR(__xludf.DUMMYFUNCTION("""COMPUTED_VALUE"""),490.0)</f>
        <v>490</v>
      </c>
      <c r="M107" s="146"/>
    </row>
    <row r="108">
      <c r="A108" s="131" t="s">
        <v>447</v>
      </c>
      <c r="B108" s="132" t="s">
        <v>463</v>
      </c>
      <c r="C108" s="148" t="str">
        <f t="shared" si="7"/>
        <v>http://openpowerlifting.org/u/AbrahamDiaz</v>
      </c>
      <c r="D108" s="145"/>
      <c r="E108" s="146">
        <v>195.0</v>
      </c>
      <c r="F108" s="146">
        <v>117.5</v>
      </c>
      <c r="G108" s="146">
        <v>230.0</v>
      </c>
      <c r="H108" s="146">
        <v>542.5</v>
      </c>
      <c r="I108" s="146" t="str">
        <f>IFERROR(__xludf.DUMMYFUNCTION("QUERY(IMPORTHTML(C108,""table"",1),""Select Col2,Col3,Col4,Col5 where (Col1='Single')"",0)"),"#N/A")</f>
        <v>#N/A</v>
      </c>
      <c r="J108" s="146"/>
      <c r="K108" s="146"/>
      <c r="L108" s="146"/>
      <c r="M108" s="146"/>
    </row>
    <row r="109">
      <c r="A109" s="131" t="s">
        <v>464</v>
      </c>
      <c r="B109" s="132" t="s">
        <v>465</v>
      </c>
      <c r="C109" s="148" t="str">
        <f t="shared" si="7"/>
        <v>http://openpowerlifting.org/u/KobyMoney</v>
      </c>
      <c r="D109" s="145"/>
      <c r="E109" s="146">
        <v>160.0</v>
      </c>
      <c r="F109" s="146">
        <v>117.5</v>
      </c>
      <c r="G109" s="146">
        <v>207.5</v>
      </c>
      <c r="H109" s="146">
        <v>485.0</v>
      </c>
      <c r="I109" s="146">
        <f>IFERROR(__xludf.DUMMYFUNCTION("QUERY(IMPORTHTML(C109,""table"",1),""Select Col2,Col3,Col4,Col5 where (Col1='Single')"",0)"),197.5)</f>
        <v>197.5</v>
      </c>
      <c r="J109" s="146">
        <f>IFERROR(__xludf.DUMMYFUNCTION("""COMPUTED_VALUE"""),130.0)</f>
        <v>130</v>
      </c>
      <c r="K109" s="146">
        <f>IFERROR(__xludf.DUMMYFUNCTION("""COMPUTED_VALUE"""),217.5)</f>
        <v>217.5</v>
      </c>
      <c r="L109" s="146">
        <f>IFERROR(__xludf.DUMMYFUNCTION("""COMPUTED_VALUE"""),540.0)</f>
        <v>540</v>
      </c>
      <c r="M109" s="146"/>
    </row>
    <row r="110">
      <c r="A110" s="131" t="s">
        <v>466</v>
      </c>
      <c r="B110" s="132" t="s">
        <v>366</v>
      </c>
      <c r="C110" s="148" t="str">
        <f t="shared" si="7"/>
        <v>http://openpowerlifting.org/u/JacksonMorris</v>
      </c>
      <c r="D110" s="145"/>
      <c r="E110" s="146">
        <v>145.0</v>
      </c>
      <c r="F110" s="146">
        <v>97.5</v>
      </c>
      <c r="G110" s="146">
        <v>172.5</v>
      </c>
      <c r="H110" s="146">
        <v>415.0</v>
      </c>
      <c r="I110" s="146">
        <f>IFERROR(__xludf.DUMMYFUNCTION("QUERY(IMPORTHTML(C110,""table"",1),""Select Col2,Col3,Col4,Col5 where (Col1='Single')"",0)"),200.0)</f>
        <v>200</v>
      </c>
      <c r="J110" s="146">
        <f>IFERROR(__xludf.DUMMYFUNCTION("""COMPUTED_VALUE"""),127.5)</f>
        <v>127.5</v>
      </c>
      <c r="K110" s="146">
        <f>IFERROR(__xludf.DUMMYFUNCTION("""COMPUTED_VALUE"""),212.5)</f>
        <v>212.5</v>
      </c>
      <c r="L110" s="146">
        <f>IFERROR(__xludf.DUMMYFUNCTION("""COMPUTED_VALUE"""),540.0)</f>
        <v>540</v>
      </c>
      <c r="M110" s="147"/>
    </row>
    <row r="111">
      <c r="A111" s="131" t="s">
        <v>467</v>
      </c>
      <c r="B111" s="132" t="s">
        <v>468</v>
      </c>
      <c r="C111" s="149" t="s">
        <v>738</v>
      </c>
      <c r="D111" s="145"/>
      <c r="E111" s="146" t="str">
        <f>IFERROR(__xludf.DUMMYFUNCTION("QUERY(IMPORTHTML(C111,""table"",1),""Select Col2,Col3,Col4,Col5 where (Col1='Raw')"",0)"),"Loading...")</f>
        <v>Loading...</v>
      </c>
      <c r="F111" s="146"/>
      <c r="G111" s="146"/>
      <c r="H111" s="146"/>
      <c r="I111" s="146" t="str">
        <f>IFERROR(__xludf.DUMMYFUNCTION("QUERY(IMPORTHTML(C111,""table"",1),""Select Col2,Col3,Col4,Col5 where (Col1='Single')"",0)"),"Loading...")</f>
        <v>Loading...</v>
      </c>
      <c r="J111" s="146"/>
      <c r="K111" s="146"/>
      <c r="L111" s="146"/>
      <c r="M111" s="152" t="s">
        <v>372</v>
      </c>
    </row>
    <row r="112">
      <c r="A112" s="131" t="s">
        <v>469</v>
      </c>
      <c r="B112" s="132" t="s">
        <v>470</v>
      </c>
      <c r="C112" s="148" t="str">
        <f t="shared" ref="C112:C117" si="8">"http://openpowerlifting.org/u/"&amp;B112&amp;A112</f>
        <v>http://openpowerlifting.org/u/KayleeBonner</v>
      </c>
      <c r="D112" s="145"/>
      <c r="E112" s="146">
        <v>172.5</v>
      </c>
      <c r="F112" s="146">
        <v>87.5</v>
      </c>
      <c r="G112" s="146">
        <v>182.5</v>
      </c>
      <c r="H112" s="146">
        <v>442.5</v>
      </c>
      <c r="I112" s="146">
        <f>IFERROR(__xludf.DUMMYFUNCTION("QUERY(IMPORTHTML(C112,""table"",1),""Select Col2,Col3,Col4,Col5 where (Col1='Single')"",0)"),222.5)</f>
        <v>222.5</v>
      </c>
      <c r="J112" s="146">
        <f>IFERROR(__xludf.DUMMYFUNCTION("""COMPUTED_VALUE"""),117.5)</f>
        <v>117.5</v>
      </c>
      <c r="K112" s="146">
        <f>IFERROR(__xludf.DUMMYFUNCTION("""COMPUTED_VALUE"""),190.0)</f>
        <v>190</v>
      </c>
      <c r="L112" s="146">
        <f>IFERROR(__xludf.DUMMYFUNCTION("""COMPUTED_VALUE"""),530.0)</f>
        <v>530</v>
      </c>
      <c r="M112" s="146"/>
    </row>
    <row r="113">
      <c r="A113" s="131" t="s">
        <v>471</v>
      </c>
      <c r="B113" s="132" t="s">
        <v>472</v>
      </c>
      <c r="C113" s="148" t="str">
        <f t="shared" si="8"/>
        <v>http://openpowerlifting.org/u/AishaGarcia</v>
      </c>
      <c r="D113" s="145"/>
      <c r="E113" s="146" t="e">
        <v>#N/A</v>
      </c>
      <c r="F113" s="146"/>
      <c r="G113" s="146"/>
      <c r="H113" s="146"/>
      <c r="I113" s="146">
        <f>IFERROR(__xludf.DUMMYFUNCTION("QUERY(IMPORTHTML(C113,""table"",1),""Select Col2,Col3,Col4,Col5 where (Col1='Single')"",0)"),255.0)</f>
        <v>255</v>
      </c>
      <c r="J113" s="146">
        <f>IFERROR(__xludf.DUMMYFUNCTION("""COMPUTED_VALUE"""),110.0)</f>
        <v>110</v>
      </c>
      <c r="K113" s="146">
        <f>IFERROR(__xludf.DUMMYFUNCTION("""COMPUTED_VALUE"""),165.5)</f>
        <v>165.5</v>
      </c>
      <c r="L113" s="146">
        <f>IFERROR(__xludf.DUMMYFUNCTION("""COMPUTED_VALUE"""),530.0)</f>
        <v>530</v>
      </c>
      <c r="M113" s="147"/>
    </row>
    <row r="114">
      <c r="A114" s="131" t="s">
        <v>289</v>
      </c>
      <c r="B114" s="132" t="s">
        <v>473</v>
      </c>
      <c r="C114" s="148" t="str">
        <f t="shared" si="8"/>
        <v>http://openpowerlifting.org/u/OliverJuarez</v>
      </c>
      <c r="D114" s="145"/>
      <c r="E114" s="146">
        <v>195.0</v>
      </c>
      <c r="F114" s="146">
        <v>112.5</v>
      </c>
      <c r="G114" s="146">
        <v>222.5</v>
      </c>
      <c r="H114" s="146">
        <v>530.0</v>
      </c>
      <c r="I114" s="146" t="str">
        <f>IFERROR(__xludf.DUMMYFUNCTION("QUERY(IMPORTHTML(C114,""table"",1),""Select Col2,Col3,Col4,Col5 where (Col1='Single')"",0)"),"#N/A")</f>
        <v>#N/A</v>
      </c>
      <c r="J114" s="146"/>
      <c r="K114" s="146"/>
      <c r="L114" s="146"/>
      <c r="M114" s="146"/>
    </row>
    <row r="115">
      <c r="A115" s="131" t="s">
        <v>474</v>
      </c>
      <c r="B115" s="132" t="s">
        <v>97</v>
      </c>
      <c r="C115" s="148" t="str">
        <f t="shared" si="8"/>
        <v>http://openpowerlifting.org/u/LaurenPimentel</v>
      </c>
      <c r="D115" s="145"/>
      <c r="E115" s="146">
        <v>147.5</v>
      </c>
      <c r="F115" s="146">
        <v>87.5</v>
      </c>
      <c r="G115" s="146">
        <v>172.5</v>
      </c>
      <c r="H115" s="146">
        <v>407.5</v>
      </c>
      <c r="I115" s="146">
        <f>IFERROR(__xludf.DUMMYFUNCTION("QUERY(IMPORTHTML(C115,""table"",1),""Select Col2,Col3,Col4,Col5 where (Col1='Single')"",0)"),215.0)</f>
        <v>215</v>
      </c>
      <c r="J115" s="146">
        <f>IFERROR(__xludf.DUMMYFUNCTION("""COMPUTED_VALUE"""),112.5)</f>
        <v>112.5</v>
      </c>
      <c r="K115" s="146">
        <f>IFERROR(__xludf.DUMMYFUNCTION("""COMPUTED_VALUE"""),202.5)</f>
        <v>202.5</v>
      </c>
      <c r="L115" s="146">
        <f>IFERROR(__xludf.DUMMYFUNCTION("""COMPUTED_VALUE"""),530.0)</f>
        <v>530</v>
      </c>
      <c r="M115" s="146"/>
    </row>
    <row r="116">
      <c r="A116" s="131" t="s">
        <v>475</v>
      </c>
      <c r="B116" s="132" t="s">
        <v>476</v>
      </c>
      <c r="C116" s="148" t="str">
        <f t="shared" si="8"/>
        <v>http://openpowerlifting.org/u/MargaretDittman</v>
      </c>
      <c r="D116" s="145"/>
      <c r="E116" s="146">
        <v>140.0</v>
      </c>
      <c r="F116" s="146">
        <v>95.0</v>
      </c>
      <c r="G116" s="146">
        <v>150.0</v>
      </c>
      <c r="H116" s="146">
        <v>377.5</v>
      </c>
      <c r="I116" s="146">
        <f>IFERROR(__xludf.DUMMYFUNCTION("QUERY(IMPORTHTML(C116,""table"",1),""Select Col2,Col3,Col4,Col5 where (Col1='Single')"",0)"),202.5)</f>
        <v>202.5</v>
      </c>
      <c r="J116" s="146">
        <f>IFERROR(__xludf.DUMMYFUNCTION("""COMPUTED_VALUE"""),181.5)</f>
        <v>181.5</v>
      </c>
      <c r="K116" s="146">
        <f>IFERROR(__xludf.DUMMYFUNCTION("""COMPUTED_VALUE"""),157.5)</f>
        <v>157.5</v>
      </c>
      <c r="L116" s="146">
        <f>IFERROR(__xludf.DUMMYFUNCTION("""COMPUTED_VALUE"""),520.0)</f>
        <v>520</v>
      </c>
      <c r="M116" s="146"/>
    </row>
    <row r="117">
      <c r="A117" s="131" t="s">
        <v>98</v>
      </c>
      <c r="B117" s="132" t="s">
        <v>97</v>
      </c>
      <c r="C117" s="148" t="str">
        <f t="shared" si="8"/>
        <v>http://openpowerlifting.org/u/LaurenFlynn</v>
      </c>
      <c r="D117" s="145"/>
      <c r="E117" s="146">
        <v>162.5</v>
      </c>
      <c r="F117" s="146">
        <v>90.0</v>
      </c>
      <c r="G117" s="146">
        <v>200.0</v>
      </c>
      <c r="H117" s="146">
        <v>452.5</v>
      </c>
      <c r="I117" s="146">
        <f>IFERROR(__xludf.DUMMYFUNCTION("QUERY(IMPORTHTML(C117,""table"",1),""Select Col2,Col3,Col4,Col5 where (Col1='Single')"",0)"),200.0)</f>
        <v>200</v>
      </c>
      <c r="J117" s="146">
        <f>IFERROR(__xludf.DUMMYFUNCTION("""COMPUTED_VALUE"""),115.0)</f>
        <v>115</v>
      </c>
      <c r="K117" s="146">
        <f>IFERROR(__xludf.DUMMYFUNCTION("""COMPUTED_VALUE"""),205.0)</f>
        <v>205</v>
      </c>
      <c r="L117" s="146">
        <f>IFERROR(__xludf.DUMMYFUNCTION("""COMPUTED_VALUE"""),520.0)</f>
        <v>520</v>
      </c>
      <c r="M117" s="146"/>
    </row>
    <row r="118">
      <c r="A118" s="131" t="s">
        <v>477</v>
      </c>
      <c r="B118" s="132" t="s">
        <v>421</v>
      </c>
      <c r="C118" s="149" t="s">
        <v>739</v>
      </c>
      <c r="D118" s="145"/>
      <c r="E118" s="146">
        <v>132.5</v>
      </c>
      <c r="F118" s="146">
        <v>82.5</v>
      </c>
      <c r="G118" s="146">
        <v>177.5</v>
      </c>
      <c r="H118" s="146">
        <v>392.5</v>
      </c>
      <c r="I118" s="146">
        <f>IFERROR(__xludf.DUMMYFUNCTION("QUERY(IMPORTHTML(C118,""table"",1),""Select Col2,Col3,Col4,Col5 where (Col1='Single')"",0)"),197.5)</f>
        <v>197.5</v>
      </c>
      <c r="J118" s="146">
        <f>IFERROR(__xludf.DUMMYFUNCTION("""COMPUTED_VALUE"""),110.0)</f>
        <v>110</v>
      </c>
      <c r="K118" s="146">
        <f>IFERROR(__xludf.DUMMYFUNCTION("""COMPUTED_VALUE"""),202.5)</f>
        <v>202.5</v>
      </c>
      <c r="L118" s="146">
        <f>IFERROR(__xludf.DUMMYFUNCTION("""COMPUTED_VALUE"""),510.0)</f>
        <v>510</v>
      </c>
      <c r="M118" s="146"/>
    </row>
    <row r="119">
      <c r="A119" s="131" t="s">
        <v>478</v>
      </c>
      <c r="B119" s="132" t="s">
        <v>479</v>
      </c>
      <c r="C119" s="148" t="str">
        <f t="shared" ref="C119:C178" si="9">"http://openpowerlifting.org/u/"&amp;B119&amp;A119</f>
        <v>http://openpowerlifting.org/u/ColeSmylie</v>
      </c>
      <c r="D119" s="145"/>
      <c r="E119" s="146" t="e">
        <v>#N/A</v>
      </c>
      <c r="F119" s="146"/>
      <c r="G119" s="146"/>
      <c r="H119" s="146"/>
      <c r="I119" s="146">
        <f>IFERROR(__xludf.DUMMYFUNCTION("QUERY(IMPORTHTML(C119,""table"",1),""Select Col2,Col3,Col4,Col5 where (Col1='Single')"",0)"),182.5)</f>
        <v>182.5</v>
      </c>
      <c r="J119" s="146">
        <f>IFERROR(__xludf.DUMMYFUNCTION("""COMPUTED_VALUE"""),122.5)</f>
        <v>122.5</v>
      </c>
      <c r="K119" s="146">
        <f>IFERROR(__xludf.DUMMYFUNCTION("""COMPUTED_VALUE"""),205.0)</f>
        <v>205</v>
      </c>
      <c r="L119" s="146">
        <f>IFERROR(__xludf.DUMMYFUNCTION("""COMPUTED_VALUE"""),510.0)</f>
        <v>510</v>
      </c>
      <c r="M119" s="146"/>
    </row>
    <row r="120">
      <c r="A120" s="131" t="s">
        <v>480</v>
      </c>
      <c r="B120" s="132" t="s">
        <v>481</v>
      </c>
      <c r="C120" s="148" t="str">
        <f t="shared" si="9"/>
        <v>http://openpowerlifting.org/u/CodyNatividad</v>
      </c>
      <c r="D120" s="145"/>
      <c r="E120" s="146">
        <v>170.0</v>
      </c>
      <c r="F120" s="146">
        <v>112.5</v>
      </c>
      <c r="G120" s="146">
        <v>170.0</v>
      </c>
      <c r="H120" s="146">
        <v>447.5</v>
      </c>
      <c r="I120" s="146">
        <f>IFERROR(__xludf.DUMMYFUNCTION("QUERY(IMPORTHTML(C120,""table"",1),""Select Col2,Col3,Col4,Col5 where (Col1='Single')"",0)"),192.5)</f>
        <v>192.5</v>
      </c>
      <c r="J120" s="146">
        <f>IFERROR(__xludf.DUMMYFUNCTION("""COMPUTED_VALUE"""),137.5)</f>
        <v>137.5</v>
      </c>
      <c r="K120" s="146">
        <f>IFERROR(__xludf.DUMMYFUNCTION("""COMPUTED_VALUE"""),182.5)</f>
        <v>182.5</v>
      </c>
      <c r="L120" s="146">
        <f>IFERROR(__xludf.DUMMYFUNCTION("""COMPUTED_VALUE"""),507.5)</f>
        <v>507.5</v>
      </c>
      <c r="M120" s="146"/>
    </row>
    <row r="121">
      <c r="A121" s="131" t="s">
        <v>482</v>
      </c>
      <c r="B121" s="132" t="s">
        <v>483</v>
      </c>
      <c r="C121" s="148" t="str">
        <f t="shared" si="9"/>
        <v>http://openpowerlifting.org/u/RudyMorales</v>
      </c>
      <c r="D121" s="145"/>
      <c r="E121" s="146" t="str">
        <f>IFERROR(__xludf.DUMMYFUNCTION("QUERY(IMPORTHTML(C121,""table"",1),""Select Col2,Col3,Col4,Col5 where (Col1='Raw')"",0)"),"Loading...")</f>
        <v>Loading...</v>
      </c>
      <c r="F121" s="146"/>
      <c r="G121" s="146"/>
      <c r="H121" s="146"/>
      <c r="I121" s="146" t="str">
        <f>IFERROR(__xludf.DUMMYFUNCTION("QUERY(IMPORTHTML(C121,""table"",1),""Select Col2,Col3,Col4,Col5 where (Col1='Single')"",0)"),"Loading...")</f>
        <v>Loading...</v>
      </c>
      <c r="J121" s="146"/>
      <c r="K121" s="146"/>
      <c r="L121" s="146"/>
      <c r="M121" s="146"/>
    </row>
    <row r="122">
      <c r="A122" s="131" t="s">
        <v>53</v>
      </c>
      <c r="B122" s="132" t="s">
        <v>52</v>
      </c>
      <c r="C122" s="148" t="str">
        <f t="shared" si="9"/>
        <v>http://openpowerlifting.org/u/MeganSchroeder</v>
      </c>
      <c r="D122" s="145"/>
      <c r="E122" s="146">
        <v>155.0</v>
      </c>
      <c r="F122" s="146">
        <v>80.0</v>
      </c>
      <c r="G122" s="146">
        <v>182.5</v>
      </c>
      <c r="H122" s="146">
        <v>417.5</v>
      </c>
      <c r="I122" s="146">
        <f>IFERROR(__xludf.DUMMYFUNCTION("QUERY(IMPORTHTML(C122,""table"",1),""Select Col2,Col3,Col4,Col5 where (Col1='Single')"",0)"),210.0)</f>
        <v>210</v>
      </c>
      <c r="J122" s="146">
        <f>IFERROR(__xludf.DUMMYFUNCTION("""COMPUTED_VALUE"""),105.0)</f>
        <v>105</v>
      </c>
      <c r="K122" s="146">
        <f>IFERROR(__xludf.DUMMYFUNCTION("""COMPUTED_VALUE"""),190.0)</f>
        <v>190</v>
      </c>
      <c r="L122" s="146">
        <f>IFERROR(__xludf.DUMMYFUNCTION("""COMPUTED_VALUE"""),505.0)</f>
        <v>505</v>
      </c>
      <c r="M122" s="146"/>
    </row>
    <row r="123">
      <c r="A123" s="131" t="s">
        <v>484</v>
      </c>
      <c r="B123" s="132" t="s">
        <v>485</v>
      </c>
      <c r="C123" s="148" t="str">
        <f t="shared" si="9"/>
        <v>http://openpowerlifting.org/u/SkyleighSears</v>
      </c>
      <c r="D123" s="145"/>
      <c r="E123" s="146">
        <v>152.5</v>
      </c>
      <c r="F123" s="146">
        <v>85.0</v>
      </c>
      <c r="G123" s="146">
        <v>150.0</v>
      </c>
      <c r="H123" s="146">
        <v>387.5</v>
      </c>
      <c r="I123" s="146">
        <f>IFERROR(__xludf.DUMMYFUNCTION("QUERY(IMPORTHTML(C123,""table"",1),""Select Col2,Col3,Col4,Col5 where (Col1='Single')"",0)"),210.0)</f>
        <v>210</v>
      </c>
      <c r="J123" s="146">
        <f>IFERROR(__xludf.DUMMYFUNCTION("""COMPUTED_VALUE"""),112.5)</f>
        <v>112.5</v>
      </c>
      <c r="K123" s="146">
        <f>IFERROR(__xludf.DUMMYFUNCTION("""COMPUTED_VALUE"""),182.5)</f>
        <v>182.5</v>
      </c>
      <c r="L123" s="146">
        <f>IFERROR(__xludf.DUMMYFUNCTION("""COMPUTED_VALUE"""),505.0)</f>
        <v>505</v>
      </c>
      <c r="M123" s="146"/>
    </row>
    <row r="124">
      <c r="A124" s="131" t="s">
        <v>486</v>
      </c>
      <c r="B124" s="132" t="s">
        <v>487</v>
      </c>
      <c r="C124" s="148" t="str">
        <f t="shared" si="9"/>
        <v>http://openpowerlifting.org/u/MackenzieWeaver</v>
      </c>
      <c r="D124" s="145"/>
      <c r="E124" s="146">
        <v>147.5</v>
      </c>
      <c r="F124" s="146">
        <v>95.0</v>
      </c>
      <c r="G124" s="146">
        <v>165.0</v>
      </c>
      <c r="H124" s="146">
        <v>407.5</v>
      </c>
      <c r="I124" s="146">
        <f>IFERROR(__xludf.DUMMYFUNCTION("QUERY(IMPORTHTML(C124,""table"",1),""Select Col2,Col3,Col4,Col5 where (Col1='Single')"",0)"),202.5)</f>
        <v>202.5</v>
      </c>
      <c r="J124" s="146">
        <f>IFERROR(__xludf.DUMMYFUNCTION("""COMPUTED_VALUE"""),120.0)</f>
        <v>120</v>
      </c>
      <c r="K124" s="146">
        <f>IFERROR(__xludf.DUMMYFUNCTION("""COMPUTED_VALUE"""),180.0)</f>
        <v>180</v>
      </c>
      <c r="L124" s="146">
        <f>IFERROR(__xludf.DUMMYFUNCTION("""COMPUTED_VALUE"""),502.5)</f>
        <v>502.5</v>
      </c>
      <c r="M124" s="146"/>
    </row>
    <row r="125">
      <c r="A125" s="131" t="s">
        <v>488</v>
      </c>
      <c r="B125" s="132" t="s">
        <v>489</v>
      </c>
      <c r="C125" s="148" t="str">
        <f t="shared" si="9"/>
        <v>http://openpowerlifting.org/u/MarshallSaludo</v>
      </c>
      <c r="D125" s="145"/>
      <c r="E125" s="146">
        <v>215.0</v>
      </c>
      <c r="F125" s="146">
        <v>120.0</v>
      </c>
      <c r="G125" s="146">
        <v>230.0</v>
      </c>
      <c r="H125" s="146">
        <v>565.0</v>
      </c>
      <c r="I125" s="146" t="str">
        <f>IFERROR(__xludf.DUMMYFUNCTION("QUERY(IMPORTHTML(C125,""table"",1),""Select Col2,Col3,Col4,Col5 where (Col1='Single')"",0)"),"#N/A")</f>
        <v>#N/A</v>
      </c>
      <c r="J125" s="146"/>
      <c r="K125" s="146"/>
      <c r="L125" s="146"/>
      <c r="M125" s="146"/>
    </row>
    <row r="126">
      <c r="A126" s="131" t="s">
        <v>490</v>
      </c>
      <c r="B126" s="132" t="s">
        <v>491</v>
      </c>
      <c r="C126" s="148" t="str">
        <f t="shared" si="9"/>
        <v>http://openpowerlifting.org/u/BrianYan</v>
      </c>
      <c r="D126" s="145"/>
      <c r="E126" s="146" t="str">
        <f>IFERROR(__xludf.DUMMYFUNCTION("QUERY(IMPORTHTML(C126,""table"",1),""Select Col2,Col3,Col4,Col5 where (Col1='Raw')"",0)"),"#N/A")</f>
        <v>#N/A</v>
      </c>
      <c r="F126" s="146"/>
      <c r="G126" s="146"/>
      <c r="H126" s="146"/>
      <c r="I126" s="146" t="str">
        <f>IFERROR(__xludf.DUMMYFUNCTION("QUERY(IMPORTHTML(C126,""table"",1),""Select Col2,Col3,Col4,Col5 where (Col1='Single')"",0)"),"#N/A")</f>
        <v>#N/A</v>
      </c>
      <c r="J126" s="146"/>
      <c r="K126" s="146"/>
      <c r="L126" s="146"/>
      <c r="M126" s="146"/>
    </row>
    <row r="127">
      <c r="A127" s="131" t="s">
        <v>492</v>
      </c>
      <c r="B127" s="132" t="s">
        <v>493</v>
      </c>
      <c r="C127" s="148" t="str">
        <f t="shared" si="9"/>
        <v>http://openpowerlifting.org/u/BethanyPatton</v>
      </c>
      <c r="D127" s="145"/>
      <c r="E127" s="146">
        <f>IFERROR(__xludf.DUMMYFUNCTION("QUERY(IMPORTHTML(C127,""table"",1),""Select Col2,Col3,Col4,Col5 where (Col1='Raw')"",0)"),132.5)</f>
        <v>132.5</v>
      </c>
      <c r="F127" s="146">
        <f>IFERROR(__xludf.DUMMYFUNCTION("""COMPUTED_VALUE"""),77.5)</f>
        <v>77.5</v>
      </c>
      <c r="G127" s="146">
        <f>IFERROR(__xludf.DUMMYFUNCTION("""COMPUTED_VALUE"""),145.0)</f>
        <v>145</v>
      </c>
      <c r="H127" s="146">
        <f>IFERROR(__xludf.DUMMYFUNCTION("""COMPUTED_VALUE"""),355.0)</f>
        <v>355</v>
      </c>
      <c r="I127" s="146">
        <f>IFERROR(__xludf.DUMMYFUNCTION("QUERY(IMPORTHTML(C127,""table"",1),""Select Col2,Col3,Col4,Col5 where (Col1='Single')"",0)"),200.0)</f>
        <v>200</v>
      </c>
      <c r="J127" s="146">
        <f>IFERROR(__xludf.DUMMYFUNCTION("""COMPUTED_VALUE"""),125.0)</f>
        <v>125</v>
      </c>
      <c r="K127" s="146">
        <f>IFERROR(__xludf.DUMMYFUNCTION("""COMPUTED_VALUE"""),170.0)</f>
        <v>170</v>
      </c>
      <c r="L127" s="146">
        <f>IFERROR(__xludf.DUMMYFUNCTION("""COMPUTED_VALUE"""),495.0)</f>
        <v>495</v>
      </c>
      <c r="M127" s="147"/>
    </row>
    <row r="128">
      <c r="A128" s="131" t="s">
        <v>494</v>
      </c>
      <c r="B128" s="132" t="s">
        <v>495</v>
      </c>
      <c r="C128" s="148" t="str">
        <f t="shared" si="9"/>
        <v>http://openpowerlifting.org/u/AlyssaEchazarreta</v>
      </c>
      <c r="D128" s="145"/>
      <c r="E128" s="146">
        <v>165.0</v>
      </c>
      <c r="F128" s="146">
        <v>92.5</v>
      </c>
      <c r="G128" s="146">
        <v>155.0</v>
      </c>
      <c r="H128" s="146">
        <v>412.5</v>
      </c>
      <c r="I128" s="146">
        <f>IFERROR(__xludf.DUMMYFUNCTION("QUERY(IMPORTHTML(C128,""table"",1),""Select Col2,Col3,Col4,Col5 where (Col1='Single')"",0)"),207.5)</f>
        <v>207.5</v>
      </c>
      <c r="J128" s="146">
        <f>IFERROR(__xludf.DUMMYFUNCTION("""COMPUTED_VALUE"""),122.5)</f>
        <v>122.5</v>
      </c>
      <c r="K128" s="146">
        <f>IFERROR(__xludf.DUMMYFUNCTION("""COMPUTED_VALUE"""),162.5)</f>
        <v>162.5</v>
      </c>
      <c r="L128" s="146">
        <f>IFERROR(__xludf.DUMMYFUNCTION("""COMPUTED_VALUE"""),492.5)</f>
        <v>492.5</v>
      </c>
      <c r="M128" s="146"/>
    </row>
    <row r="129">
      <c r="A129" s="131" t="s">
        <v>496</v>
      </c>
      <c r="B129" s="132" t="s">
        <v>497</v>
      </c>
      <c r="C129" s="148" t="str">
        <f t="shared" si="9"/>
        <v>http://openpowerlifting.org/u/ZariahPatterson</v>
      </c>
      <c r="D129" s="145"/>
      <c r="E129" s="146" t="e">
        <v>#N/A</v>
      </c>
      <c r="F129" s="146"/>
      <c r="G129" s="146"/>
      <c r="H129" s="146"/>
      <c r="I129" s="146">
        <f>IFERROR(__xludf.DUMMYFUNCTION("QUERY(IMPORTHTML(C129,""table"",1),""Select Col2,Col3,Col4,Col5 where (Col1='Single')"",0)"),205.0)</f>
        <v>205</v>
      </c>
      <c r="J129" s="146">
        <f>IFERROR(__xludf.DUMMYFUNCTION("""COMPUTED_VALUE"""),110.0)</f>
        <v>110</v>
      </c>
      <c r="K129" s="146">
        <f>IFERROR(__xludf.DUMMYFUNCTION("""COMPUTED_VALUE"""),195.0)</f>
        <v>195</v>
      </c>
      <c r="L129" s="146">
        <f>IFERROR(__xludf.DUMMYFUNCTION("""COMPUTED_VALUE"""),492.5)</f>
        <v>492.5</v>
      </c>
      <c r="M129" s="146"/>
    </row>
    <row r="130">
      <c r="A130" s="131" t="s">
        <v>498</v>
      </c>
      <c r="B130" s="132" t="s">
        <v>499</v>
      </c>
      <c r="C130" s="148" t="str">
        <f t="shared" si="9"/>
        <v>http://openpowerlifting.org/u/JenniferBenavidez</v>
      </c>
      <c r="D130" s="145"/>
      <c r="E130" s="146">
        <v>167.5</v>
      </c>
      <c r="F130" s="146">
        <v>75.0</v>
      </c>
      <c r="G130" s="146">
        <v>190.0</v>
      </c>
      <c r="H130" s="146">
        <v>432.5</v>
      </c>
      <c r="I130" s="146">
        <f>IFERROR(__xludf.DUMMYFUNCTION("QUERY(IMPORTHTML(C130,""table"",1),""Select Col2,Col3,Col4,Col5 where (Col1='Single')"",0)"),205.0)</f>
        <v>205</v>
      </c>
      <c r="J130" s="146">
        <f>IFERROR(__xludf.DUMMYFUNCTION("""COMPUTED_VALUE"""),92.9)</f>
        <v>92.9</v>
      </c>
      <c r="K130" s="146">
        <f>IFERROR(__xludf.DUMMYFUNCTION("""COMPUTED_VALUE"""),192.5)</f>
        <v>192.5</v>
      </c>
      <c r="L130" s="146">
        <f>IFERROR(__xludf.DUMMYFUNCTION("""COMPUTED_VALUE"""),490.0)</f>
        <v>490</v>
      </c>
      <c r="M130" s="146"/>
    </row>
    <row r="131">
      <c r="A131" s="131" t="s">
        <v>500</v>
      </c>
      <c r="B131" s="132" t="s">
        <v>501</v>
      </c>
      <c r="C131" s="148" t="str">
        <f t="shared" si="9"/>
        <v>http://openpowerlifting.org/u/ZanielFlorez</v>
      </c>
      <c r="D131" s="145"/>
      <c r="E131" s="146">
        <v>162.5</v>
      </c>
      <c r="F131" s="146">
        <v>90.0</v>
      </c>
      <c r="G131" s="146">
        <v>192.5</v>
      </c>
      <c r="H131" s="146">
        <v>445.0</v>
      </c>
      <c r="I131" s="146">
        <f>IFERROR(__xludf.DUMMYFUNCTION("QUERY(IMPORTHTML(C131,""table"",1),""Select Col2,Col3,Col4,Col5 where (Col1='Single')"",0)"),200.0)</f>
        <v>200</v>
      </c>
      <c r="J131" s="146">
        <f>IFERROR(__xludf.DUMMYFUNCTION("""COMPUTED_VALUE"""),106.5)</f>
        <v>106.5</v>
      </c>
      <c r="K131" s="146">
        <f>IFERROR(__xludf.DUMMYFUNCTION("""COMPUTED_VALUE"""),185.0)</f>
        <v>185</v>
      </c>
      <c r="L131" s="146">
        <f>IFERROR(__xludf.DUMMYFUNCTION("""COMPUTED_VALUE"""),490.0)</f>
        <v>490</v>
      </c>
      <c r="M131" s="146"/>
    </row>
    <row r="132">
      <c r="A132" s="131" t="s">
        <v>502</v>
      </c>
      <c r="B132" s="132" t="s">
        <v>503</v>
      </c>
      <c r="C132" s="148" t="str">
        <f t="shared" si="9"/>
        <v>http://openpowerlifting.org/u/KarinaMacias</v>
      </c>
      <c r="D132" s="145"/>
      <c r="E132" s="146" t="e">
        <v>#N/A</v>
      </c>
      <c r="F132" s="146"/>
      <c r="G132" s="146"/>
      <c r="H132" s="146"/>
      <c r="I132" s="146">
        <f>IFERROR(__xludf.DUMMYFUNCTION("QUERY(IMPORTHTML(C132,""table"",1),""Select Col2,Col3,Col4,Col5 where (Col1='Single')"",0)"),210.9)</f>
        <v>210.9</v>
      </c>
      <c r="J132" s="146">
        <f>IFERROR(__xludf.DUMMYFUNCTION("""COMPUTED_VALUE"""),87.5)</f>
        <v>87.5</v>
      </c>
      <c r="K132" s="146">
        <f>IFERROR(__xludf.DUMMYFUNCTION("""COMPUTED_VALUE"""),197.5)</f>
        <v>197.5</v>
      </c>
      <c r="L132" s="146">
        <f>IFERROR(__xludf.DUMMYFUNCTION("""COMPUTED_VALUE"""),490.0)</f>
        <v>490</v>
      </c>
      <c r="M132" s="146"/>
    </row>
    <row r="133">
      <c r="A133" s="131" t="s">
        <v>504</v>
      </c>
      <c r="B133" s="132" t="s">
        <v>49</v>
      </c>
      <c r="C133" s="148" t="str">
        <f t="shared" si="9"/>
        <v>http://openpowerlifting.org/u/AlexisMcCarthy</v>
      </c>
      <c r="D133" s="145"/>
      <c r="E133" s="146">
        <v>145.0</v>
      </c>
      <c r="F133" s="146">
        <v>80.0</v>
      </c>
      <c r="G133" s="146">
        <v>157.5</v>
      </c>
      <c r="H133" s="146">
        <v>382.5</v>
      </c>
      <c r="I133" s="146">
        <f>IFERROR(__xludf.DUMMYFUNCTION("QUERY(IMPORTHTML(C133,""table"",1),""Select Col2,Col3,Col4,Col5 where (Col1='Single')"",0)"),205.0)</f>
        <v>205</v>
      </c>
      <c r="J133" s="146">
        <f>IFERROR(__xludf.DUMMYFUNCTION("""COMPUTED_VALUE"""),115.0)</f>
        <v>115</v>
      </c>
      <c r="K133" s="146">
        <f>IFERROR(__xludf.DUMMYFUNCTION("""COMPUTED_VALUE"""),175.0)</f>
        <v>175</v>
      </c>
      <c r="L133" s="146">
        <f>IFERROR(__xludf.DUMMYFUNCTION("""COMPUTED_VALUE"""),490.0)</f>
        <v>490</v>
      </c>
      <c r="M133" s="146"/>
    </row>
    <row r="134">
      <c r="A134" s="131" t="s">
        <v>361</v>
      </c>
      <c r="B134" s="132" t="s">
        <v>505</v>
      </c>
      <c r="C134" s="148" t="str">
        <f t="shared" si="9"/>
        <v>http://openpowerlifting.org/u/AbigailMitchell</v>
      </c>
      <c r="D134" s="145"/>
      <c r="E134" s="146">
        <v>142.5</v>
      </c>
      <c r="F134" s="146">
        <v>80.0</v>
      </c>
      <c r="G134" s="146">
        <v>157.5</v>
      </c>
      <c r="H134" s="146">
        <v>380.0</v>
      </c>
      <c r="I134" s="146">
        <f>IFERROR(__xludf.DUMMYFUNCTION("QUERY(IMPORTHTML(C134,""table"",1),""Select Col2,Col3,Col4,Col5 where (Col1='Single')"",0)"),210.0)</f>
        <v>210</v>
      </c>
      <c r="J134" s="146">
        <f>IFERROR(__xludf.DUMMYFUNCTION("""COMPUTED_VALUE"""),120.0)</f>
        <v>120</v>
      </c>
      <c r="K134" s="146">
        <f>IFERROR(__xludf.DUMMYFUNCTION("""COMPUTED_VALUE"""),163.2)</f>
        <v>163.2</v>
      </c>
      <c r="L134" s="146">
        <f>IFERROR(__xludf.DUMMYFUNCTION("""COMPUTED_VALUE"""),487.5)</f>
        <v>487.5</v>
      </c>
      <c r="M134" s="146"/>
    </row>
    <row r="135">
      <c r="A135" s="131" t="s">
        <v>506</v>
      </c>
      <c r="B135" s="132" t="s">
        <v>507</v>
      </c>
      <c r="C135" s="148" t="str">
        <f t="shared" si="9"/>
        <v>http://openpowerlifting.org/u/CriseldaFacundo</v>
      </c>
      <c r="D135" s="145"/>
      <c r="E135" s="146">
        <v>127.5</v>
      </c>
      <c r="F135" s="146">
        <v>75.0</v>
      </c>
      <c r="G135" s="146">
        <v>175.0</v>
      </c>
      <c r="H135" s="146">
        <v>377.5</v>
      </c>
      <c r="I135" s="146">
        <f>IFERROR(__xludf.DUMMYFUNCTION("QUERY(IMPORTHTML(C135,""table"",1),""Select Col2,Col3,Col4,Col5 where (Col1='Single')"",0)"),190.0)</f>
        <v>190</v>
      </c>
      <c r="J135" s="146">
        <f>IFERROR(__xludf.DUMMYFUNCTION("""COMPUTED_VALUE"""),115.0)</f>
        <v>115</v>
      </c>
      <c r="K135" s="146">
        <f>IFERROR(__xludf.DUMMYFUNCTION("""COMPUTED_VALUE"""),182.5)</f>
        <v>182.5</v>
      </c>
      <c r="L135" s="146">
        <f>IFERROR(__xludf.DUMMYFUNCTION("""COMPUTED_VALUE"""),480.0)</f>
        <v>480</v>
      </c>
      <c r="M135" s="146"/>
    </row>
    <row r="136">
      <c r="A136" s="131" t="s">
        <v>319</v>
      </c>
      <c r="B136" s="132" t="s">
        <v>508</v>
      </c>
      <c r="C136" s="148" t="str">
        <f t="shared" si="9"/>
        <v>http://openpowerlifting.org/u/GabrielChavez</v>
      </c>
      <c r="D136" s="145"/>
      <c r="E136" s="146">
        <v>170.0</v>
      </c>
      <c r="F136" s="146">
        <v>102.5</v>
      </c>
      <c r="G136" s="146">
        <v>205.0</v>
      </c>
      <c r="H136" s="146">
        <v>477.5</v>
      </c>
      <c r="I136" s="146">
        <f>IFERROR(__xludf.DUMMYFUNCTION("QUERY(IMPORTHTML(C136,""table"",1),""Select Col2,Col3,Col4,Col5 where (Col1='Single')"",0)"),317.5)</f>
        <v>317.5</v>
      </c>
      <c r="J136" s="146">
        <f>IFERROR(__xludf.DUMMYFUNCTION("""COMPUTED_VALUE"""),174.6)</f>
        <v>174.6</v>
      </c>
      <c r="K136" s="146">
        <f>IFERROR(__xludf.DUMMYFUNCTION("""COMPUTED_VALUE"""),265.3)</f>
        <v>265.3</v>
      </c>
      <c r="L136" s="146">
        <f>IFERROR(__xludf.DUMMYFUNCTION("""COMPUTED_VALUE"""),750.7)</f>
        <v>750.7</v>
      </c>
      <c r="M136" s="146"/>
    </row>
    <row r="137">
      <c r="A137" s="131" t="s">
        <v>384</v>
      </c>
      <c r="B137" s="132" t="s">
        <v>509</v>
      </c>
      <c r="C137" s="148" t="str">
        <f t="shared" si="9"/>
        <v>http://openpowerlifting.org/u/FelipeGarza</v>
      </c>
      <c r="D137" s="145"/>
      <c r="E137" s="146">
        <v>152.5</v>
      </c>
      <c r="F137" s="146">
        <v>95.0</v>
      </c>
      <c r="G137" s="146">
        <v>175.0</v>
      </c>
      <c r="H137" s="146">
        <v>420.0</v>
      </c>
      <c r="I137" s="146">
        <f>IFERROR(__xludf.DUMMYFUNCTION("QUERY(IMPORTHTML(C137,""table"",1),""Select Col2,Col3,Col4,Col5 where (Col1='Single')"",0)"),183.7)</f>
        <v>183.7</v>
      </c>
      <c r="J137" s="146">
        <f>IFERROR(__xludf.DUMMYFUNCTION("""COMPUTED_VALUE"""),129.2)</f>
        <v>129.2</v>
      </c>
      <c r="K137" s="146">
        <f>IFERROR(__xludf.DUMMYFUNCTION("""COMPUTED_VALUE"""),187.5)</f>
        <v>187.5</v>
      </c>
      <c r="L137" s="146">
        <f>IFERROR(__xludf.DUMMYFUNCTION("""COMPUTED_VALUE"""),494.4)</f>
        <v>494.4</v>
      </c>
      <c r="M137" s="146"/>
    </row>
    <row r="138">
      <c r="A138" s="131" t="s">
        <v>510</v>
      </c>
      <c r="B138" s="132" t="s">
        <v>511</v>
      </c>
      <c r="C138" s="148" t="str">
        <f t="shared" si="9"/>
        <v>http://openpowerlifting.org/u/JonathanGracia</v>
      </c>
      <c r="D138" s="145"/>
      <c r="E138" s="146">
        <v>147.5</v>
      </c>
      <c r="F138" s="146">
        <v>90.0</v>
      </c>
      <c r="G138" s="146">
        <v>195.0</v>
      </c>
      <c r="H138" s="146">
        <v>432.5</v>
      </c>
      <c r="I138" s="146">
        <f>IFERROR(__xludf.DUMMYFUNCTION("QUERY(IMPORTHTML(C138,""table"",1),""Select Col2,Col3,Col4,Col5 where (Col1='Single')"",0)"),177.5)</f>
        <v>177.5</v>
      </c>
      <c r="J138" s="146">
        <f>IFERROR(__xludf.DUMMYFUNCTION("""COMPUTED_VALUE"""),105.0)</f>
        <v>105</v>
      </c>
      <c r="K138" s="146">
        <f>IFERROR(__xludf.DUMMYFUNCTION("""COMPUTED_VALUE"""),197.5)</f>
        <v>197.5</v>
      </c>
      <c r="L138" s="146">
        <f>IFERROR(__xludf.DUMMYFUNCTION("""COMPUTED_VALUE"""),477.5)</f>
        <v>477.5</v>
      </c>
      <c r="M138" s="146"/>
    </row>
    <row r="139">
      <c r="A139" s="131" t="s">
        <v>512</v>
      </c>
      <c r="B139" s="132" t="s">
        <v>513</v>
      </c>
      <c r="C139" s="148" t="str">
        <f t="shared" si="9"/>
        <v>http://openpowerlifting.org/u/ChelseaPrice</v>
      </c>
      <c r="D139" s="145"/>
      <c r="E139" s="146">
        <v>155.0</v>
      </c>
      <c r="F139" s="146">
        <v>77.5</v>
      </c>
      <c r="G139" s="146">
        <v>150.0</v>
      </c>
      <c r="H139" s="146">
        <v>382.5</v>
      </c>
      <c r="I139" s="146">
        <f>IFERROR(__xludf.DUMMYFUNCTION("QUERY(IMPORTHTML(C139,""table"",1),""Select Col2,Col3,Col4,Col5 where (Col1='Single')"",0)"),205.0)</f>
        <v>205</v>
      </c>
      <c r="J139" s="146">
        <f>IFERROR(__xludf.DUMMYFUNCTION("""COMPUTED_VALUE"""),117.5)</f>
        <v>117.5</v>
      </c>
      <c r="K139" s="146">
        <f>IFERROR(__xludf.DUMMYFUNCTION("""COMPUTED_VALUE"""),150.0)</f>
        <v>150</v>
      </c>
      <c r="L139" s="146">
        <f>IFERROR(__xludf.DUMMYFUNCTION("""COMPUTED_VALUE"""),472.5)</f>
        <v>472.5</v>
      </c>
      <c r="M139" s="146"/>
    </row>
    <row r="140">
      <c r="A140" s="131" t="s">
        <v>514</v>
      </c>
      <c r="B140" s="132" t="s">
        <v>515</v>
      </c>
      <c r="C140" s="148" t="str">
        <f t="shared" si="9"/>
        <v>http://openpowerlifting.org/u/KennediButcher</v>
      </c>
      <c r="D140" s="145"/>
      <c r="E140" s="146">
        <v>142.5</v>
      </c>
      <c r="F140" s="146">
        <v>90.0</v>
      </c>
      <c r="G140" s="146">
        <v>162.5</v>
      </c>
      <c r="H140" s="146">
        <v>395.0</v>
      </c>
      <c r="I140" s="146">
        <f>IFERROR(__xludf.DUMMYFUNCTION("QUERY(IMPORTHTML(C140,""table"",1),""Select Col2,Col3,Col4,Col5 where (Col1='Single')"",0)"),195.0)</f>
        <v>195</v>
      </c>
      <c r="J140" s="146">
        <f>IFERROR(__xludf.DUMMYFUNCTION("""COMPUTED_VALUE"""),131.5)</f>
        <v>131.5</v>
      </c>
      <c r="K140" s="146">
        <f>IFERROR(__xludf.DUMMYFUNCTION("""COMPUTED_VALUE"""),188.2)</f>
        <v>188.2</v>
      </c>
      <c r="L140" s="146">
        <f>IFERROR(__xludf.DUMMYFUNCTION("""COMPUTED_VALUE"""),501.2)</f>
        <v>501.2</v>
      </c>
      <c r="M140" s="146"/>
    </row>
    <row r="141">
      <c r="A141" s="131" t="s">
        <v>516</v>
      </c>
      <c r="B141" s="132" t="s">
        <v>294</v>
      </c>
      <c r="C141" s="148" t="str">
        <f t="shared" si="9"/>
        <v>http://openpowerlifting.org/u/PeytonBusteed</v>
      </c>
      <c r="D141" s="145"/>
      <c r="E141" s="146">
        <v>140.0</v>
      </c>
      <c r="F141" s="146">
        <v>75.0</v>
      </c>
      <c r="G141" s="146">
        <v>152.5</v>
      </c>
      <c r="H141" s="146">
        <v>367.5</v>
      </c>
      <c r="I141" s="146">
        <f>IFERROR(__xludf.DUMMYFUNCTION("QUERY(IMPORTHTML(C141,""table"",1),""Select Col2,Col3,Col4,Col5 where (Col1='Single')"",0)"),190.0)</f>
        <v>190</v>
      </c>
      <c r="J141" s="146">
        <f>IFERROR(__xludf.DUMMYFUNCTION("""COMPUTED_VALUE"""),100.0)</f>
        <v>100</v>
      </c>
      <c r="K141" s="146">
        <f>IFERROR(__xludf.DUMMYFUNCTION("""COMPUTED_VALUE"""),180.0)</f>
        <v>180</v>
      </c>
      <c r="L141" s="146">
        <f>IFERROR(__xludf.DUMMYFUNCTION("""COMPUTED_VALUE"""),467.5)</f>
        <v>467.5</v>
      </c>
      <c r="M141" s="146"/>
    </row>
    <row r="142">
      <c r="A142" s="131" t="s">
        <v>31</v>
      </c>
      <c r="B142" s="132" t="s">
        <v>517</v>
      </c>
      <c r="C142" s="148" t="str">
        <f t="shared" si="9"/>
        <v>http://openpowerlifting.org/u/AmeliaDay</v>
      </c>
      <c r="D142" s="145"/>
      <c r="E142" s="146">
        <v>165.0</v>
      </c>
      <c r="F142" s="146">
        <v>80.0</v>
      </c>
      <c r="G142" s="146">
        <v>165.0</v>
      </c>
      <c r="H142" s="146">
        <v>405.0</v>
      </c>
      <c r="I142" s="146">
        <f>IFERROR(__xludf.DUMMYFUNCTION("QUERY(IMPORTHTML(C142,""table"",1),""Select Col2,Col3,Col4,Col5 where (Col1='Single')"",0)"),200.0)</f>
        <v>200</v>
      </c>
      <c r="J142" s="146">
        <f>IFERROR(__xludf.DUMMYFUNCTION("""COMPUTED_VALUE"""),97.5)</f>
        <v>97.5</v>
      </c>
      <c r="K142" s="146">
        <f>IFERROR(__xludf.DUMMYFUNCTION("""COMPUTED_VALUE"""),170.0)</f>
        <v>170</v>
      </c>
      <c r="L142" s="146">
        <f>IFERROR(__xludf.DUMMYFUNCTION("""COMPUTED_VALUE"""),467.5)</f>
        <v>467.5</v>
      </c>
      <c r="M142" s="147"/>
    </row>
    <row r="143">
      <c r="A143" s="131" t="s">
        <v>518</v>
      </c>
      <c r="B143" s="132" t="s">
        <v>495</v>
      </c>
      <c r="C143" s="148" t="str">
        <f t="shared" si="9"/>
        <v>http://openpowerlifting.org/u/AlyssaRamirez</v>
      </c>
      <c r="D143" s="145"/>
      <c r="E143" s="146">
        <v>180.0</v>
      </c>
      <c r="F143" s="146">
        <v>97.5</v>
      </c>
      <c r="G143" s="146">
        <v>190.0</v>
      </c>
      <c r="H143" s="146">
        <v>467.5</v>
      </c>
      <c r="I143" s="146">
        <f>IFERROR(__xludf.DUMMYFUNCTION("QUERY(IMPORTHTML(C143,""table"",1),""Select Col2,Col3,Col4,Col5 where (Col1='Single')"",0)"),215.4)</f>
        <v>215.4</v>
      </c>
      <c r="J143" s="146">
        <f>IFERROR(__xludf.DUMMYFUNCTION("""COMPUTED_VALUE"""),102.0)</f>
        <v>102</v>
      </c>
      <c r="K143" s="146">
        <f>IFERROR(__xludf.DUMMYFUNCTION("""COMPUTED_VALUE"""),201.8)</f>
        <v>201.8</v>
      </c>
      <c r="L143" s="146">
        <f>IFERROR(__xludf.DUMMYFUNCTION("""COMPUTED_VALUE"""),512.5)</f>
        <v>512.5</v>
      </c>
      <c r="M143" s="146"/>
    </row>
    <row r="144">
      <c r="A144" s="131" t="s">
        <v>519</v>
      </c>
      <c r="B144" s="132" t="s">
        <v>309</v>
      </c>
      <c r="C144" s="148" t="str">
        <f t="shared" si="9"/>
        <v>http://openpowerlifting.org/u/HunterVarnado</v>
      </c>
      <c r="D144" s="145"/>
      <c r="E144" s="146" t="e">
        <v>#N/A</v>
      </c>
      <c r="F144" s="146"/>
      <c r="G144" s="146"/>
      <c r="H144" s="146"/>
      <c r="I144" s="146">
        <f>IFERROR(__xludf.DUMMYFUNCTION("QUERY(IMPORTHTML(C144,""table"",1),""Select Col2,Col3,Col4,Col5 where (Col1='Single')"",0)"),162.5)</f>
        <v>162.5</v>
      </c>
      <c r="J144" s="146">
        <f>IFERROR(__xludf.DUMMYFUNCTION("""COMPUTED_VALUE"""),102.5)</f>
        <v>102.5</v>
      </c>
      <c r="K144" s="146">
        <f>IFERROR(__xludf.DUMMYFUNCTION("""COMPUTED_VALUE"""),202.5)</f>
        <v>202.5</v>
      </c>
      <c r="L144" s="146">
        <f>IFERROR(__xludf.DUMMYFUNCTION("""COMPUTED_VALUE"""),467.5)</f>
        <v>467.5</v>
      </c>
      <c r="M144" s="146"/>
    </row>
    <row r="145">
      <c r="A145" s="131" t="s">
        <v>520</v>
      </c>
      <c r="B145" s="132" t="s">
        <v>521</v>
      </c>
      <c r="C145" s="148" t="str">
        <f t="shared" si="9"/>
        <v>http://openpowerlifting.org/u/PatrickFernandez</v>
      </c>
      <c r="D145" s="145"/>
      <c r="E145" s="146">
        <v>162.5</v>
      </c>
      <c r="F145" s="146">
        <v>122.5</v>
      </c>
      <c r="G145" s="146">
        <v>175.0</v>
      </c>
      <c r="H145" s="146">
        <v>460.0</v>
      </c>
      <c r="I145" s="146" t="str">
        <f>IFERROR(__xludf.DUMMYFUNCTION("QUERY(IMPORTHTML(C145,""table"",1),""Select Col2,Col3,Col4,Col5 where (Col1='Single')"",0)"),"#N/A")</f>
        <v>#N/A</v>
      </c>
      <c r="J145" s="146"/>
      <c r="K145" s="146"/>
      <c r="L145" s="146"/>
      <c r="M145" s="146"/>
    </row>
    <row r="146">
      <c r="A146" s="131" t="s">
        <v>522</v>
      </c>
      <c r="B146" s="132" t="s">
        <v>523</v>
      </c>
      <c r="C146" s="148" t="str">
        <f t="shared" si="9"/>
        <v>http://openpowerlifting.org/u/ErickEstrella</v>
      </c>
      <c r="D146" s="145"/>
      <c r="E146" s="146">
        <v>157.5</v>
      </c>
      <c r="F146" s="146">
        <v>105.0</v>
      </c>
      <c r="G146" s="146">
        <v>195.0</v>
      </c>
      <c r="H146" s="146">
        <v>457.5</v>
      </c>
      <c r="I146" s="146">
        <f>IFERROR(__xludf.DUMMYFUNCTION("QUERY(IMPORTHTML(C146,""table"",1),""Select Col2,Col3,Col4,Col5 where (Col1='Single')"",0)"),190.0)</f>
        <v>190</v>
      </c>
      <c r="J146" s="146">
        <f>IFERROR(__xludf.DUMMYFUNCTION("""COMPUTED_VALUE"""),112.5)</f>
        <v>112.5</v>
      </c>
      <c r="K146" s="146">
        <f>IFERROR(__xludf.DUMMYFUNCTION("""COMPUTED_VALUE"""),190.0)</f>
        <v>190</v>
      </c>
      <c r="L146" s="146">
        <f>IFERROR(__xludf.DUMMYFUNCTION("""COMPUTED_VALUE"""),492.5)</f>
        <v>492.5</v>
      </c>
      <c r="M146" s="146"/>
    </row>
    <row r="147">
      <c r="A147" s="131" t="s">
        <v>471</v>
      </c>
      <c r="B147" s="132" t="s">
        <v>524</v>
      </c>
      <c r="C147" s="148" t="str">
        <f t="shared" si="9"/>
        <v>http://openpowerlifting.org/u/CaraGarcia</v>
      </c>
      <c r="D147" s="145"/>
      <c r="E147" s="146">
        <v>112.5</v>
      </c>
      <c r="F147" s="146">
        <v>65.0</v>
      </c>
      <c r="G147" s="146">
        <v>145.0</v>
      </c>
      <c r="H147" s="146">
        <v>322.5</v>
      </c>
      <c r="I147" s="146">
        <f>IFERROR(__xludf.DUMMYFUNCTION("QUERY(IMPORTHTML(C147,""table"",1),""Select Col2,Col3,Col4,Col5 where (Col1='Single')"",0)"),177.5)</f>
        <v>177.5</v>
      </c>
      <c r="J147" s="146">
        <f>IFERROR(__xludf.DUMMYFUNCTION("""COMPUTED_VALUE"""),105.0)</f>
        <v>105</v>
      </c>
      <c r="K147" s="146">
        <f>IFERROR(__xludf.DUMMYFUNCTION("""COMPUTED_VALUE"""),177.5)</f>
        <v>177.5</v>
      </c>
      <c r="L147" s="146">
        <f>IFERROR(__xludf.DUMMYFUNCTION("""COMPUTED_VALUE"""),457.5)</f>
        <v>457.5</v>
      </c>
      <c r="M147" s="146"/>
    </row>
    <row r="148">
      <c r="A148" s="131" t="s">
        <v>525</v>
      </c>
      <c r="B148" s="132" t="s">
        <v>526</v>
      </c>
      <c r="C148" s="148" t="str">
        <f t="shared" si="9"/>
        <v>http://openpowerlifting.org/u/TrinityRuiz</v>
      </c>
      <c r="D148" s="145"/>
      <c r="E148" s="146" t="str">
        <f>IFERROR(__xludf.DUMMYFUNCTION("QUERY(IMPORTHTML(C148,""table"",1),""Select Col2,Col3,Col4,Col5 where (Col1='Raw')"",0)"),"Loading...")</f>
        <v>Loading...</v>
      </c>
      <c r="F148" s="146"/>
      <c r="G148" s="146"/>
      <c r="H148" s="146"/>
      <c r="I148" s="146" t="str">
        <f>IFERROR(__xludf.DUMMYFUNCTION("QUERY(IMPORTHTML(C148,""table"",1),""Select Col2,Col3,Col4,Col5 where (Col1='Single')"",0)"),"Loading...")</f>
        <v>Loading...</v>
      </c>
      <c r="J148" s="146"/>
      <c r="K148" s="146"/>
      <c r="L148" s="146"/>
      <c r="M148" s="146"/>
    </row>
    <row r="149">
      <c r="A149" s="131" t="s">
        <v>527</v>
      </c>
      <c r="B149" s="132" t="s">
        <v>528</v>
      </c>
      <c r="C149" s="148" t="str">
        <f t="shared" si="9"/>
        <v>http://openpowerlifting.org/u/BennettWelch</v>
      </c>
      <c r="D149" s="145"/>
      <c r="E149" s="146">
        <v>132.5</v>
      </c>
      <c r="F149" s="146">
        <v>62.5</v>
      </c>
      <c r="G149" s="146">
        <v>162.5</v>
      </c>
      <c r="H149" s="146">
        <v>335.0</v>
      </c>
      <c r="I149" s="146">
        <f>IFERROR(__xludf.DUMMYFUNCTION("QUERY(IMPORTHTML(C149,""table"",1),""Select Col2,Col3,Col4,Col5 where (Col1='Single')"",0)"),181.4)</f>
        <v>181.4</v>
      </c>
      <c r="J149" s="146">
        <f>IFERROR(__xludf.DUMMYFUNCTION("""COMPUTED_VALUE"""),107.5)</f>
        <v>107.5</v>
      </c>
      <c r="K149" s="146">
        <f>IFERROR(__xludf.DUMMYFUNCTION("""COMPUTED_VALUE"""),181.4)</f>
        <v>181.4</v>
      </c>
      <c r="L149" s="146">
        <f>IFERROR(__xludf.DUMMYFUNCTION("""COMPUTED_VALUE"""),453.5)</f>
        <v>453.5</v>
      </c>
      <c r="M149" s="146"/>
    </row>
    <row r="150">
      <c r="A150" s="131" t="s">
        <v>529</v>
      </c>
      <c r="B150" s="132" t="s">
        <v>530</v>
      </c>
      <c r="C150" s="148" t="str">
        <f t="shared" si="9"/>
        <v>http://openpowerlifting.org/u/ThelmaAndrews</v>
      </c>
      <c r="D150" s="145"/>
      <c r="E150" s="146">
        <v>137.5</v>
      </c>
      <c r="F150" s="146">
        <v>72.5</v>
      </c>
      <c r="G150" s="146">
        <v>167.5</v>
      </c>
      <c r="H150" s="146">
        <v>377.5</v>
      </c>
      <c r="I150" s="146">
        <f>IFERROR(__xludf.DUMMYFUNCTION("QUERY(IMPORTHTML(C150,""table"",1),""Select Col2,Col3,Col4,Col5 where (Col1='Single')"",0)"),175.0)</f>
        <v>175</v>
      </c>
      <c r="J150" s="146">
        <f>IFERROR(__xludf.DUMMYFUNCTION("""COMPUTED_VALUE"""),107.5)</f>
        <v>107.5</v>
      </c>
      <c r="K150" s="146">
        <f>IFERROR(__xludf.DUMMYFUNCTION("""COMPUTED_VALUE"""),165.0)</f>
        <v>165</v>
      </c>
      <c r="L150" s="146">
        <f>IFERROR(__xludf.DUMMYFUNCTION("""COMPUTED_VALUE"""),445.0)</f>
        <v>445</v>
      </c>
      <c r="M150" s="146"/>
    </row>
    <row r="151">
      <c r="A151" s="131" t="s">
        <v>531</v>
      </c>
      <c r="B151" s="132" t="s">
        <v>532</v>
      </c>
      <c r="C151" s="148" t="str">
        <f t="shared" si="9"/>
        <v>http://openpowerlifting.org/u/DanielleBarrera</v>
      </c>
      <c r="D151" s="145"/>
      <c r="E151" s="146">
        <v>152.5</v>
      </c>
      <c r="F151" s="146">
        <v>75.0</v>
      </c>
      <c r="G151" s="146">
        <v>165.0</v>
      </c>
      <c r="H151" s="146">
        <v>392.5</v>
      </c>
      <c r="I151" s="146">
        <f>IFERROR(__xludf.DUMMYFUNCTION("QUERY(IMPORTHTML(C151,""table"",1),""Select Col2,Col3,Col4,Col5 where (Col1='Single')"",0)"),187.5)</f>
        <v>187.5</v>
      </c>
      <c r="J151" s="146">
        <f>IFERROR(__xludf.DUMMYFUNCTION("""COMPUTED_VALUE"""),90.0)</f>
        <v>90</v>
      </c>
      <c r="K151" s="146">
        <f>IFERROR(__xludf.DUMMYFUNCTION("""COMPUTED_VALUE"""),167.5)</f>
        <v>167.5</v>
      </c>
      <c r="L151" s="146">
        <f>IFERROR(__xludf.DUMMYFUNCTION("""COMPUTED_VALUE"""),445.0)</f>
        <v>445</v>
      </c>
      <c r="M151" s="146"/>
    </row>
    <row r="152">
      <c r="A152" s="131" t="s">
        <v>533</v>
      </c>
      <c r="B152" s="132" t="s">
        <v>457</v>
      </c>
      <c r="C152" s="148" t="str">
        <f t="shared" si="9"/>
        <v>http://openpowerlifting.org/u/JamesBush</v>
      </c>
      <c r="D152" s="145"/>
      <c r="E152" s="146" t="e">
        <v>#N/A</v>
      </c>
      <c r="F152" s="146"/>
      <c r="G152" s="146"/>
      <c r="H152" s="146"/>
      <c r="I152" s="146">
        <f>IFERROR(__xludf.DUMMYFUNCTION("QUERY(IMPORTHTML(C152,""table"",1),""Select Col2,Col3,Col4,Col5 where (Col1='Single')"",0)"),162.5)</f>
        <v>162.5</v>
      </c>
      <c r="J152" s="146">
        <f>IFERROR(__xludf.DUMMYFUNCTION("""COMPUTED_VALUE"""),90.0)</f>
        <v>90</v>
      </c>
      <c r="K152" s="146">
        <f>IFERROR(__xludf.DUMMYFUNCTION("""COMPUTED_VALUE"""),192.5)</f>
        <v>192.5</v>
      </c>
      <c r="L152" s="146">
        <f>IFERROR(__xludf.DUMMYFUNCTION("""COMPUTED_VALUE"""),445.0)</f>
        <v>445</v>
      </c>
      <c r="M152" s="147"/>
    </row>
    <row r="153">
      <c r="A153" s="131" t="s">
        <v>534</v>
      </c>
      <c r="B153" s="132" t="s">
        <v>535</v>
      </c>
      <c r="C153" s="148" t="str">
        <f t="shared" si="9"/>
        <v>http://openpowerlifting.org/u/DevanhiLozano</v>
      </c>
      <c r="D153" s="145"/>
      <c r="E153" s="146" t="str">
        <f>IFERROR(__xludf.DUMMYFUNCTION("QUERY(IMPORTHTML(C153,""table"",1),""Select Col2,Col3,Col4,Col5 where (Col1='Raw')"",0)"),"")</f>
        <v/>
      </c>
      <c r="F153" s="146">
        <f>IFERROR(__xludf.DUMMYFUNCTION("""COMPUTED_VALUE"""),90.0)</f>
        <v>90</v>
      </c>
      <c r="G153" s="146"/>
      <c r="H153" s="146"/>
      <c r="I153" s="146">
        <f>IFERROR(__xludf.DUMMYFUNCTION("QUERY(IMPORTHTML(C153,""table"",1),""Select Col2,Col3,Col4,Col5 where (Col1='Single')"",0)"),197.5)</f>
        <v>197.5</v>
      </c>
      <c r="J153" s="146">
        <f>IFERROR(__xludf.DUMMYFUNCTION("""COMPUTED_VALUE"""),102.5)</f>
        <v>102.5</v>
      </c>
      <c r="K153" s="146">
        <f>IFERROR(__xludf.DUMMYFUNCTION("""COMPUTED_VALUE"""),149.6)</f>
        <v>149.6</v>
      </c>
      <c r="L153" s="146">
        <f>IFERROR(__xludf.DUMMYFUNCTION("""COMPUTED_VALUE"""),445.0)</f>
        <v>445</v>
      </c>
      <c r="M153" s="147"/>
    </row>
    <row r="154">
      <c r="A154" s="131" t="s">
        <v>378</v>
      </c>
      <c r="B154" s="132" t="s">
        <v>536</v>
      </c>
      <c r="C154" s="148" t="str">
        <f t="shared" si="9"/>
        <v>http://openpowerlifting.org/u/EvaScott</v>
      </c>
      <c r="D154" s="145"/>
      <c r="E154" s="146" t="e">
        <v>#N/A</v>
      </c>
      <c r="F154" s="146"/>
      <c r="G154" s="146"/>
      <c r="H154" s="146"/>
      <c r="I154" s="146">
        <f>IFERROR(__xludf.DUMMYFUNCTION("QUERY(IMPORTHTML(C154,""table"",1),""Select Col2,Col3,Col4,Col5 where (Col1='Single')"",0)"),183.7)</f>
        <v>183.7</v>
      </c>
      <c r="J154" s="146">
        <f>IFERROR(__xludf.DUMMYFUNCTION("""COMPUTED_VALUE"""),105.0)</f>
        <v>105</v>
      </c>
      <c r="K154" s="146">
        <f>IFERROR(__xludf.DUMMYFUNCTION("""COMPUTED_VALUE"""),157.5)</f>
        <v>157.5</v>
      </c>
      <c r="L154" s="146">
        <f>IFERROR(__xludf.DUMMYFUNCTION("""COMPUTED_VALUE"""),445.0)</f>
        <v>445</v>
      </c>
      <c r="M154" s="146"/>
    </row>
    <row r="155">
      <c r="A155" s="131" t="s">
        <v>92</v>
      </c>
      <c r="B155" s="132" t="s">
        <v>91</v>
      </c>
      <c r="C155" s="148" t="str">
        <f t="shared" si="9"/>
        <v>http://openpowerlifting.org/u/CeliaWhite</v>
      </c>
      <c r="D155" s="145"/>
      <c r="E155" s="146">
        <v>127.5</v>
      </c>
      <c r="F155" s="146">
        <v>77.5</v>
      </c>
      <c r="G155" s="146">
        <v>150.0</v>
      </c>
      <c r="H155" s="146">
        <v>355.0</v>
      </c>
      <c r="I155" s="146">
        <f>IFERROR(__xludf.DUMMYFUNCTION("QUERY(IMPORTHTML(C155,""table"",1),""Select Col2,Col3,Col4,Col5 where (Col1='Single')"",0)"),180.0)</f>
        <v>180</v>
      </c>
      <c r="J155" s="146">
        <f>IFERROR(__xludf.DUMMYFUNCTION("""COMPUTED_VALUE"""),110.0)</f>
        <v>110</v>
      </c>
      <c r="K155" s="146">
        <f>IFERROR(__xludf.DUMMYFUNCTION("""COMPUTED_VALUE"""),155.0)</f>
        <v>155</v>
      </c>
      <c r="L155" s="146">
        <f>IFERROR(__xludf.DUMMYFUNCTION("""COMPUTED_VALUE"""),445.0)</f>
        <v>445</v>
      </c>
      <c r="M155" s="146"/>
    </row>
    <row r="156">
      <c r="A156" s="131" t="s">
        <v>537</v>
      </c>
      <c r="B156" s="132" t="s">
        <v>468</v>
      </c>
      <c r="C156" s="148" t="str">
        <f t="shared" si="9"/>
        <v>http://openpowerlifting.org/u/MarissaOlvera</v>
      </c>
      <c r="D156" s="145"/>
      <c r="E156" s="146">
        <v>137.5</v>
      </c>
      <c r="F156" s="146">
        <v>77.5</v>
      </c>
      <c r="G156" s="146">
        <v>150.0</v>
      </c>
      <c r="H156" s="146">
        <v>360.0</v>
      </c>
      <c r="I156" s="146">
        <f>IFERROR(__xludf.DUMMYFUNCTION("QUERY(IMPORTHTML(C156,""table"",1),""Select Col2,Col3,Col4,Col5 where (Col1='Single')"",0)"),185.0)</f>
        <v>185</v>
      </c>
      <c r="J156" s="146">
        <f>IFERROR(__xludf.DUMMYFUNCTION("""COMPUTED_VALUE"""),105.0)</f>
        <v>105</v>
      </c>
      <c r="K156" s="146">
        <f>IFERROR(__xludf.DUMMYFUNCTION("""COMPUTED_VALUE"""),152.5)</f>
        <v>152.5</v>
      </c>
      <c r="L156" s="146">
        <f>IFERROR(__xludf.DUMMYFUNCTION("""COMPUTED_VALUE"""),442.5)</f>
        <v>442.5</v>
      </c>
      <c r="M156" s="146"/>
    </row>
    <row r="157">
      <c r="A157" s="131" t="s">
        <v>538</v>
      </c>
      <c r="B157" s="132" t="s">
        <v>539</v>
      </c>
      <c r="C157" s="148" t="str">
        <f t="shared" si="9"/>
        <v>http://openpowerlifting.org/u/XacariaClark</v>
      </c>
      <c r="D157" s="145"/>
      <c r="E157" s="146">
        <v>135.0</v>
      </c>
      <c r="F157" s="146">
        <v>72.5</v>
      </c>
      <c r="G157" s="146">
        <v>165.0</v>
      </c>
      <c r="H157" s="146">
        <v>372.5</v>
      </c>
      <c r="I157" s="146">
        <f>IFERROR(__xludf.DUMMYFUNCTION("QUERY(IMPORTHTML(C157,""table"",1),""Select Col2,Col3,Col4,Col5 where (Col1='Single')"",0)"),170.0)</f>
        <v>170</v>
      </c>
      <c r="J157" s="146">
        <f>IFERROR(__xludf.DUMMYFUNCTION("""COMPUTED_VALUE"""),87.5)</f>
        <v>87.5</v>
      </c>
      <c r="K157" s="146">
        <f>IFERROR(__xludf.DUMMYFUNCTION("""COMPUTED_VALUE"""),182.5)</f>
        <v>182.5</v>
      </c>
      <c r="L157" s="146">
        <f>IFERROR(__xludf.DUMMYFUNCTION("""COMPUTED_VALUE"""),440.0)</f>
        <v>440</v>
      </c>
      <c r="M157" s="146"/>
    </row>
    <row r="158">
      <c r="A158" s="131" t="s">
        <v>102</v>
      </c>
      <c r="B158" s="132" t="s">
        <v>101</v>
      </c>
      <c r="C158" s="148" t="str">
        <f t="shared" si="9"/>
        <v>http://openpowerlifting.org/u/AnnaMueller</v>
      </c>
      <c r="D158" s="145"/>
      <c r="E158" s="146">
        <v>145.0</v>
      </c>
      <c r="F158" s="146">
        <v>67.5</v>
      </c>
      <c r="G158" s="146">
        <v>175.0</v>
      </c>
      <c r="H158" s="146">
        <v>380.0</v>
      </c>
      <c r="I158" s="146">
        <f>IFERROR(__xludf.DUMMYFUNCTION("QUERY(IMPORTHTML(C158,""table"",1),""Select Col2,Col3,Col4,Col5 where (Col1='Single')"",0)"),185.0)</f>
        <v>185</v>
      </c>
      <c r="J158" s="146">
        <f>IFERROR(__xludf.DUMMYFUNCTION("""COMPUTED_VALUE"""),92.5)</f>
        <v>92.5</v>
      </c>
      <c r="K158" s="146">
        <f>IFERROR(__xludf.DUMMYFUNCTION("""COMPUTED_VALUE"""),162.5)</f>
        <v>162.5</v>
      </c>
      <c r="L158" s="146">
        <f>IFERROR(__xludf.DUMMYFUNCTION("""COMPUTED_VALUE"""),440.0)</f>
        <v>440</v>
      </c>
      <c r="M158" s="146"/>
    </row>
    <row r="159">
      <c r="A159" s="131" t="s">
        <v>541</v>
      </c>
      <c r="B159" s="132" t="s">
        <v>542</v>
      </c>
      <c r="C159" s="145" t="str">
        <f t="shared" si="9"/>
        <v>http://openpowerlifting.org/u/John PaulAcosta</v>
      </c>
      <c r="D159" s="145"/>
      <c r="E159" s="146" t="str">
        <f>IFERROR(__xludf.DUMMYFUNCTION("QUERY(IMPORTHTML(C159,""table"",1),""Select Col2,Col3,Col4,Col5 where (Col1='Raw')"",0)"),"#N/A")</f>
        <v>#N/A</v>
      </c>
      <c r="F159" s="146"/>
      <c r="G159" s="146"/>
      <c r="H159" s="146"/>
      <c r="I159" s="146" t="str">
        <f>IFERROR(__xludf.DUMMYFUNCTION("QUERY(IMPORTHTML(C159,""table"",1),""Select Col2,Col3,Col4,Col5 where (Col1='Single')"",0)"),"#N/A")</f>
        <v>#N/A</v>
      </c>
      <c r="J159" s="146"/>
      <c r="K159" s="146"/>
      <c r="L159" s="146"/>
      <c r="M159" s="146"/>
    </row>
    <row r="160">
      <c r="A160" s="131" t="s">
        <v>543</v>
      </c>
      <c r="B160" s="132" t="s">
        <v>544</v>
      </c>
      <c r="C160" s="148" t="str">
        <f t="shared" si="9"/>
        <v>http://openpowerlifting.org/u/GabrielaCantu</v>
      </c>
      <c r="D160" s="145"/>
      <c r="E160" s="146">
        <v>160.0</v>
      </c>
      <c r="F160" s="146">
        <v>80.0</v>
      </c>
      <c r="G160" s="146">
        <v>160.0</v>
      </c>
      <c r="H160" s="146">
        <v>400.0</v>
      </c>
      <c r="I160" s="146">
        <f>IFERROR(__xludf.DUMMYFUNCTION("QUERY(IMPORTHTML(C160,""table"",1),""Select Col2,Col3,Col4,Col5 where (Col1='Single')"",0)"),180.0)</f>
        <v>180</v>
      </c>
      <c r="J160" s="146">
        <f>IFERROR(__xludf.DUMMYFUNCTION("""COMPUTED_VALUE"""),102.5)</f>
        <v>102.5</v>
      </c>
      <c r="K160" s="146">
        <f>IFERROR(__xludf.DUMMYFUNCTION("""COMPUTED_VALUE"""),152.5)</f>
        <v>152.5</v>
      </c>
      <c r="L160" s="146">
        <f>IFERROR(__xludf.DUMMYFUNCTION("""COMPUTED_VALUE"""),435.0)</f>
        <v>435</v>
      </c>
      <c r="M160" s="146"/>
    </row>
    <row r="161">
      <c r="A161" s="131" t="s">
        <v>545</v>
      </c>
      <c r="B161" s="132" t="s">
        <v>49</v>
      </c>
      <c r="C161" s="148" t="str">
        <f t="shared" si="9"/>
        <v>http://openpowerlifting.org/u/AlexisAlford</v>
      </c>
      <c r="D161" s="145"/>
      <c r="E161" s="146" t="e">
        <v>#N/A</v>
      </c>
      <c r="F161" s="146"/>
      <c r="G161" s="146"/>
      <c r="H161" s="146"/>
      <c r="I161" s="146">
        <f>IFERROR(__xludf.DUMMYFUNCTION("QUERY(IMPORTHTML(C161,""table"",1),""Select Col2,Col3,Col4,Col5 where (Col1='Single')"",0)"),165.0)</f>
        <v>165</v>
      </c>
      <c r="J161" s="146">
        <f>IFERROR(__xludf.DUMMYFUNCTION("""COMPUTED_VALUE"""),97.5)</f>
        <v>97.5</v>
      </c>
      <c r="K161" s="146">
        <f>IFERROR(__xludf.DUMMYFUNCTION("""COMPUTED_VALUE"""),170.0)</f>
        <v>170</v>
      </c>
      <c r="L161" s="146">
        <f>IFERROR(__xludf.DUMMYFUNCTION("""COMPUTED_VALUE"""),432.5)</f>
        <v>432.5</v>
      </c>
      <c r="M161" s="147"/>
    </row>
    <row r="162">
      <c r="A162" s="131" t="s">
        <v>546</v>
      </c>
      <c r="B162" s="132" t="s">
        <v>547</v>
      </c>
      <c r="C162" s="148" t="str">
        <f t="shared" si="9"/>
        <v>http://openpowerlifting.org/u/JaneeKovacs</v>
      </c>
      <c r="D162" s="145"/>
      <c r="E162" s="146">
        <v>147.5</v>
      </c>
      <c r="F162" s="146">
        <v>87.5</v>
      </c>
      <c r="G162" s="146">
        <v>197.5</v>
      </c>
      <c r="H162" s="146">
        <v>432.5</v>
      </c>
      <c r="I162" s="146">
        <f>IFERROR(__xludf.DUMMYFUNCTION("QUERY(IMPORTHTML(C162,""table"",1),""Select Col2,Col3,Col4,Col5 where (Col1='Single')"",0)"),182.5)</f>
        <v>182.5</v>
      </c>
      <c r="J162" s="146">
        <f>IFERROR(__xludf.DUMMYFUNCTION("""COMPUTED_VALUE"""),85.0)</f>
        <v>85</v>
      </c>
      <c r="K162" s="146">
        <f>IFERROR(__xludf.DUMMYFUNCTION("""COMPUTED_VALUE"""),180.0)</f>
        <v>180</v>
      </c>
      <c r="L162" s="146">
        <f>IFERROR(__xludf.DUMMYFUNCTION("""COMPUTED_VALUE"""),447.5)</f>
        <v>447.5</v>
      </c>
      <c r="M162" s="146"/>
    </row>
    <row r="163">
      <c r="A163" s="131" t="s">
        <v>548</v>
      </c>
      <c r="B163" s="132" t="s">
        <v>549</v>
      </c>
      <c r="C163" s="148" t="str">
        <f t="shared" si="9"/>
        <v>http://openpowerlifting.org/u/AlexandraSanders</v>
      </c>
      <c r="D163" s="145"/>
      <c r="E163" s="146">
        <v>115.7</v>
      </c>
      <c r="F163" s="146">
        <v>52.5</v>
      </c>
      <c r="G163" s="146">
        <v>155.0</v>
      </c>
      <c r="H163" s="146">
        <v>315.3</v>
      </c>
      <c r="I163" s="146">
        <f>IFERROR(__xludf.DUMMYFUNCTION("QUERY(IMPORTHTML(C163,""table"",1),""Select Col2,Col3,Col4,Col5 where (Col1='Single')"",0)"),177.5)</f>
        <v>177.5</v>
      </c>
      <c r="J163" s="146">
        <f>IFERROR(__xludf.DUMMYFUNCTION("""COMPUTED_VALUE"""),97.5)</f>
        <v>97.5</v>
      </c>
      <c r="K163" s="146">
        <f>IFERROR(__xludf.DUMMYFUNCTION("""COMPUTED_VALUE"""),158.8)</f>
        <v>158.8</v>
      </c>
      <c r="L163" s="146">
        <f>IFERROR(__xludf.DUMMYFUNCTION("""COMPUTED_VALUE"""),432.5)</f>
        <v>432.5</v>
      </c>
      <c r="M163" s="146"/>
    </row>
    <row r="164">
      <c r="A164" s="131" t="s">
        <v>543</v>
      </c>
      <c r="B164" s="132" t="s">
        <v>550</v>
      </c>
      <c r="C164" s="148" t="str">
        <f t="shared" si="9"/>
        <v>http://openpowerlifting.org/u/LeahCantu</v>
      </c>
      <c r="D164" s="145"/>
      <c r="E164" s="146" t="e">
        <v>#N/A</v>
      </c>
      <c r="F164" s="146"/>
      <c r="G164" s="146"/>
      <c r="H164" s="146"/>
      <c r="I164" s="146">
        <f>IFERROR(__xludf.DUMMYFUNCTION("QUERY(IMPORTHTML(C164,""table"",1),""Select Col2,Col3,Col4,Col5 where (Col1='Single')"",0)"),187.5)</f>
        <v>187.5</v>
      </c>
      <c r="J164" s="146">
        <f>IFERROR(__xludf.DUMMYFUNCTION("""COMPUTED_VALUE"""),122.4)</f>
        <v>122.4</v>
      </c>
      <c r="K164" s="146">
        <f>IFERROR(__xludf.DUMMYFUNCTION("""COMPUTED_VALUE"""),151.9)</f>
        <v>151.9</v>
      </c>
      <c r="L164" s="146">
        <f>IFERROR(__xludf.DUMMYFUNCTION("""COMPUTED_VALUE"""),453.5)</f>
        <v>453.5</v>
      </c>
      <c r="M164" s="146"/>
    </row>
    <row r="165">
      <c r="A165" s="131" t="s">
        <v>551</v>
      </c>
      <c r="B165" s="132" t="s">
        <v>552</v>
      </c>
      <c r="C165" s="148" t="str">
        <f t="shared" si="9"/>
        <v>http://openpowerlifting.org/u/JiyaEdwards</v>
      </c>
      <c r="D165" s="145"/>
      <c r="E165" s="146" t="str">
        <f>IFERROR(__xludf.DUMMYFUNCTION("QUERY(IMPORTHTML(C165,""table"",1),""Select Col2,Col3,Col4,Col5 where (Col1='Raw')"",0)"),"#N/A")</f>
        <v>#N/A</v>
      </c>
      <c r="F165" s="146"/>
      <c r="G165" s="146"/>
      <c r="H165" s="146"/>
      <c r="I165" s="146">
        <f>IFERROR(__xludf.DUMMYFUNCTION("QUERY(IMPORTHTML(C165,""table"",1),""Select Col2,Col3,Col4,Col5 where (Col1='Single')"",0)"),167.5)</f>
        <v>167.5</v>
      </c>
      <c r="J165" s="146">
        <f>IFERROR(__xludf.DUMMYFUNCTION("""COMPUTED_VALUE"""),86.1)</f>
        <v>86.1</v>
      </c>
      <c r="K165" s="146">
        <f>IFERROR(__xludf.DUMMYFUNCTION("""COMPUTED_VALUE"""),172.5)</f>
        <v>172.5</v>
      </c>
      <c r="L165" s="146">
        <f>IFERROR(__xludf.DUMMYFUNCTION("""COMPUTED_VALUE"""),422.5)</f>
        <v>422.5</v>
      </c>
      <c r="M165" s="147"/>
    </row>
    <row r="166">
      <c r="A166" s="131" t="s">
        <v>553</v>
      </c>
      <c r="B166" s="132" t="s">
        <v>554</v>
      </c>
      <c r="C166" s="148" t="str">
        <f t="shared" si="9"/>
        <v>http://openpowerlifting.org/u/SavannahYork</v>
      </c>
      <c r="D166" s="145"/>
      <c r="E166" s="146">
        <v>142.5</v>
      </c>
      <c r="F166" s="146">
        <v>90.0</v>
      </c>
      <c r="G166" s="146">
        <v>155.0</v>
      </c>
      <c r="H166" s="146">
        <v>387.5</v>
      </c>
      <c r="I166" s="146">
        <f>IFERROR(__xludf.DUMMYFUNCTION("QUERY(IMPORTHTML(C166,""table"",1),""Select Col2,Col3,Col4,Col5 where (Col1='Single')"",0)"),170.0)</f>
        <v>170</v>
      </c>
      <c r="J166" s="146">
        <f>IFERROR(__xludf.DUMMYFUNCTION("""COMPUTED_VALUE"""),97.5)</f>
        <v>97.5</v>
      </c>
      <c r="K166" s="146">
        <f>IFERROR(__xludf.DUMMYFUNCTION("""COMPUTED_VALUE"""),155.0)</f>
        <v>155</v>
      </c>
      <c r="L166" s="146">
        <f>IFERROR(__xludf.DUMMYFUNCTION("""COMPUTED_VALUE"""),422.5)</f>
        <v>422.5</v>
      </c>
      <c r="M166" s="146"/>
    </row>
    <row r="167">
      <c r="A167" s="131" t="s">
        <v>555</v>
      </c>
      <c r="B167" s="132" t="s">
        <v>554</v>
      </c>
      <c r="C167" s="148" t="str">
        <f t="shared" si="9"/>
        <v>http://openpowerlifting.org/u/SavannahMcDougall</v>
      </c>
      <c r="D167" s="145"/>
      <c r="E167" s="146">
        <v>122.5</v>
      </c>
      <c r="F167" s="146">
        <v>57.5</v>
      </c>
      <c r="G167" s="146">
        <v>157.5</v>
      </c>
      <c r="H167" s="146">
        <v>337.5</v>
      </c>
      <c r="I167" s="146">
        <f>IFERROR(__xludf.DUMMYFUNCTION("QUERY(IMPORTHTML(C167,""table"",1),""Select Col2,Col3,Col4,Col5 where (Col1='Single')"",0)"),180.0)</f>
        <v>180</v>
      </c>
      <c r="J167" s="146">
        <f>IFERROR(__xludf.DUMMYFUNCTION("""COMPUTED_VALUE"""),74.8)</f>
        <v>74.8</v>
      </c>
      <c r="K167" s="146">
        <f>IFERROR(__xludf.DUMMYFUNCTION("""COMPUTED_VALUE"""),182.5)</f>
        <v>182.5</v>
      </c>
      <c r="L167" s="146">
        <f>IFERROR(__xludf.DUMMYFUNCTION("""COMPUTED_VALUE"""),427.5)</f>
        <v>427.5</v>
      </c>
      <c r="M167" s="146"/>
    </row>
    <row r="168">
      <c r="A168" s="131" t="s">
        <v>556</v>
      </c>
      <c r="B168" s="132" t="s">
        <v>557</v>
      </c>
      <c r="C168" s="148" t="str">
        <f t="shared" si="9"/>
        <v>http://openpowerlifting.org/u/StephannySabril</v>
      </c>
      <c r="D168" s="145"/>
      <c r="E168" s="146">
        <v>112.5</v>
      </c>
      <c r="F168" s="146">
        <v>67.5</v>
      </c>
      <c r="G168" s="146">
        <v>140.0</v>
      </c>
      <c r="H168" s="146">
        <v>320.0</v>
      </c>
      <c r="I168" s="146">
        <f>IFERROR(__xludf.DUMMYFUNCTION("QUERY(IMPORTHTML(C168,""table"",1),""Select Col2,Col3,Col4,Col5 where (Col1='Single')"",0)"),170.0)</f>
        <v>170</v>
      </c>
      <c r="J168" s="146">
        <f>IFERROR(__xludf.DUMMYFUNCTION("""COMPUTED_VALUE"""),82.5)</f>
        <v>82.5</v>
      </c>
      <c r="K168" s="146">
        <f>IFERROR(__xludf.DUMMYFUNCTION("""COMPUTED_VALUE"""),157.5)</f>
        <v>157.5</v>
      </c>
      <c r="L168" s="146">
        <f>IFERROR(__xludf.DUMMYFUNCTION("""COMPUTED_VALUE"""),410.0)</f>
        <v>410</v>
      </c>
      <c r="M168" s="146"/>
    </row>
    <row r="169">
      <c r="A169" s="131" t="s">
        <v>558</v>
      </c>
      <c r="B169" s="132" t="s">
        <v>559</v>
      </c>
      <c r="C169" s="148" t="str">
        <f t="shared" si="9"/>
        <v>http://openpowerlifting.org/u/AshleyVillanueva</v>
      </c>
      <c r="D169" s="145"/>
      <c r="E169" s="146" t="e">
        <v>#N/A</v>
      </c>
      <c r="F169" s="146"/>
      <c r="G169" s="146"/>
      <c r="H169" s="146"/>
      <c r="I169" s="146">
        <f>IFERROR(__xludf.DUMMYFUNCTION("QUERY(IMPORTHTML(C169,""table"",1),""Select Col2,Col3,Col4,Col5 where (Col1='Single')"",0)"),158.7)</f>
        <v>158.7</v>
      </c>
      <c r="J169" s="146">
        <f>IFERROR(__xludf.DUMMYFUNCTION("""COMPUTED_VALUE"""),92.5)</f>
        <v>92.5</v>
      </c>
      <c r="K169" s="146">
        <f>IFERROR(__xludf.DUMMYFUNCTION("""COMPUTED_VALUE"""),162.5)</f>
        <v>162.5</v>
      </c>
      <c r="L169" s="146">
        <f>IFERROR(__xludf.DUMMYFUNCTION("""COMPUTED_VALUE"""),410.0)</f>
        <v>410</v>
      </c>
      <c r="M169" s="146"/>
    </row>
    <row r="170">
      <c r="A170" s="131" t="s">
        <v>560</v>
      </c>
      <c r="B170" s="132" t="s">
        <v>561</v>
      </c>
      <c r="C170" s="148" t="str">
        <f t="shared" si="9"/>
        <v>http://openpowerlifting.org/u/JoscelynCollins</v>
      </c>
      <c r="D170" s="145"/>
      <c r="E170" s="146">
        <f>IFERROR(__xludf.DUMMYFUNCTION("QUERY(IMPORTHTML(C170,""table"",1),""Select Col2,Col3,Col4,Col5 where (Col1='Raw')"",0)"),107.5)</f>
        <v>107.5</v>
      </c>
      <c r="F170" s="146">
        <f>IFERROR(__xludf.DUMMYFUNCTION("""COMPUTED_VALUE"""),65.0)</f>
        <v>65</v>
      </c>
      <c r="G170" s="146">
        <f>IFERROR(__xludf.DUMMYFUNCTION("""COMPUTED_VALUE"""),120.0)</f>
        <v>120</v>
      </c>
      <c r="H170" s="146">
        <f>IFERROR(__xludf.DUMMYFUNCTION("""COMPUTED_VALUE"""),292.5)</f>
        <v>292.5</v>
      </c>
      <c r="I170" s="146">
        <f>IFERROR(__xludf.DUMMYFUNCTION("QUERY(IMPORTHTML(C170,""table"",1),""Select Col2,Col3,Col4,Col5 where (Col1='Single')"",0)"),152.5)</f>
        <v>152.5</v>
      </c>
      <c r="J170" s="146">
        <f>IFERROR(__xludf.DUMMYFUNCTION("""COMPUTED_VALUE"""),105.0)</f>
        <v>105</v>
      </c>
      <c r="K170" s="146">
        <f>IFERROR(__xludf.DUMMYFUNCTION("""COMPUTED_VALUE"""),150.0)</f>
        <v>150</v>
      </c>
      <c r="L170" s="146">
        <f>IFERROR(__xludf.DUMMYFUNCTION("""COMPUTED_VALUE"""),407.5)</f>
        <v>407.5</v>
      </c>
      <c r="M170" s="147"/>
    </row>
    <row r="171">
      <c r="A171" s="131" t="s">
        <v>562</v>
      </c>
      <c r="B171" s="132" t="s">
        <v>563</v>
      </c>
      <c r="C171" s="148" t="str">
        <f t="shared" si="9"/>
        <v>http://openpowerlifting.org/u/JessilynFuentes</v>
      </c>
      <c r="D171" s="145"/>
      <c r="E171" s="146" t="e">
        <v>#N/A</v>
      </c>
      <c r="F171" s="146"/>
      <c r="G171" s="146"/>
      <c r="H171" s="146"/>
      <c r="I171" s="146">
        <f>IFERROR(__xludf.DUMMYFUNCTION("QUERY(IMPORTHTML(C171,""table"",1),""Select Col2,Col3,Col4,Col5 where (Col1='Single')"",0)"),167.5)</f>
        <v>167.5</v>
      </c>
      <c r="J171" s="146">
        <f>IFERROR(__xludf.DUMMYFUNCTION("""COMPUTED_VALUE"""),90.0)</f>
        <v>90</v>
      </c>
      <c r="K171" s="146">
        <f>IFERROR(__xludf.DUMMYFUNCTION("""COMPUTED_VALUE"""),155.0)</f>
        <v>155</v>
      </c>
      <c r="L171" s="146">
        <f>IFERROR(__xludf.DUMMYFUNCTION("""COMPUTED_VALUE"""),407.5)</f>
        <v>407.5</v>
      </c>
      <c r="M171" s="146"/>
    </row>
    <row r="172">
      <c r="A172" s="131" t="s">
        <v>301</v>
      </c>
      <c r="B172" s="132" t="s">
        <v>564</v>
      </c>
      <c r="C172" s="148" t="str">
        <f t="shared" si="9"/>
        <v>http://openpowerlifting.org/u/AngelaHernandez</v>
      </c>
      <c r="D172" s="145"/>
      <c r="E172" s="146" t="e">
        <v>#N/A</v>
      </c>
      <c r="F172" s="146"/>
      <c r="G172" s="146"/>
      <c r="H172" s="146"/>
      <c r="I172" s="146">
        <f>IFERROR(__xludf.DUMMYFUNCTION("QUERY(IMPORTHTML(C172,""table"",1),""Select Col2,Col3,Col4,Col5 where (Col1='Single')"",0)"),206.3)</f>
        <v>206.3</v>
      </c>
      <c r="J172" s="146">
        <f>IFERROR(__xludf.DUMMYFUNCTION("""COMPUTED_VALUE"""),83.9)</f>
        <v>83.9</v>
      </c>
      <c r="K172" s="146">
        <f>IFERROR(__xludf.DUMMYFUNCTION("""COMPUTED_VALUE"""),142.8)</f>
        <v>142.8</v>
      </c>
      <c r="L172" s="146">
        <f>IFERROR(__xludf.DUMMYFUNCTION("""COMPUTED_VALUE"""),428.6)</f>
        <v>428.6</v>
      </c>
      <c r="M172" s="146"/>
    </row>
    <row r="173">
      <c r="A173" s="131" t="s">
        <v>407</v>
      </c>
      <c r="B173" s="132" t="s">
        <v>565</v>
      </c>
      <c r="C173" s="148" t="str">
        <f t="shared" si="9"/>
        <v>http://openpowerlifting.org/u/JacquelinePerez</v>
      </c>
      <c r="D173" s="145"/>
      <c r="E173" s="146">
        <v>130.0</v>
      </c>
      <c r="F173" s="146">
        <v>67.5</v>
      </c>
      <c r="G173" s="146">
        <v>145.0</v>
      </c>
      <c r="H173" s="146">
        <v>342.5</v>
      </c>
      <c r="I173" s="146">
        <f>IFERROR(__xludf.DUMMYFUNCTION("QUERY(IMPORTHTML(C173,""table"",1),""Select Col2,Col3,Col4,Col5 where (Col1='Single')"",0)"),162.5)</f>
        <v>162.5</v>
      </c>
      <c r="J173" s="146">
        <f>IFERROR(__xludf.DUMMYFUNCTION("""COMPUTED_VALUE"""),92.5)</f>
        <v>92.5</v>
      </c>
      <c r="K173" s="146">
        <f>IFERROR(__xludf.DUMMYFUNCTION("""COMPUTED_VALUE"""),145.0)</f>
        <v>145</v>
      </c>
      <c r="L173" s="146">
        <f>IFERROR(__xludf.DUMMYFUNCTION("""COMPUTED_VALUE"""),400.0)</f>
        <v>400</v>
      </c>
      <c r="M173" s="146"/>
    </row>
    <row r="174">
      <c r="A174" s="131" t="s">
        <v>301</v>
      </c>
      <c r="B174" s="132" t="s">
        <v>566</v>
      </c>
      <c r="C174" s="148" t="str">
        <f t="shared" si="9"/>
        <v>http://openpowerlifting.org/u/AshleeHernandez</v>
      </c>
      <c r="D174" s="145"/>
      <c r="E174" s="146">
        <v>102.5</v>
      </c>
      <c r="F174" s="146">
        <v>52.5</v>
      </c>
      <c r="G174" s="146">
        <v>115.0</v>
      </c>
      <c r="H174" s="146">
        <v>270.0</v>
      </c>
      <c r="I174" s="146">
        <f>IFERROR(__xludf.DUMMYFUNCTION("QUERY(IMPORTHTML(C174,""table"",1),""Select Col2,Col3,Col4,Col5 where (Col1='Single')"",0)"),158.7)</f>
        <v>158.7</v>
      </c>
      <c r="J174" s="146">
        <f>IFERROR(__xludf.DUMMYFUNCTION("""COMPUTED_VALUE"""),107.5)</f>
        <v>107.5</v>
      </c>
      <c r="K174" s="146">
        <f>IFERROR(__xludf.DUMMYFUNCTION("""COMPUTED_VALUE"""),137.5)</f>
        <v>137.5</v>
      </c>
      <c r="L174" s="146">
        <f>IFERROR(__xludf.DUMMYFUNCTION("""COMPUTED_VALUE"""),395.0)</f>
        <v>395</v>
      </c>
      <c r="M174" s="146"/>
    </row>
    <row r="175">
      <c r="A175" s="131" t="s">
        <v>94</v>
      </c>
      <c r="B175" s="132" t="s">
        <v>93</v>
      </c>
      <c r="C175" s="148" t="str">
        <f t="shared" si="9"/>
        <v>http://openpowerlifting.org/u/CarolineLommer</v>
      </c>
      <c r="D175" s="145"/>
      <c r="E175" s="146">
        <v>132.5</v>
      </c>
      <c r="F175" s="146">
        <v>77.5</v>
      </c>
      <c r="G175" s="146">
        <v>137.5</v>
      </c>
      <c r="H175" s="146">
        <v>347.5</v>
      </c>
      <c r="I175" s="146">
        <f>IFERROR(__xludf.DUMMYFUNCTION("QUERY(IMPORTHTML(C175,""table"",1),""Select Col2,Col3,Col4,Col5 where (Col1='Single')"",0)"),157.5)</f>
        <v>157.5</v>
      </c>
      <c r="J175" s="146">
        <f>IFERROR(__xludf.DUMMYFUNCTION("""COMPUTED_VALUE"""),102.5)</f>
        <v>102.5</v>
      </c>
      <c r="K175" s="146">
        <f>IFERROR(__xludf.DUMMYFUNCTION("""COMPUTED_VALUE"""),132.5)</f>
        <v>132.5</v>
      </c>
      <c r="L175" s="146">
        <f>IFERROR(__xludf.DUMMYFUNCTION("""COMPUTED_VALUE"""),392.5)</f>
        <v>392.5</v>
      </c>
      <c r="M175" s="146"/>
    </row>
    <row r="176">
      <c r="A176" s="131" t="s">
        <v>568</v>
      </c>
      <c r="B176" s="132" t="s">
        <v>487</v>
      </c>
      <c r="C176" s="148" t="str">
        <f t="shared" si="9"/>
        <v>http://openpowerlifting.org/u/MackenzieJohnson</v>
      </c>
      <c r="D176" s="145"/>
      <c r="E176" s="146">
        <v>127.5</v>
      </c>
      <c r="F176" s="146">
        <v>67.5</v>
      </c>
      <c r="G176" s="146">
        <v>150.0</v>
      </c>
      <c r="H176" s="146">
        <v>345.0</v>
      </c>
      <c r="I176" s="146">
        <f>IFERROR(__xludf.DUMMYFUNCTION("QUERY(IMPORTHTML(C176,""table"",1),""Select Col2,Col3,Col4,Col5 where (Col1='Single')"",0)"),157.5)</f>
        <v>157.5</v>
      </c>
      <c r="J176" s="146">
        <f>IFERROR(__xludf.DUMMYFUNCTION("""COMPUTED_VALUE"""),72.5)</f>
        <v>72.5</v>
      </c>
      <c r="K176" s="146">
        <f>IFERROR(__xludf.DUMMYFUNCTION("""COMPUTED_VALUE"""),160.0)</f>
        <v>160</v>
      </c>
      <c r="L176" s="146">
        <f>IFERROR(__xludf.DUMMYFUNCTION("""COMPUTED_VALUE"""),390.0)</f>
        <v>390</v>
      </c>
      <c r="M176" s="146"/>
    </row>
    <row r="177">
      <c r="A177" s="131" t="s">
        <v>569</v>
      </c>
      <c r="B177" s="132" t="s">
        <v>570</v>
      </c>
      <c r="C177" s="148" t="str">
        <f t="shared" si="9"/>
        <v>http://openpowerlifting.org/u/TobyLatino</v>
      </c>
      <c r="D177" s="145"/>
      <c r="E177" s="146" t="e">
        <v>#N/A</v>
      </c>
      <c r="F177" s="146"/>
      <c r="G177" s="146"/>
      <c r="H177" s="146"/>
      <c r="I177" s="146">
        <f>IFERROR(__xludf.DUMMYFUNCTION("QUERY(IMPORTHTML(C177,""table"",1),""Select Col2,Col3,Col4,Col5 where (Col1='Single')"",0)"),135.0)</f>
        <v>135</v>
      </c>
      <c r="J177" s="146">
        <f>IFERROR(__xludf.DUMMYFUNCTION("""COMPUTED_VALUE"""),82.5)</f>
        <v>82.5</v>
      </c>
      <c r="K177" s="146">
        <f>IFERROR(__xludf.DUMMYFUNCTION("""COMPUTED_VALUE"""),172.5)</f>
        <v>172.5</v>
      </c>
      <c r="L177" s="146">
        <f>IFERROR(__xludf.DUMMYFUNCTION("""COMPUTED_VALUE"""),390.0)</f>
        <v>390</v>
      </c>
      <c r="M177" s="146"/>
    </row>
    <row r="178">
      <c r="A178" s="131" t="s">
        <v>86</v>
      </c>
      <c r="B178" s="132" t="s">
        <v>85</v>
      </c>
      <c r="C178" s="148" t="str">
        <f t="shared" si="9"/>
        <v>http://openpowerlifting.org/u/AngellyPallazhco</v>
      </c>
      <c r="D178" s="145"/>
      <c r="E178" s="146">
        <v>147.5</v>
      </c>
      <c r="F178" s="146">
        <v>67.5</v>
      </c>
      <c r="G178" s="146">
        <v>175.0</v>
      </c>
      <c r="H178" s="146">
        <v>390.0</v>
      </c>
      <c r="I178" s="146" t="str">
        <f>IFERROR(__xludf.DUMMYFUNCTION("QUERY(IMPORTHTML(C178,""table"",1),""Select Col2,Col3,Col4,Col5 where (Col1='Single')"",0)"),"#N/A")</f>
        <v>#N/A</v>
      </c>
      <c r="J178" s="146"/>
      <c r="K178" s="146"/>
      <c r="L178" s="146"/>
      <c r="M178" s="146"/>
    </row>
    <row r="179">
      <c r="A179" s="131" t="s">
        <v>571</v>
      </c>
      <c r="B179" s="132" t="s">
        <v>572</v>
      </c>
      <c r="C179" s="149" t="s">
        <v>740</v>
      </c>
      <c r="D179" s="150"/>
      <c r="E179" s="146">
        <v>102.5</v>
      </c>
      <c r="F179" s="146">
        <v>62.5</v>
      </c>
      <c r="G179" s="146">
        <v>130.0</v>
      </c>
      <c r="H179" s="146">
        <v>295.0</v>
      </c>
      <c r="I179" s="146">
        <f>IFERROR(__xludf.DUMMYFUNCTION("QUERY(IMPORTHTML(C179,""table"",1),""Select Col2,Col3,Col4,Col5 where (Col1='Single')"",0)"),145.0)</f>
        <v>145</v>
      </c>
      <c r="J179" s="146">
        <f>IFERROR(__xludf.DUMMYFUNCTION("""COMPUTED_VALUE"""),136.5)</f>
        <v>136.5</v>
      </c>
      <c r="K179" s="146">
        <f>IFERROR(__xludf.DUMMYFUNCTION("""COMPUTED_VALUE"""),140.0)</f>
        <v>140</v>
      </c>
      <c r="L179" s="146">
        <f>IFERROR(__xludf.DUMMYFUNCTION("""COMPUTED_VALUE"""),387.5)</f>
        <v>387.5</v>
      </c>
      <c r="M179" s="152" t="s">
        <v>741</v>
      </c>
    </row>
    <row r="180">
      <c r="A180" s="131" t="s">
        <v>573</v>
      </c>
      <c r="B180" s="132" t="s">
        <v>574</v>
      </c>
      <c r="C180" s="148" t="str">
        <f t="shared" ref="C180:C216" si="10">"http://openpowerlifting.org/u/"&amp;B180&amp;A180</f>
        <v>http://openpowerlifting.org/u/ZoeyCarrico</v>
      </c>
      <c r="D180" s="145"/>
      <c r="E180" s="146">
        <v>125.0</v>
      </c>
      <c r="F180" s="146">
        <v>65.0</v>
      </c>
      <c r="G180" s="146">
        <v>125.0</v>
      </c>
      <c r="H180" s="146">
        <v>315.0</v>
      </c>
      <c r="I180" s="146">
        <f>IFERROR(__xludf.DUMMYFUNCTION("QUERY(IMPORTHTML(C180,""table"",1),""Select Col2,Col3,Col4,Col5 where (Col1='Single')"",0)"),162.5)</f>
        <v>162.5</v>
      </c>
      <c r="J180" s="146">
        <f>IFERROR(__xludf.DUMMYFUNCTION("""COMPUTED_VALUE"""),80.0)</f>
        <v>80</v>
      </c>
      <c r="K180" s="146">
        <f>IFERROR(__xludf.DUMMYFUNCTION("""COMPUTED_VALUE"""),152.5)</f>
        <v>152.5</v>
      </c>
      <c r="L180" s="146">
        <f>IFERROR(__xludf.DUMMYFUNCTION("""COMPUTED_VALUE"""),392.5)</f>
        <v>392.5</v>
      </c>
      <c r="M180" s="146"/>
    </row>
    <row r="181">
      <c r="A181" s="131" t="s">
        <v>575</v>
      </c>
      <c r="B181" s="132" t="s">
        <v>576</v>
      </c>
      <c r="C181" s="148" t="str">
        <f t="shared" si="10"/>
        <v>http://openpowerlifting.org/u/BreanaMassey</v>
      </c>
      <c r="D181" s="145"/>
      <c r="E181" s="146" t="e">
        <v>#N/A</v>
      </c>
      <c r="F181" s="146"/>
      <c r="G181" s="146"/>
      <c r="H181" s="146"/>
      <c r="I181" s="146">
        <f>IFERROR(__xludf.DUMMYFUNCTION("QUERY(IMPORTHTML(C181,""table"",1),""Select Col2,Col3,Col4,Col5 where (Col1='Single')"",0)"),157.5)</f>
        <v>157.5</v>
      </c>
      <c r="J181" s="146">
        <f>IFERROR(__xludf.DUMMYFUNCTION("""COMPUTED_VALUE"""),72.5)</f>
        <v>72.5</v>
      </c>
      <c r="K181" s="146">
        <f>IFERROR(__xludf.DUMMYFUNCTION("""COMPUTED_VALUE"""),152.5)</f>
        <v>152.5</v>
      </c>
      <c r="L181" s="146">
        <f>IFERROR(__xludf.DUMMYFUNCTION("""COMPUTED_VALUE"""),382.5)</f>
        <v>382.5</v>
      </c>
      <c r="M181" s="146"/>
    </row>
    <row r="182">
      <c r="A182" s="131" t="s">
        <v>577</v>
      </c>
      <c r="B182" s="132" t="s">
        <v>578</v>
      </c>
      <c r="C182" s="148" t="str">
        <f t="shared" si="10"/>
        <v>http://openpowerlifting.org/u/LaceyPender</v>
      </c>
      <c r="D182" s="145"/>
      <c r="E182" s="146">
        <v>147.5</v>
      </c>
      <c r="F182" s="146">
        <v>87.5</v>
      </c>
      <c r="G182" s="146">
        <v>147.5</v>
      </c>
      <c r="H182" s="146">
        <v>382.5</v>
      </c>
      <c r="I182" s="146">
        <f>IFERROR(__xludf.DUMMYFUNCTION("QUERY(IMPORTHTML(C182,""table"",1),""Select Col2,Col3,Col4,Col5 where (Col1='Single')"",0)"),192.5)</f>
        <v>192.5</v>
      </c>
      <c r="J182" s="146">
        <f>IFERROR(__xludf.DUMMYFUNCTION("""COMPUTED_VALUE"""),100.0)</f>
        <v>100</v>
      </c>
      <c r="K182" s="146">
        <f>IFERROR(__xludf.DUMMYFUNCTION("""COMPUTED_VALUE"""),180.0)</f>
        <v>180</v>
      </c>
      <c r="L182" s="146">
        <f>IFERROR(__xludf.DUMMYFUNCTION("""COMPUTED_VALUE"""),472.5)</f>
        <v>472.5</v>
      </c>
      <c r="M182" s="146"/>
    </row>
    <row r="183">
      <c r="A183" s="131" t="s">
        <v>90</v>
      </c>
      <c r="B183" s="132" t="s">
        <v>89</v>
      </c>
      <c r="C183" s="148" t="str">
        <f t="shared" si="10"/>
        <v>http://openpowerlifting.org/u/TanseyVordonis</v>
      </c>
      <c r="D183" s="145"/>
      <c r="E183" s="146">
        <v>127.5</v>
      </c>
      <c r="F183" s="146">
        <v>82.5</v>
      </c>
      <c r="G183" s="146">
        <v>145.0</v>
      </c>
      <c r="H183" s="146">
        <v>355.0</v>
      </c>
      <c r="I183" s="146">
        <f>IFERROR(__xludf.DUMMYFUNCTION("QUERY(IMPORTHTML(C183,""table"",1),""Select Col2,Col3,Col4,Col5 where (Col1='Single')"",0)"),142.5)</f>
        <v>142.5</v>
      </c>
      <c r="J183" s="146">
        <f>IFERROR(__xludf.DUMMYFUNCTION("""COMPUTED_VALUE"""),112.5)</f>
        <v>112.5</v>
      </c>
      <c r="K183" s="146">
        <f>IFERROR(__xludf.DUMMYFUNCTION("""COMPUTED_VALUE"""),125.0)</f>
        <v>125</v>
      </c>
      <c r="L183" s="146">
        <f>IFERROR(__xludf.DUMMYFUNCTION("""COMPUTED_VALUE"""),380.0)</f>
        <v>380</v>
      </c>
      <c r="M183" s="146"/>
    </row>
    <row r="184">
      <c r="A184" s="131" t="s">
        <v>579</v>
      </c>
      <c r="B184" s="132" t="s">
        <v>115</v>
      </c>
      <c r="C184" s="148" t="str">
        <f t="shared" si="10"/>
        <v>http://openpowerlifting.org/u/JohnWyatt</v>
      </c>
      <c r="D184" s="145"/>
      <c r="E184" s="146" t="str">
        <f>IFERROR(__xludf.DUMMYFUNCTION("QUERY(IMPORTHTML(C184,""table"",1),""Select Col2,Col3,Col4,Col5 where (Col1='Raw')"",0)"),"#N/A")</f>
        <v>#N/A</v>
      </c>
      <c r="F184" s="146"/>
      <c r="G184" s="146"/>
      <c r="H184" s="146"/>
      <c r="I184" s="146" t="str">
        <f>IFERROR(__xludf.DUMMYFUNCTION("QUERY(IMPORTHTML(C184,""table"",1),""Select Col2,Col3,Col4,Col5 where (Col1='Single')"",0)"),"#N/A")</f>
        <v>#N/A</v>
      </c>
      <c r="J184" s="146"/>
      <c r="K184" s="146"/>
      <c r="L184" s="146"/>
      <c r="M184" s="146"/>
    </row>
    <row r="185">
      <c r="A185" s="131" t="s">
        <v>568</v>
      </c>
      <c r="B185" s="132" t="s">
        <v>580</v>
      </c>
      <c r="C185" s="148" t="str">
        <f t="shared" si="10"/>
        <v>http://openpowerlifting.org/u/ZakiyaJohnson</v>
      </c>
      <c r="D185" s="145"/>
      <c r="E185" s="146">
        <v>165.0</v>
      </c>
      <c r="F185" s="146">
        <v>70.0</v>
      </c>
      <c r="G185" s="146">
        <v>127.5</v>
      </c>
      <c r="H185" s="146">
        <v>357.5</v>
      </c>
      <c r="I185" s="146">
        <f>IFERROR(__xludf.DUMMYFUNCTION("QUERY(IMPORTHTML(C185,""table"",1),""Select Col2,Col3,Col4,Col5 where (Col1='Single')"",0)"),175.0)</f>
        <v>175</v>
      </c>
      <c r="J185" s="146">
        <f>IFERROR(__xludf.DUMMYFUNCTION("""COMPUTED_VALUE"""),72.5)</f>
        <v>72.5</v>
      </c>
      <c r="K185" s="146">
        <f>IFERROR(__xludf.DUMMYFUNCTION("""COMPUTED_VALUE"""),127.5)</f>
        <v>127.5</v>
      </c>
      <c r="L185" s="146">
        <f>IFERROR(__xludf.DUMMYFUNCTION("""COMPUTED_VALUE"""),375.0)</f>
        <v>375</v>
      </c>
      <c r="M185" s="146"/>
    </row>
    <row r="186">
      <c r="A186" s="131" t="s">
        <v>502</v>
      </c>
      <c r="B186" s="132" t="s">
        <v>581</v>
      </c>
      <c r="C186" s="148" t="str">
        <f t="shared" si="10"/>
        <v>http://openpowerlifting.org/u/MercedesMacias</v>
      </c>
      <c r="D186" s="145"/>
      <c r="E186" s="146" t="str">
        <f>IFERROR(__xludf.DUMMYFUNCTION("QUERY(IMPORTHTML(C186,""table"",1),""Select Col2,Col3,Col4,Col5 where (Col1='Raw')"",0)"),"#N/A")</f>
        <v>#N/A</v>
      </c>
      <c r="F186" s="146"/>
      <c r="G186" s="146"/>
      <c r="H186" s="146"/>
      <c r="I186" s="146" t="str">
        <f>IFERROR(__xludf.DUMMYFUNCTION("QUERY(IMPORTHTML(C186,""table"",1),""Select Col2,Col3,Col4,Col5 where (Col1='Single')"",0)"),"#N/A")</f>
        <v>#N/A</v>
      </c>
      <c r="J186" s="146"/>
      <c r="K186" s="146"/>
      <c r="L186" s="146"/>
      <c r="M186" s="146"/>
    </row>
    <row r="187">
      <c r="A187" s="131" t="s">
        <v>107</v>
      </c>
      <c r="B187" s="132" t="s">
        <v>95</v>
      </c>
      <c r="C187" s="148" t="str">
        <f t="shared" si="10"/>
        <v>http://openpowerlifting.org/u/ElizabethPiatkowski</v>
      </c>
      <c r="D187" s="145"/>
      <c r="E187" s="146">
        <v>125.0</v>
      </c>
      <c r="F187" s="146">
        <v>67.5</v>
      </c>
      <c r="G187" s="146">
        <v>135.0</v>
      </c>
      <c r="H187" s="146">
        <v>327.5</v>
      </c>
      <c r="I187" s="146">
        <f>IFERROR(__xludf.DUMMYFUNCTION("QUERY(IMPORTHTML(C187,""table"",1),""Select Col2,Col3,Col4,Col5 where (Col1='Single')"",0)"),142.5)</f>
        <v>142.5</v>
      </c>
      <c r="J187" s="146">
        <f>IFERROR(__xludf.DUMMYFUNCTION("""COMPUTED_VALUE"""),95.0)</f>
        <v>95</v>
      </c>
      <c r="K187" s="146">
        <f>IFERROR(__xludf.DUMMYFUNCTION("""COMPUTED_VALUE"""),137.5)</f>
        <v>137.5</v>
      </c>
      <c r="L187" s="146">
        <f>IFERROR(__xludf.DUMMYFUNCTION("""COMPUTED_VALUE"""),375.0)</f>
        <v>375</v>
      </c>
      <c r="M187" s="146"/>
    </row>
    <row r="188">
      <c r="A188" s="131" t="s">
        <v>582</v>
      </c>
      <c r="B188" s="132" t="s">
        <v>583</v>
      </c>
      <c r="C188" s="148" t="str">
        <f t="shared" si="10"/>
        <v>http://openpowerlifting.org/u/DanielaValdez</v>
      </c>
      <c r="D188" s="145"/>
      <c r="E188" s="146">
        <v>132.5</v>
      </c>
      <c r="F188" s="146">
        <v>77.5</v>
      </c>
      <c r="G188" s="146">
        <v>145.0</v>
      </c>
      <c r="H188" s="146">
        <v>347.5</v>
      </c>
      <c r="I188" s="146">
        <f>IFERROR(__xludf.DUMMYFUNCTION("QUERY(IMPORTHTML(C188,""table"",1),""Select Col2,Col3,Col4,Col5 where (Col1='Single')"",0)"),160.0)</f>
        <v>160</v>
      </c>
      <c r="J188" s="146">
        <f>IFERROR(__xludf.DUMMYFUNCTION("""COMPUTED_VALUE"""),70.0)</f>
        <v>70</v>
      </c>
      <c r="K188" s="146">
        <f>IFERROR(__xludf.DUMMYFUNCTION("""COMPUTED_VALUE"""),142.5)</f>
        <v>142.5</v>
      </c>
      <c r="L188" s="146">
        <f>IFERROR(__xludf.DUMMYFUNCTION("""COMPUTED_VALUE"""),372.5)</f>
        <v>372.5</v>
      </c>
      <c r="M188" s="146"/>
    </row>
    <row r="189">
      <c r="A189" s="131" t="s">
        <v>584</v>
      </c>
      <c r="B189" s="132" t="s">
        <v>105</v>
      </c>
      <c r="C189" s="148" t="str">
        <f t="shared" si="10"/>
        <v>http://openpowerlifting.org/u/KaitlynCaminita</v>
      </c>
      <c r="D189" s="145"/>
      <c r="E189" s="146">
        <v>115.0</v>
      </c>
      <c r="F189" s="146">
        <v>50.0</v>
      </c>
      <c r="G189" s="146">
        <v>115.0</v>
      </c>
      <c r="H189" s="146">
        <v>280.0</v>
      </c>
      <c r="I189" s="146">
        <f>IFERROR(__xludf.DUMMYFUNCTION("QUERY(IMPORTHTML(C189,""table"",1),""Select Col2,Col3,Col4,Col5 where (Col1='Single')"",0)"),165.0)</f>
        <v>165</v>
      </c>
      <c r="J189" s="146">
        <f>IFERROR(__xludf.DUMMYFUNCTION("""COMPUTED_VALUE"""),67.5)</f>
        <v>67.5</v>
      </c>
      <c r="K189" s="146">
        <f>IFERROR(__xludf.DUMMYFUNCTION("""COMPUTED_VALUE"""),135.0)</f>
        <v>135</v>
      </c>
      <c r="L189" s="146">
        <f>IFERROR(__xludf.DUMMYFUNCTION("""COMPUTED_VALUE"""),367.5)</f>
        <v>367.5</v>
      </c>
      <c r="M189" s="146"/>
    </row>
    <row r="190">
      <c r="A190" s="131" t="s">
        <v>301</v>
      </c>
      <c r="B190" s="132" t="s">
        <v>585</v>
      </c>
      <c r="C190" s="148" t="str">
        <f t="shared" si="10"/>
        <v>http://openpowerlifting.org/u/CameronHernandez</v>
      </c>
      <c r="D190" s="145"/>
      <c r="E190" s="146">
        <v>117.5</v>
      </c>
      <c r="F190" s="146">
        <v>47.5</v>
      </c>
      <c r="G190" s="146">
        <v>107.5</v>
      </c>
      <c r="H190" s="146">
        <v>272.5</v>
      </c>
      <c r="I190" s="146" t="str">
        <f>IFERROR(__xludf.DUMMYFUNCTION("QUERY(IMPORTHTML(C190,""table"",1),""Select Col2,Col3,Col4,Col5 where (Col1='Single')"",0)"),"Loading...")</f>
        <v>Loading...</v>
      </c>
      <c r="J190" s="146"/>
      <c r="K190" s="146"/>
      <c r="L190" s="146"/>
      <c r="M190" s="146"/>
    </row>
    <row r="191">
      <c r="A191" s="131" t="s">
        <v>58</v>
      </c>
      <c r="B191" s="132" t="s">
        <v>57</v>
      </c>
      <c r="C191" s="148" t="str">
        <f t="shared" si="10"/>
        <v>http://openpowerlifting.org/u/IsabelleHou</v>
      </c>
      <c r="D191" s="145"/>
      <c r="E191" s="146">
        <v>112.5</v>
      </c>
      <c r="F191" s="146">
        <v>70.0</v>
      </c>
      <c r="G191" s="146">
        <v>117.5</v>
      </c>
      <c r="H191" s="146">
        <v>297.5</v>
      </c>
      <c r="I191" s="146">
        <f>IFERROR(__xludf.DUMMYFUNCTION("QUERY(IMPORTHTML(C191,""table"",1),""Select Col2,Col3,Col4,Col5 where (Col1='Single')"",0)"),142.5)</f>
        <v>142.5</v>
      </c>
      <c r="J191" s="146">
        <f>IFERROR(__xludf.DUMMYFUNCTION("""COMPUTED_VALUE"""),87.5)</f>
        <v>87.5</v>
      </c>
      <c r="K191" s="146">
        <f>IFERROR(__xludf.DUMMYFUNCTION("""COMPUTED_VALUE"""),137.5)</f>
        <v>137.5</v>
      </c>
      <c r="L191" s="146">
        <f>IFERROR(__xludf.DUMMYFUNCTION("""COMPUTED_VALUE"""),367.5)</f>
        <v>367.5</v>
      </c>
      <c r="M191" s="146"/>
    </row>
    <row r="192">
      <c r="A192" s="131" t="s">
        <v>586</v>
      </c>
      <c r="B192" s="132" t="s">
        <v>587</v>
      </c>
      <c r="C192" s="148" t="str">
        <f t="shared" si="10"/>
        <v>http://openpowerlifting.org/u/ShayeRobertson</v>
      </c>
      <c r="D192" s="145"/>
      <c r="E192" s="146">
        <v>102.5</v>
      </c>
      <c r="F192" s="146">
        <v>65.0</v>
      </c>
      <c r="G192" s="146">
        <v>125.0</v>
      </c>
      <c r="H192" s="146">
        <v>292.5</v>
      </c>
      <c r="I192" s="146">
        <f>IFERROR(__xludf.DUMMYFUNCTION("QUERY(IMPORTHTML(C192,""table"",1),""Select Col2,Col3,Col4,Col5 where (Col1='Single')"",0)"),142.5)</f>
        <v>142.5</v>
      </c>
      <c r="J192" s="146">
        <f>IFERROR(__xludf.DUMMYFUNCTION("""COMPUTED_VALUE"""),90.0)</f>
        <v>90</v>
      </c>
      <c r="K192" s="146">
        <f>IFERROR(__xludf.DUMMYFUNCTION("""COMPUTED_VALUE"""),137.5)</f>
        <v>137.5</v>
      </c>
      <c r="L192" s="146">
        <f>IFERROR(__xludf.DUMMYFUNCTION("""COMPUTED_VALUE"""),367.5)</f>
        <v>367.5</v>
      </c>
      <c r="M192" s="146"/>
    </row>
    <row r="193">
      <c r="A193" s="131" t="s">
        <v>559</v>
      </c>
      <c r="B193" s="132" t="s">
        <v>588</v>
      </c>
      <c r="C193" s="148" t="str">
        <f t="shared" si="10"/>
        <v>http://openpowerlifting.org/u/NaomiAshley</v>
      </c>
      <c r="D193" s="145"/>
      <c r="E193" s="146">
        <v>85.0</v>
      </c>
      <c r="F193" s="146">
        <v>60.0</v>
      </c>
      <c r="G193" s="146">
        <v>130.0</v>
      </c>
      <c r="H193" s="146">
        <v>275.0</v>
      </c>
      <c r="I193" s="146">
        <f>IFERROR(__xludf.DUMMYFUNCTION("QUERY(IMPORTHTML(C193,""table"",1),""Select Col2,Col3,Col4,Col5 where (Col1='Single')"",0)"),135.0)</f>
        <v>135</v>
      </c>
      <c r="J193" s="146">
        <f>IFERROR(__xludf.DUMMYFUNCTION("""COMPUTED_VALUE"""),92.5)</f>
        <v>92.5</v>
      </c>
      <c r="K193" s="146">
        <f>IFERROR(__xludf.DUMMYFUNCTION("""COMPUTED_VALUE"""),137.5)</f>
        <v>137.5</v>
      </c>
      <c r="L193" s="146">
        <f>IFERROR(__xludf.DUMMYFUNCTION("""COMPUTED_VALUE"""),365.0)</f>
        <v>365</v>
      </c>
      <c r="M193" s="146"/>
    </row>
    <row r="194">
      <c r="A194" s="131" t="s">
        <v>589</v>
      </c>
      <c r="B194" s="132" t="s">
        <v>590</v>
      </c>
      <c r="C194" s="148" t="str">
        <f t="shared" si="10"/>
        <v>http://openpowerlifting.org/u/KristalLedesma</v>
      </c>
      <c r="D194" s="145"/>
      <c r="E194" s="146" t="e">
        <v>#N/A</v>
      </c>
      <c r="F194" s="146"/>
      <c r="G194" s="146"/>
      <c r="H194" s="146"/>
      <c r="I194" s="146">
        <f>IFERROR(__xludf.DUMMYFUNCTION("QUERY(IMPORTHTML(C194,""table"",1),""Select Col2,Col3,Col4,Col5 where (Col1='Single')"",0)"),147.5)</f>
        <v>147.5</v>
      </c>
      <c r="J194" s="146">
        <f>IFERROR(__xludf.DUMMYFUNCTION("""COMPUTED_VALUE"""),65.0)</f>
        <v>65</v>
      </c>
      <c r="K194" s="146">
        <f>IFERROR(__xludf.DUMMYFUNCTION("""COMPUTED_VALUE"""),152.5)</f>
        <v>152.5</v>
      </c>
      <c r="L194" s="146">
        <f>IFERROR(__xludf.DUMMYFUNCTION("""COMPUTED_VALUE"""),365.0)</f>
        <v>365</v>
      </c>
      <c r="M194" s="146"/>
    </row>
    <row r="195">
      <c r="A195" s="131" t="s">
        <v>63</v>
      </c>
      <c r="B195" s="132" t="s">
        <v>62</v>
      </c>
      <c r="C195" s="148" t="str">
        <f t="shared" si="10"/>
        <v>http://openpowerlifting.org/u/AllisonShupp</v>
      </c>
      <c r="D195" s="145"/>
      <c r="E195" s="146">
        <v>117.5</v>
      </c>
      <c r="F195" s="146">
        <v>72.5</v>
      </c>
      <c r="G195" s="146">
        <v>115.0</v>
      </c>
      <c r="H195" s="146">
        <v>305.0</v>
      </c>
      <c r="I195" s="146">
        <f>IFERROR(__xludf.DUMMYFUNCTION("QUERY(IMPORTHTML(C195,""table"",1),""Select Col2,Col3,Col4,Col5 where (Col1='Single')"",0)"),152.5)</f>
        <v>152.5</v>
      </c>
      <c r="J195" s="146">
        <f>IFERROR(__xludf.DUMMYFUNCTION("""COMPUTED_VALUE"""),82.5)</f>
        <v>82.5</v>
      </c>
      <c r="K195" s="146">
        <f>IFERROR(__xludf.DUMMYFUNCTION("""COMPUTED_VALUE"""),130.0)</f>
        <v>130</v>
      </c>
      <c r="L195" s="146">
        <f>IFERROR(__xludf.DUMMYFUNCTION("""COMPUTED_VALUE"""),365.0)</f>
        <v>365</v>
      </c>
      <c r="M195" s="146"/>
    </row>
    <row r="196">
      <c r="A196" s="131" t="s">
        <v>591</v>
      </c>
      <c r="B196" s="132" t="s">
        <v>592</v>
      </c>
      <c r="C196" s="148" t="str">
        <f t="shared" si="10"/>
        <v>http://openpowerlifting.org/u/DennisTan</v>
      </c>
      <c r="D196" s="145"/>
      <c r="E196" s="146">
        <v>122.5</v>
      </c>
      <c r="F196" s="146">
        <v>85.0</v>
      </c>
      <c r="G196" s="146">
        <v>157.5</v>
      </c>
      <c r="H196" s="146">
        <v>365.0</v>
      </c>
      <c r="I196" s="146" t="str">
        <f>IFERROR(__xludf.DUMMYFUNCTION("QUERY(IMPORTHTML(C196,""table"",1),""Select Col2,Col3,Col4,Col5 where (Col1='Single')"",0)"),"#N/A")</f>
        <v>#N/A</v>
      </c>
      <c r="J196" s="146"/>
      <c r="K196" s="146"/>
      <c r="L196" s="146"/>
      <c r="M196" s="146"/>
    </row>
    <row r="197">
      <c r="A197" s="131" t="s">
        <v>593</v>
      </c>
      <c r="B197" s="132" t="s">
        <v>544</v>
      </c>
      <c r="C197" s="148" t="str">
        <f t="shared" si="10"/>
        <v>http://openpowerlifting.org/u/GabrielaAguirre</v>
      </c>
      <c r="D197" s="145"/>
      <c r="E197" s="146">
        <v>107.5</v>
      </c>
      <c r="F197" s="146">
        <v>55.0</v>
      </c>
      <c r="G197" s="146">
        <v>130.0</v>
      </c>
      <c r="H197" s="146">
        <v>292.5</v>
      </c>
      <c r="I197" s="146">
        <f>IFERROR(__xludf.DUMMYFUNCTION("QUERY(IMPORTHTML(C197,""table"",1),""Select Col2,Col3,Col4,Col5 where (Col1='Single')"",0)"),145.0)</f>
        <v>145</v>
      </c>
      <c r="J197" s="146">
        <f>IFERROR(__xludf.DUMMYFUNCTION("""COMPUTED_VALUE"""),82.5)</f>
        <v>82.5</v>
      </c>
      <c r="K197" s="146">
        <f>IFERROR(__xludf.DUMMYFUNCTION("""COMPUTED_VALUE"""),135.0)</f>
        <v>135</v>
      </c>
      <c r="L197" s="146">
        <f>IFERROR(__xludf.DUMMYFUNCTION("""COMPUTED_VALUE"""),362.5)</f>
        <v>362.5</v>
      </c>
      <c r="M197" s="146"/>
    </row>
    <row r="198">
      <c r="A198" s="131" t="s">
        <v>594</v>
      </c>
      <c r="B198" s="132" t="s">
        <v>595</v>
      </c>
      <c r="C198" s="148" t="str">
        <f t="shared" si="10"/>
        <v>http://openpowerlifting.org/u/KendalFrazier</v>
      </c>
      <c r="D198" s="145"/>
      <c r="E198" s="146" t="e">
        <v>#N/A</v>
      </c>
      <c r="F198" s="146"/>
      <c r="G198" s="146"/>
      <c r="H198" s="146"/>
      <c r="I198" s="146">
        <f>IFERROR(__xludf.DUMMYFUNCTION("QUERY(IMPORTHTML(C198,""table"",1),""Select Col2,Col3,Col4,Col5 where (Col1='Single')"",0)"),157.5)</f>
        <v>157.5</v>
      </c>
      <c r="J198" s="146">
        <f>IFERROR(__xludf.DUMMYFUNCTION("""COMPUTED_VALUE"""),72.5)</f>
        <v>72.5</v>
      </c>
      <c r="K198" s="146">
        <f>IFERROR(__xludf.DUMMYFUNCTION("""COMPUTED_VALUE"""),137.5)</f>
        <v>137.5</v>
      </c>
      <c r="L198" s="146">
        <f>IFERROR(__xludf.DUMMYFUNCTION("""COMPUTED_VALUE"""),362.5)</f>
        <v>362.5</v>
      </c>
      <c r="M198" s="146"/>
    </row>
    <row r="199">
      <c r="A199" s="131" t="s">
        <v>596</v>
      </c>
      <c r="B199" s="132" t="s">
        <v>499</v>
      </c>
      <c r="C199" s="148" t="str">
        <f t="shared" si="10"/>
        <v>http://openpowerlifting.org/u/JenniferGalarza</v>
      </c>
      <c r="D199" s="145"/>
      <c r="E199" s="146">
        <v>140.0</v>
      </c>
      <c r="F199" s="146">
        <v>65.0</v>
      </c>
      <c r="G199" s="146">
        <v>157.5</v>
      </c>
      <c r="H199" s="146">
        <v>362.5</v>
      </c>
      <c r="I199" s="146">
        <f>IFERROR(__xludf.DUMMYFUNCTION("QUERY(IMPORTHTML(C199,""table"",1),""Select Col2,Col3,Col4,Col5 where (Col1='Single')"",0)"),145.1)</f>
        <v>145.1</v>
      </c>
      <c r="J199" s="146">
        <f>IFERROR(__xludf.DUMMYFUNCTION("""COMPUTED_VALUE"""),83.9)</f>
        <v>83.9</v>
      </c>
      <c r="K199" s="146">
        <f>IFERROR(__xludf.DUMMYFUNCTION("""COMPUTED_VALUE"""),151.9)</f>
        <v>151.9</v>
      </c>
      <c r="L199" s="146">
        <f>IFERROR(__xludf.DUMMYFUNCTION("""COMPUTED_VALUE"""),381.0)</f>
        <v>381</v>
      </c>
      <c r="M199" s="146"/>
    </row>
    <row r="200">
      <c r="A200" s="131" t="s">
        <v>68</v>
      </c>
      <c r="B200" s="132" t="s">
        <v>67</v>
      </c>
      <c r="C200" s="148" t="str">
        <f t="shared" si="10"/>
        <v>http://openpowerlifting.org/u/JayaMandala</v>
      </c>
      <c r="D200" s="145"/>
      <c r="E200" s="146">
        <v>115.0</v>
      </c>
      <c r="F200" s="146">
        <v>72.5</v>
      </c>
      <c r="G200" s="146">
        <v>175.0</v>
      </c>
      <c r="H200" s="146">
        <v>362.5</v>
      </c>
      <c r="I200" s="146" t="str">
        <f>IFERROR(__xludf.DUMMYFUNCTION("QUERY(IMPORTHTML(C200,""table"",1),""Select Col2,Col3,Col4,Col5 where (Col1='Single')"",0)"),"#N/A")</f>
        <v>#N/A</v>
      </c>
      <c r="J200" s="146"/>
      <c r="K200" s="146"/>
      <c r="L200" s="146"/>
      <c r="M200" s="146"/>
    </row>
    <row r="201">
      <c r="A201" s="131" t="s">
        <v>598</v>
      </c>
      <c r="B201" s="132" t="s">
        <v>599</v>
      </c>
      <c r="C201" s="148" t="str">
        <f t="shared" si="10"/>
        <v>http://openpowerlifting.org/u/GeraldineTafolla</v>
      </c>
      <c r="D201" s="145"/>
      <c r="E201" s="146" t="e">
        <v>#N/A</v>
      </c>
      <c r="F201" s="146"/>
      <c r="G201" s="146"/>
      <c r="H201" s="146"/>
      <c r="I201" s="146">
        <f>IFERROR(__xludf.DUMMYFUNCTION("QUERY(IMPORTHTML(C201,""table"",1),""Select Col2,Col3,Col4,Col5 where (Col1='Single')"",0)"),152.5)</f>
        <v>152.5</v>
      </c>
      <c r="J201" s="146">
        <f>IFERROR(__xludf.DUMMYFUNCTION("""COMPUTED_VALUE"""),77.5)</f>
        <v>77.5</v>
      </c>
      <c r="K201" s="146">
        <f>IFERROR(__xludf.DUMMYFUNCTION("""COMPUTED_VALUE"""),149.6)</f>
        <v>149.6</v>
      </c>
      <c r="L201" s="146">
        <f>IFERROR(__xludf.DUMMYFUNCTION("""COMPUTED_VALUE"""),362.8)</f>
        <v>362.8</v>
      </c>
      <c r="M201" s="146"/>
    </row>
    <row r="202">
      <c r="A202" s="131" t="s">
        <v>600</v>
      </c>
      <c r="B202" s="132" t="s">
        <v>601</v>
      </c>
      <c r="C202" s="148" t="str">
        <f t="shared" si="10"/>
        <v>http://openpowerlifting.org/u/KarliQuintanilla</v>
      </c>
      <c r="D202" s="145"/>
      <c r="E202" s="146" t="e">
        <v>#N/A</v>
      </c>
      <c r="F202" s="146"/>
      <c r="G202" s="146"/>
      <c r="H202" s="146"/>
      <c r="I202" s="146">
        <f>IFERROR(__xludf.DUMMYFUNCTION("QUERY(IMPORTHTML(C202,""table"",1),""Select Col2,Col3,Col4,Col5 where (Col1='Single')"",0)"),145.0)</f>
        <v>145</v>
      </c>
      <c r="J202" s="146">
        <f>IFERROR(__xludf.DUMMYFUNCTION("""COMPUTED_VALUE"""),77.5)</f>
        <v>77.5</v>
      </c>
      <c r="K202" s="146">
        <f>IFERROR(__xludf.DUMMYFUNCTION("""COMPUTED_VALUE"""),137.5)</f>
        <v>137.5</v>
      </c>
      <c r="L202" s="146">
        <f>IFERROR(__xludf.DUMMYFUNCTION("""COMPUTED_VALUE"""),360.0)</f>
        <v>360</v>
      </c>
      <c r="M202" s="146"/>
    </row>
    <row r="203">
      <c r="A203" s="131" t="s">
        <v>602</v>
      </c>
      <c r="B203" s="132" t="s">
        <v>332</v>
      </c>
      <c r="C203" s="148" t="str">
        <f t="shared" si="10"/>
        <v>http://openpowerlifting.org/u/AddisonReed</v>
      </c>
      <c r="D203" s="145"/>
      <c r="E203" s="146" t="e">
        <v>#N/A</v>
      </c>
      <c r="F203" s="146"/>
      <c r="G203" s="146"/>
      <c r="H203" s="146"/>
      <c r="I203" s="146">
        <f>IFERROR(__xludf.DUMMYFUNCTION("QUERY(IMPORTHTML(C203,""table"",1),""Select Col2,Col3,Col4,Col5 where (Col1='Single')"",0)"),147.5)</f>
        <v>147.5</v>
      </c>
      <c r="J203" s="146">
        <f>IFERROR(__xludf.DUMMYFUNCTION("""COMPUTED_VALUE"""),90.0)</f>
        <v>90</v>
      </c>
      <c r="K203" s="146">
        <f>IFERROR(__xludf.DUMMYFUNCTION("""COMPUTED_VALUE"""),138.3)</f>
        <v>138.3</v>
      </c>
      <c r="L203" s="146">
        <f>IFERROR(__xludf.DUMMYFUNCTION("""COMPUTED_VALUE"""),362.8)</f>
        <v>362.8</v>
      </c>
      <c r="M203" s="146"/>
    </row>
    <row r="204">
      <c r="A204" s="131" t="s">
        <v>603</v>
      </c>
      <c r="B204" s="132" t="s">
        <v>604</v>
      </c>
      <c r="C204" s="148" t="str">
        <f t="shared" si="10"/>
        <v>http://openpowerlifting.org/u/NataliDominguez</v>
      </c>
      <c r="D204" s="145"/>
      <c r="E204" s="146">
        <v>110.0</v>
      </c>
      <c r="F204" s="146">
        <v>67.5</v>
      </c>
      <c r="G204" s="146">
        <v>132.5</v>
      </c>
      <c r="H204" s="146">
        <v>310.0</v>
      </c>
      <c r="I204" s="146">
        <f>IFERROR(__xludf.DUMMYFUNCTION("QUERY(IMPORTHTML(C204,""table"",1),""Select Col2,Col3,Col4,Col5 where (Col1='Single')"",0)"),155.0)</f>
        <v>155</v>
      </c>
      <c r="J204" s="146">
        <f>IFERROR(__xludf.DUMMYFUNCTION("""COMPUTED_VALUE"""),95.5)</f>
        <v>95.5</v>
      </c>
      <c r="K204" s="146">
        <f>IFERROR(__xludf.DUMMYFUNCTION("""COMPUTED_VALUE"""),137.5)</f>
        <v>137.5</v>
      </c>
      <c r="L204" s="146">
        <f>IFERROR(__xludf.DUMMYFUNCTION("""COMPUTED_VALUE"""),385.5)</f>
        <v>385.5</v>
      </c>
      <c r="M204" s="146"/>
    </row>
    <row r="205">
      <c r="A205" s="131" t="s">
        <v>104</v>
      </c>
      <c r="B205" s="132" t="s">
        <v>103</v>
      </c>
      <c r="C205" s="148" t="str">
        <f t="shared" si="10"/>
        <v>http://openpowerlifting.org/u/DaryaBernard</v>
      </c>
      <c r="D205" s="145"/>
      <c r="E205" s="146">
        <v>115.0</v>
      </c>
      <c r="F205" s="146">
        <v>70.0</v>
      </c>
      <c r="G205" s="146">
        <v>137.5</v>
      </c>
      <c r="H205" s="146">
        <v>322.5</v>
      </c>
      <c r="I205" s="146">
        <f>IFERROR(__xludf.DUMMYFUNCTION("QUERY(IMPORTHTML(C205,""table"",1),""Select Col2,Col3,Col4,Col5 where (Col1='Single')"",0)"),117.5)</f>
        <v>117.5</v>
      </c>
      <c r="J205" s="146">
        <f>IFERROR(__xludf.DUMMYFUNCTION("""COMPUTED_VALUE"""),87.5)</f>
        <v>87.5</v>
      </c>
      <c r="K205" s="146">
        <f>IFERROR(__xludf.DUMMYFUNCTION("""COMPUTED_VALUE"""),147.5)</f>
        <v>147.5</v>
      </c>
      <c r="L205" s="146">
        <f>IFERROR(__xludf.DUMMYFUNCTION("""COMPUTED_VALUE"""),352.5)</f>
        <v>352.5</v>
      </c>
      <c r="M205" s="146"/>
    </row>
    <row r="206">
      <c r="A206" s="131" t="s">
        <v>605</v>
      </c>
      <c r="B206" s="132" t="s">
        <v>606</v>
      </c>
      <c r="C206" s="148" t="str">
        <f t="shared" si="10"/>
        <v>http://openpowerlifting.org/u/BrookeDavenport</v>
      </c>
      <c r="D206" s="145"/>
      <c r="E206" s="146" t="e">
        <v>#N/A</v>
      </c>
      <c r="F206" s="146"/>
      <c r="G206" s="146"/>
      <c r="H206" s="146"/>
      <c r="I206" s="146">
        <f>IFERROR(__xludf.DUMMYFUNCTION("QUERY(IMPORTHTML(C206,""table"",1),""Select Col2,Col3,Col4,Col5 where (Col1='Single')"",0)"),170.1)</f>
        <v>170.1</v>
      </c>
      <c r="J206" s="146">
        <f>IFERROR(__xludf.DUMMYFUNCTION("""COMPUTED_VALUE"""),86.1)</f>
        <v>86.1</v>
      </c>
      <c r="K206" s="146">
        <f>IFERROR(__xludf.DUMMYFUNCTION("""COMPUTED_VALUE"""),140.6)</f>
        <v>140.6</v>
      </c>
      <c r="L206" s="146">
        <f>IFERROR(__xludf.DUMMYFUNCTION("""COMPUTED_VALUE"""),396.8)</f>
        <v>396.8</v>
      </c>
      <c r="M206" s="146"/>
    </row>
    <row r="207">
      <c r="A207" s="131" t="s">
        <v>607</v>
      </c>
      <c r="B207" s="132" t="s">
        <v>393</v>
      </c>
      <c r="C207" s="148" t="str">
        <f t="shared" si="10"/>
        <v>http://openpowerlifting.org/u/DominiqueDelarosa</v>
      </c>
      <c r="D207" s="145"/>
      <c r="E207" s="146" t="str">
        <f>IFERROR(__xludf.DUMMYFUNCTION("QUERY(IMPORTHTML(C207,""table"",1),""Select Col2,Col3,Col4,Col5 where (Col1='Raw')"",0)"),"#N/A")</f>
        <v>#N/A</v>
      </c>
      <c r="F207" s="146"/>
      <c r="G207" s="146"/>
      <c r="H207" s="146"/>
      <c r="I207" s="146" t="str">
        <f>IFERROR(__xludf.DUMMYFUNCTION("QUERY(IMPORTHTML(C207,""table"",1),""Select Col2,Col3,Col4,Col5 where (Col1='Single')"",0)"),"#N/A")</f>
        <v>#N/A</v>
      </c>
      <c r="J207" s="146"/>
      <c r="K207" s="146"/>
      <c r="L207" s="146"/>
      <c r="M207" s="146"/>
    </row>
    <row r="208">
      <c r="A208" s="131" t="s">
        <v>608</v>
      </c>
      <c r="B208" s="132" t="s">
        <v>554</v>
      </c>
      <c r="C208" s="148" t="str">
        <f t="shared" si="10"/>
        <v>http://openpowerlifting.org/u/SavannahNejtek</v>
      </c>
      <c r="D208" s="145"/>
      <c r="E208" s="146">
        <v>145.0</v>
      </c>
      <c r="F208" s="146">
        <v>55.0</v>
      </c>
      <c r="G208" s="146">
        <v>152.5</v>
      </c>
      <c r="H208" s="146">
        <v>352.5</v>
      </c>
      <c r="I208" s="146">
        <f>IFERROR(__xludf.DUMMYFUNCTION("QUERY(IMPORTHTML(C208,""table"",1),""Select Col2,Col3,Col4,Col5 where (Col1='Single')"",0)"),136.0)</f>
        <v>136</v>
      </c>
      <c r="J208" s="146">
        <f>IFERROR(__xludf.DUMMYFUNCTION("""COMPUTED_VALUE"""),56.7)</f>
        <v>56.7</v>
      </c>
      <c r="K208" s="146">
        <f>IFERROR(__xludf.DUMMYFUNCTION("""COMPUTED_VALUE"""),136.0)</f>
        <v>136</v>
      </c>
      <c r="L208" s="146">
        <f>IFERROR(__xludf.DUMMYFUNCTION("""COMPUTED_VALUE"""),328.8)</f>
        <v>328.8</v>
      </c>
      <c r="M208" s="146"/>
    </row>
    <row r="209">
      <c r="A209" s="131" t="s">
        <v>88</v>
      </c>
      <c r="B209" s="132" t="s">
        <v>87</v>
      </c>
      <c r="C209" s="148" t="str">
        <f t="shared" si="10"/>
        <v>http://openpowerlifting.org/u/IsabellaStone</v>
      </c>
      <c r="D209" s="145"/>
      <c r="E209" s="146">
        <v>130.0</v>
      </c>
      <c r="F209" s="146">
        <v>77.5</v>
      </c>
      <c r="G209" s="146">
        <v>140.0</v>
      </c>
      <c r="H209" s="146">
        <v>347.5</v>
      </c>
      <c r="I209" s="146">
        <f>IFERROR(__xludf.DUMMYFUNCTION("QUERY(IMPORTHTML(C209,""table"",1),""Select Col2,Col3,Col4,Col5 where (Col1='Single')"",0)"),135.0)</f>
        <v>135</v>
      </c>
      <c r="J209" s="146">
        <f>IFERROR(__xludf.DUMMYFUNCTION("""COMPUTED_VALUE"""),85.0)</f>
        <v>85</v>
      </c>
      <c r="K209" s="146">
        <f>IFERROR(__xludf.DUMMYFUNCTION("""COMPUTED_VALUE"""),132.5)</f>
        <v>132.5</v>
      </c>
      <c r="L209" s="146">
        <f>IFERROR(__xludf.DUMMYFUNCTION("""COMPUTED_VALUE"""),352.5)</f>
        <v>352.5</v>
      </c>
      <c r="M209" s="146"/>
    </row>
    <row r="210">
      <c r="A210" s="131" t="s">
        <v>388</v>
      </c>
      <c r="B210" s="132" t="s">
        <v>97</v>
      </c>
      <c r="C210" s="148" t="str">
        <f t="shared" si="10"/>
        <v>http://openpowerlifting.org/u/LaurenGomez</v>
      </c>
      <c r="D210" s="145"/>
      <c r="E210" s="146">
        <v>135.0</v>
      </c>
      <c r="F210" s="146">
        <v>65.0</v>
      </c>
      <c r="G210" s="146">
        <v>150.0</v>
      </c>
      <c r="H210" s="146">
        <v>350.0</v>
      </c>
      <c r="I210" s="146" t="str">
        <f>IFERROR(__xludf.DUMMYFUNCTION("QUERY(IMPORTHTML(C210,""table"",1),""Select Col2,Col3,Col4,Col5 where (Col1='Single')"",0)"),"#N/A")</f>
        <v>#N/A</v>
      </c>
      <c r="J210" s="146"/>
      <c r="K210" s="146"/>
      <c r="L210" s="146"/>
      <c r="M210" s="146"/>
    </row>
    <row r="211">
      <c r="A211" s="131" t="s">
        <v>108</v>
      </c>
      <c r="B211" s="132" t="s">
        <v>610</v>
      </c>
      <c r="C211" s="148" t="str">
        <f t="shared" si="10"/>
        <v>http://openpowerlifting.org/u/BrooklynThomas</v>
      </c>
      <c r="D211" s="145"/>
      <c r="E211" s="146">
        <v>137.5</v>
      </c>
      <c r="F211" s="146">
        <v>65.0</v>
      </c>
      <c r="G211" s="146">
        <v>147.5</v>
      </c>
      <c r="H211" s="146">
        <v>350.0</v>
      </c>
      <c r="I211" s="146">
        <f>IFERROR(__xludf.DUMMYFUNCTION("QUERY(IMPORTHTML(C211,""table"",1),""Select Col2,Col3,Col4,Col5 where (Col1='Single')"",0)"),120.2)</f>
        <v>120.2</v>
      </c>
      <c r="J211" s="146">
        <f>IFERROR(__xludf.DUMMYFUNCTION("""COMPUTED_VALUE"""),54.4)</f>
        <v>54.4</v>
      </c>
      <c r="K211" s="146">
        <f>IFERROR(__xludf.DUMMYFUNCTION("""COMPUTED_VALUE"""),124.7)</f>
        <v>124.7</v>
      </c>
      <c r="L211" s="146">
        <f>IFERROR(__xludf.DUMMYFUNCTION("""COMPUTED_VALUE"""),297.1)</f>
        <v>297.1</v>
      </c>
      <c r="M211" s="147"/>
    </row>
    <row r="212">
      <c r="A212" s="131" t="s">
        <v>61</v>
      </c>
      <c r="B212" s="132" t="s">
        <v>60</v>
      </c>
      <c r="C212" s="148" t="str">
        <f t="shared" si="10"/>
        <v>http://openpowerlifting.org/u/AmandaO'Brien</v>
      </c>
      <c r="D212" s="145"/>
      <c r="E212" s="146" t="str">
        <f>IFERROR(__xludf.DUMMYFUNCTION("QUERY(IMPORTHTML(C212,""table"",1),""Select Col2,Col3,Col4,Col5 where (Col1='Raw')"",0)"),"Loading...")</f>
        <v>Loading...</v>
      </c>
      <c r="F212" s="146"/>
      <c r="G212" s="146"/>
      <c r="H212" s="146"/>
      <c r="I212" s="146" t="str">
        <f>IFERROR(__xludf.DUMMYFUNCTION("QUERY(IMPORTHTML(C212,""table"",1),""Select Col2,Col3,Col4,Col5 where (Col1='Single')"",0)"),"Loading...")</f>
        <v>Loading...</v>
      </c>
      <c r="J212" s="146"/>
      <c r="K212" s="146"/>
      <c r="L212" s="146"/>
      <c r="M212" s="147"/>
    </row>
    <row r="213">
      <c r="A213" s="131" t="s">
        <v>611</v>
      </c>
      <c r="B213" s="132" t="s">
        <v>612</v>
      </c>
      <c r="C213" s="148" t="str">
        <f t="shared" si="10"/>
        <v>http://openpowerlifting.org/u/ArianaCamarillo</v>
      </c>
      <c r="D213" s="145"/>
      <c r="E213" s="146" t="e">
        <v>#N/A</v>
      </c>
      <c r="F213" s="146"/>
      <c r="G213" s="146"/>
      <c r="H213" s="146"/>
      <c r="I213" s="146">
        <f>IFERROR(__xludf.DUMMYFUNCTION("QUERY(IMPORTHTML(C213,""table"",1),""Select Col2,Col3,Col4,Col5 where (Col1='Single')"",0)"),165.5)</f>
        <v>165.5</v>
      </c>
      <c r="J213" s="146">
        <f>IFERROR(__xludf.DUMMYFUNCTION("""COMPUTED_VALUE"""),81.6)</f>
        <v>81.6</v>
      </c>
      <c r="K213" s="146">
        <f>IFERROR(__xludf.DUMMYFUNCTION("""COMPUTED_VALUE"""),149.6)</f>
        <v>149.6</v>
      </c>
      <c r="L213" s="146">
        <f>IFERROR(__xludf.DUMMYFUNCTION("""COMPUTED_VALUE"""),390.0)</f>
        <v>390</v>
      </c>
      <c r="M213" s="146"/>
    </row>
    <row r="214">
      <c r="A214" s="131" t="s">
        <v>613</v>
      </c>
      <c r="B214" s="132" t="s">
        <v>614</v>
      </c>
      <c r="C214" s="148" t="str">
        <f t="shared" si="10"/>
        <v>http://openpowerlifting.org/u/CeniaGonzalez</v>
      </c>
      <c r="D214" s="145"/>
      <c r="E214" s="146" t="e">
        <v>#N/A</v>
      </c>
      <c r="F214" s="146"/>
      <c r="G214" s="146"/>
      <c r="H214" s="146"/>
      <c r="I214" s="146">
        <f>IFERROR(__xludf.DUMMYFUNCTION("QUERY(IMPORTHTML(C214,""table"",1),""Select Col2,Col3,Col4,Col5 where (Col1='Single')"",0)"),132.5)</f>
        <v>132.5</v>
      </c>
      <c r="J214" s="146">
        <f>IFERROR(__xludf.DUMMYFUNCTION("""COMPUTED_VALUE"""),70.0)</f>
        <v>70</v>
      </c>
      <c r="K214" s="146">
        <f>IFERROR(__xludf.DUMMYFUNCTION("""COMPUTED_VALUE"""),142.5)</f>
        <v>142.5</v>
      </c>
      <c r="L214" s="146">
        <f>IFERROR(__xludf.DUMMYFUNCTION("""COMPUTED_VALUE"""),345.0)</f>
        <v>345</v>
      </c>
      <c r="M214" s="146"/>
    </row>
    <row r="215">
      <c r="A215" s="131" t="s">
        <v>615</v>
      </c>
      <c r="B215" s="132" t="s">
        <v>470</v>
      </c>
      <c r="C215" s="148" t="str">
        <f t="shared" si="10"/>
        <v>http://openpowerlifting.org/u/KayleeLongoria</v>
      </c>
      <c r="D215" s="145"/>
      <c r="E215" s="146" t="e">
        <v>#N/A</v>
      </c>
      <c r="F215" s="146"/>
      <c r="G215" s="146"/>
      <c r="H215" s="146"/>
      <c r="I215" s="146">
        <f>IFERROR(__xludf.DUMMYFUNCTION("QUERY(IMPORTHTML(C215,""table"",1),""Select Col2,Col3,Col4,Col5 where (Col1='Single')"",0)"),135.0)</f>
        <v>135</v>
      </c>
      <c r="J215" s="146">
        <f>IFERROR(__xludf.DUMMYFUNCTION("""COMPUTED_VALUE"""),77.5)</f>
        <v>77.5</v>
      </c>
      <c r="K215" s="146">
        <f>IFERROR(__xludf.DUMMYFUNCTION("""COMPUTED_VALUE"""),132.5)</f>
        <v>132.5</v>
      </c>
      <c r="L215" s="146">
        <f>IFERROR(__xludf.DUMMYFUNCTION("""COMPUTED_VALUE"""),345.0)</f>
        <v>345</v>
      </c>
      <c r="M215" s="146"/>
    </row>
    <row r="216">
      <c r="A216" s="131" t="s">
        <v>41</v>
      </c>
      <c r="B216" s="132" t="s">
        <v>40</v>
      </c>
      <c r="C216" s="148" t="str">
        <f t="shared" si="10"/>
        <v>http://openpowerlifting.org/u/RavenMathews</v>
      </c>
      <c r="D216" s="145"/>
      <c r="E216" s="146">
        <v>107.5</v>
      </c>
      <c r="F216" s="146">
        <v>57.5</v>
      </c>
      <c r="G216" s="146">
        <v>115.0</v>
      </c>
      <c r="H216" s="146">
        <v>280.0</v>
      </c>
      <c r="I216" s="146">
        <f>IFERROR(__xludf.DUMMYFUNCTION("QUERY(IMPORTHTML(C216,""table"",1),""Select Col2,Col3,Col4,Col5 where (Col1='Single')"",0)"),137.5)</f>
        <v>137.5</v>
      </c>
      <c r="J216" s="146">
        <f>IFERROR(__xludf.DUMMYFUNCTION("""COMPUTED_VALUE"""),75.0)</f>
        <v>75</v>
      </c>
      <c r="K216" s="146">
        <f>IFERROR(__xludf.DUMMYFUNCTION("""COMPUTED_VALUE"""),132.5)</f>
        <v>132.5</v>
      </c>
      <c r="L216" s="146">
        <f>IFERROR(__xludf.DUMMYFUNCTION("""COMPUTED_VALUE"""),345.0)</f>
        <v>345</v>
      </c>
      <c r="M216" s="147"/>
    </row>
    <row r="217">
      <c r="A217" s="131" t="s">
        <v>616</v>
      </c>
      <c r="B217" s="132" t="s">
        <v>49</v>
      </c>
      <c r="C217" s="149" t="s">
        <v>742</v>
      </c>
      <c r="D217" s="145"/>
      <c r="E217" s="146">
        <v>82.5</v>
      </c>
      <c r="F217" s="146">
        <v>52.5</v>
      </c>
      <c r="G217" s="146">
        <v>105.0</v>
      </c>
      <c r="H217" s="146">
        <v>240.0</v>
      </c>
      <c r="I217" s="146">
        <f>IFERROR(__xludf.DUMMYFUNCTION("QUERY(IMPORTHTML(C217,""table"",1),""Select Col2,Col3,Col4,Col5 where (Col1='Single')"",0)"),140.0)</f>
        <v>140</v>
      </c>
      <c r="J217" s="146">
        <f>IFERROR(__xludf.DUMMYFUNCTION("""COMPUTED_VALUE"""),82.5)</f>
        <v>82.5</v>
      </c>
      <c r="K217" s="146">
        <f>IFERROR(__xludf.DUMMYFUNCTION("""COMPUTED_VALUE"""),125.0)</f>
        <v>125</v>
      </c>
      <c r="L217" s="146">
        <f>IFERROR(__xludf.DUMMYFUNCTION("""COMPUTED_VALUE"""),343.0)</f>
        <v>343</v>
      </c>
      <c r="M217" s="147"/>
    </row>
    <row r="218">
      <c r="A218" s="131" t="s">
        <v>66</v>
      </c>
      <c r="B218" s="132" t="s">
        <v>65</v>
      </c>
      <c r="C218" s="148" t="str">
        <f t="shared" ref="C218:C221" si="11">"http://openpowerlifting.org/u/"&amp;B218&amp;A218</f>
        <v>http://openpowerlifting.org/u/JennieWang</v>
      </c>
      <c r="D218" s="145"/>
      <c r="E218" s="146">
        <v>112.5</v>
      </c>
      <c r="F218" s="146">
        <v>62.5</v>
      </c>
      <c r="G218" s="146">
        <v>167.5</v>
      </c>
      <c r="H218" s="146">
        <v>342.5</v>
      </c>
      <c r="I218" s="146" t="str">
        <f>IFERROR(__xludf.DUMMYFUNCTION("QUERY(IMPORTHTML(C218,""table"",1),""Select Col2,Col3,Col4,Col5 where (Col1='Single')"",0)"),"#N/A")</f>
        <v>#N/A</v>
      </c>
      <c r="J218" s="146"/>
      <c r="K218" s="146"/>
      <c r="L218" s="146"/>
      <c r="M218" s="146"/>
    </row>
    <row r="219">
      <c r="A219" s="131" t="s">
        <v>335</v>
      </c>
      <c r="B219" s="132" t="s">
        <v>617</v>
      </c>
      <c r="C219" s="148" t="str">
        <f t="shared" si="11"/>
        <v>http://openpowerlifting.org/u/SallyGreen</v>
      </c>
      <c r="D219" s="145"/>
      <c r="E219" s="146">
        <v>75.0</v>
      </c>
      <c r="F219" s="146">
        <v>42.5</v>
      </c>
      <c r="G219" s="146">
        <v>110.0</v>
      </c>
      <c r="H219" s="146">
        <v>227.5</v>
      </c>
      <c r="I219" s="146">
        <f>IFERROR(__xludf.DUMMYFUNCTION("QUERY(IMPORTHTML(C219,""table"",1),""Select Col2,Col3,Col4,Col5 where (Col1='Single')"",0)"),130.0)</f>
        <v>130</v>
      </c>
      <c r="J219" s="146">
        <f>IFERROR(__xludf.DUMMYFUNCTION("""COMPUTED_VALUE"""),60.0)</f>
        <v>60</v>
      </c>
      <c r="K219" s="146">
        <f>IFERROR(__xludf.DUMMYFUNCTION("""COMPUTED_VALUE"""),152.5)</f>
        <v>152.5</v>
      </c>
      <c r="L219" s="146">
        <f>IFERROR(__xludf.DUMMYFUNCTION("""COMPUTED_VALUE"""),340.0)</f>
        <v>340</v>
      </c>
      <c r="M219" s="146"/>
    </row>
    <row r="220">
      <c r="A220" s="131" t="s">
        <v>618</v>
      </c>
      <c r="B220" s="132" t="s">
        <v>619</v>
      </c>
      <c r="C220" s="148" t="str">
        <f t="shared" si="11"/>
        <v>http://openpowerlifting.org/u/AlexandriaLicea</v>
      </c>
      <c r="D220" s="145"/>
      <c r="E220" s="146" t="e">
        <v>#N/A</v>
      </c>
      <c r="F220" s="146"/>
      <c r="G220" s="146"/>
      <c r="H220" s="146"/>
      <c r="I220" s="146">
        <f>IFERROR(__xludf.DUMMYFUNCTION("QUERY(IMPORTHTML(C220,""table"",1),""Select Col2,Col3,Col4,Col5 where (Col1='Single')"",0)"),137.5)</f>
        <v>137.5</v>
      </c>
      <c r="J220" s="146">
        <f>IFERROR(__xludf.DUMMYFUNCTION("""COMPUTED_VALUE"""),77.5)</f>
        <v>77.5</v>
      </c>
      <c r="K220" s="146">
        <f>IFERROR(__xludf.DUMMYFUNCTION("""COMPUTED_VALUE"""),125.0)</f>
        <v>125</v>
      </c>
      <c r="L220" s="146">
        <f>IFERROR(__xludf.DUMMYFUNCTION("""COMPUTED_VALUE"""),340.0)</f>
        <v>340</v>
      </c>
      <c r="M220" s="146"/>
    </row>
    <row r="221">
      <c r="A221" s="131" t="s">
        <v>620</v>
      </c>
      <c r="B221" s="132" t="s">
        <v>621</v>
      </c>
      <c r="C221" s="148" t="str">
        <f t="shared" si="11"/>
        <v>http://openpowerlifting.org/u/CassandraMixon</v>
      </c>
      <c r="D221" s="145"/>
      <c r="E221" s="146" t="e">
        <v>#N/A</v>
      </c>
      <c r="F221" s="146"/>
      <c r="G221" s="146"/>
      <c r="H221" s="146"/>
      <c r="I221" s="146">
        <f>IFERROR(__xludf.DUMMYFUNCTION("QUERY(IMPORTHTML(C221,""table"",1),""Select Col2,Col3,Col4,Col5 where (Col1='Single')"",0)"),112.5)</f>
        <v>112.5</v>
      </c>
      <c r="J221" s="146">
        <f>IFERROR(__xludf.DUMMYFUNCTION("""COMPUTED_VALUE"""),97.5)</f>
        <v>97.5</v>
      </c>
      <c r="K221" s="146">
        <f>IFERROR(__xludf.DUMMYFUNCTION("""COMPUTED_VALUE"""),130.0)</f>
        <v>130</v>
      </c>
      <c r="L221" s="146">
        <f>IFERROR(__xludf.DUMMYFUNCTION("""COMPUTED_VALUE"""),340.0)</f>
        <v>340</v>
      </c>
      <c r="M221" s="146"/>
    </row>
    <row r="222">
      <c r="A222" s="131" t="s">
        <v>84</v>
      </c>
      <c r="B222" s="132" t="s">
        <v>69</v>
      </c>
      <c r="C222" s="149" t="s">
        <v>743</v>
      </c>
      <c r="D222" s="145"/>
      <c r="E222" s="146" t="str">
        <f>IFERROR(__xludf.DUMMYFUNCTION("QUERY(IMPORTHTML(C222,""table"",1),""Select Col2,Col3,Col4,Col5 where (Col1='Raw')"",0)"),"Loading...")</f>
        <v>Loading...</v>
      </c>
      <c r="F222" s="146"/>
      <c r="G222" s="146"/>
      <c r="H222" s="146"/>
      <c r="I222" s="146" t="str">
        <f>IFERROR(__xludf.DUMMYFUNCTION("QUERY(IMPORTHTML(C222,""table"",1),""Select Col2,Col3,Col4,Col5 where (Col1='Single')"",0)"),"Loading...")</f>
        <v>Loading...</v>
      </c>
      <c r="J222" s="146"/>
      <c r="K222" s="146"/>
      <c r="L222" s="146"/>
      <c r="M222" s="146"/>
    </row>
    <row r="223">
      <c r="A223" s="131" t="s">
        <v>623</v>
      </c>
      <c r="B223" s="132" t="s">
        <v>624</v>
      </c>
      <c r="C223" s="148" t="str">
        <f t="shared" ref="C223:C236" si="12">"http://openpowerlifting.org/u/"&amp;B223&amp;A223</f>
        <v>http://openpowerlifting.org/u/SofiaRojas</v>
      </c>
      <c r="D223" s="145"/>
      <c r="E223" s="146">
        <v>130.0</v>
      </c>
      <c r="F223" s="146">
        <v>77.5</v>
      </c>
      <c r="G223" s="146">
        <v>132.5</v>
      </c>
      <c r="H223" s="146">
        <v>340.0</v>
      </c>
      <c r="I223" s="146" t="str">
        <f>IFERROR(__xludf.DUMMYFUNCTION("QUERY(IMPORTHTML(C223,""table"",1),""Select Col2,Col3,Col4,Col5 where (Col1='Single')"",0)"),"#N/A")</f>
        <v>#N/A</v>
      </c>
      <c r="J223" s="146"/>
      <c r="K223" s="146"/>
      <c r="L223" s="146"/>
      <c r="M223" s="146"/>
    </row>
    <row r="224">
      <c r="A224" s="131" t="s">
        <v>489</v>
      </c>
      <c r="B224" s="132" t="s">
        <v>625</v>
      </c>
      <c r="C224" s="148" t="str">
        <f t="shared" si="12"/>
        <v>http://openpowerlifting.org/u/TekiyahMarshall</v>
      </c>
      <c r="D224" s="145"/>
      <c r="E224" s="146" t="e">
        <v>#N/A</v>
      </c>
      <c r="F224" s="146"/>
      <c r="G224" s="146"/>
      <c r="H224" s="146"/>
      <c r="I224" s="146">
        <f>IFERROR(__xludf.DUMMYFUNCTION("QUERY(IMPORTHTML(C224,""table"",1),""Select Col2,Col3,Col4,Col5 where (Col1='Single')"",0)"),125.0)</f>
        <v>125</v>
      </c>
      <c r="J224" s="146">
        <f>IFERROR(__xludf.DUMMYFUNCTION("""COMPUTED_VALUE"""),80.0)</f>
        <v>80</v>
      </c>
      <c r="K224" s="146">
        <f>IFERROR(__xludf.DUMMYFUNCTION("""COMPUTED_VALUE"""),132.5)</f>
        <v>132.5</v>
      </c>
      <c r="L224" s="146">
        <f>IFERROR(__xludf.DUMMYFUNCTION("""COMPUTED_VALUE"""),337.5)</f>
        <v>337.5</v>
      </c>
      <c r="M224" s="146"/>
    </row>
    <row r="225">
      <c r="A225" s="131" t="s">
        <v>626</v>
      </c>
      <c r="B225" s="132" t="s">
        <v>495</v>
      </c>
      <c r="C225" s="148" t="str">
        <f t="shared" si="12"/>
        <v>http://openpowerlifting.org/u/AlyssaOrtega</v>
      </c>
      <c r="D225" s="145"/>
      <c r="E225" s="146">
        <v>130.0</v>
      </c>
      <c r="F225" s="146">
        <v>57.5</v>
      </c>
      <c r="G225" s="146">
        <v>142.5</v>
      </c>
      <c r="H225" s="146">
        <v>330.0</v>
      </c>
      <c r="I225" s="146">
        <f>IFERROR(__xludf.DUMMYFUNCTION("QUERY(IMPORTHTML(C225,""table"",1),""Select Col2,Col3,Col4,Col5 where (Col1='Single')"",0)"),86.1)</f>
        <v>86.1</v>
      </c>
      <c r="J225" s="146">
        <f>IFERROR(__xludf.DUMMYFUNCTION("""COMPUTED_VALUE"""),36.2)</f>
        <v>36.2</v>
      </c>
      <c r="K225" s="146">
        <f>IFERROR(__xludf.DUMMYFUNCTION("""COMPUTED_VALUE"""),88.4)</f>
        <v>88.4</v>
      </c>
      <c r="L225" s="146">
        <f>IFERROR(__xludf.DUMMYFUNCTION("""COMPUTED_VALUE"""),210.9)</f>
        <v>210.9</v>
      </c>
      <c r="M225" s="146"/>
    </row>
    <row r="226">
      <c r="A226" s="131" t="s">
        <v>627</v>
      </c>
      <c r="B226" s="132" t="s">
        <v>628</v>
      </c>
      <c r="C226" s="148" t="str">
        <f t="shared" si="12"/>
        <v>http://openpowerlifting.org/u/zoejackson</v>
      </c>
      <c r="D226" s="145"/>
      <c r="E226" s="146" t="e">
        <v>#N/A</v>
      </c>
      <c r="F226" s="146"/>
      <c r="G226" s="146"/>
      <c r="H226" s="146"/>
      <c r="I226" s="146">
        <f>IFERROR(__xludf.DUMMYFUNCTION("QUERY(IMPORTHTML(C226,""table"",1),""Select Col2,Col3,Col4,Col5 where (Col1='Single')"",0)"),125.0)</f>
        <v>125</v>
      </c>
      <c r="J226" s="146">
        <f>IFERROR(__xludf.DUMMYFUNCTION("""COMPUTED_VALUE"""),65.0)</f>
        <v>65</v>
      </c>
      <c r="K226" s="146">
        <f>IFERROR(__xludf.DUMMYFUNCTION("""COMPUTED_VALUE"""),132.5)</f>
        <v>132.5</v>
      </c>
      <c r="L226" s="146">
        <f>IFERROR(__xludf.DUMMYFUNCTION("""COMPUTED_VALUE"""),322.5)</f>
        <v>322.5</v>
      </c>
      <c r="M226" s="146"/>
    </row>
    <row r="227">
      <c r="A227" s="131" t="s">
        <v>100</v>
      </c>
      <c r="B227" s="132" t="s">
        <v>99</v>
      </c>
      <c r="C227" s="148" t="str">
        <f t="shared" si="12"/>
        <v>http://openpowerlifting.org/u/JoyLi</v>
      </c>
      <c r="D227" s="145"/>
      <c r="E227" s="146">
        <v>117.5</v>
      </c>
      <c r="F227" s="146">
        <v>65.0</v>
      </c>
      <c r="G227" s="146">
        <v>140.0</v>
      </c>
      <c r="H227" s="146">
        <v>322.5</v>
      </c>
      <c r="I227" s="146" t="str">
        <f>IFERROR(__xludf.DUMMYFUNCTION("QUERY(IMPORTHTML(C227,""table"",1),""Select Col2,Col3,Col4,Col5 where (Col1='Single')"",0)"),"#N/A")</f>
        <v>#N/A</v>
      </c>
      <c r="J227" s="146"/>
      <c r="K227" s="146"/>
      <c r="L227" s="146"/>
      <c r="M227" s="146"/>
    </row>
    <row r="228">
      <c r="A228" s="131" t="s">
        <v>629</v>
      </c>
      <c r="B228" s="132" t="s">
        <v>630</v>
      </c>
      <c r="C228" s="148" t="str">
        <f t="shared" si="12"/>
        <v>http://openpowerlifting.org/u/SaleenNyman</v>
      </c>
      <c r="D228" s="145"/>
      <c r="E228" s="146">
        <v>75.0</v>
      </c>
      <c r="F228" s="146">
        <v>45.0</v>
      </c>
      <c r="G228" s="146">
        <v>110.0</v>
      </c>
      <c r="H228" s="146">
        <v>230.0</v>
      </c>
      <c r="I228" s="146">
        <f>IFERROR(__xludf.DUMMYFUNCTION("QUERY(IMPORTHTML(C228,""table"",1),""Select Col2,Col3,Col4,Col5 where (Col1='Single')"",0)"),129.2)</f>
        <v>129.2</v>
      </c>
      <c r="J228" s="146">
        <f>IFERROR(__xludf.DUMMYFUNCTION("""COMPUTED_VALUE"""),70.0)</f>
        <v>70</v>
      </c>
      <c r="K228" s="146">
        <f>IFERROR(__xludf.DUMMYFUNCTION("""COMPUTED_VALUE"""),125.0)</f>
        <v>125</v>
      </c>
      <c r="L228" s="146">
        <f>IFERROR(__xludf.DUMMYFUNCTION("""COMPUTED_VALUE"""),322.5)</f>
        <v>322.5</v>
      </c>
      <c r="M228" s="146"/>
    </row>
    <row r="229">
      <c r="A229" s="131" t="s">
        <v>631</v>
      </c>
      <c r="B229" s="132" t="s">
        <v>632</v>
      </c>
      <c r="C229" s="148" t="str">
        <f t="shared" si="12"/>
        <v>http://openpowerlifting.org/u/AndreaRecendez</v>
      </c>
      <c r="D229" s="145"/>
      <c r="E229" s="146" t="e">
        <v>#N/A</v>
      </c>
      <c r="F229" s="146"/>
      <c r="G229" s="146"/>
      <c r="H229" s="146"/>
      <c r="I229" s="146">
        <f>IFERROR(__xludf.DUMMYFUNCTION("QUERY(IMPORTHTML(C229,""table"",1),""Select Col2,Col3,Col4,Col5 where (Col1='Single')"",0)"),127.0)</f>
        <v>127</v>
      </c>
      <c r="J229" s="146">
        <f>IFERROR(__xludf.DUMMYFUNCTION("""COMPUTED_VALUE"""),65.0)</f>
        <v>65</v>
      </c>
      <c r="K229" s="146">
        <f>IFERROR(__xludf.DUMMYFUNCTION("""COMPUTED_VALUE"""),132.5)</f>
        <v>132.5</v>
      </c>
      <c r="L229" s="146">
        <f>IFERROR(__xludf.DUMMYFUNCTION("""COMPUTED_VALUE"""),322.5)</f>
        <v>322.5</v>
      </c>
      <c r="M229" s="146"/>
    </row>
    <row r="230">
      <c r="A230" s="131" t="s">
        <v>633</v>
      </c>
      <c r="B230" s="132" t="s">
        <v>634</v>
      </c>
      <c r="C230" s="148" t="str">
        <f t="shared" si="12"/>
        <v>http://openpowerlifting.org/u/miasmith</v>
      </c>
      <c r="D230" s="145"/>
      <c r="E230" s="146">
        <v>117.5</v>
      </c>
      <c r="F230" s="146">
        <v>72.5</v>
      </c>
      <c r="G230" s="146">
        <v>167.5</v>
      </c>
      <c r="H230" s="146">
        <v>332.5</v>
      </c>
      <c r="I230" s="146">
        <f>IFERROR(__xludf.DUMMYFUNCTION("QUERY(IMPORTHTML(C230,""table"",1),""Select Col2,Col3,Col4,Col5 where (Col1='Single')"",0)"),117.5)</f>
        <v>117.5</v>
      </c>
      <c r="J230" s="146">
        <f>IFERROR(__xludf.DUMMYFUNCTION("""COMPUTED_VALUE"""),67.5)</f>
        <v>67.5</v>
      </c>
      <c r="K230" s="146">
        <f>IFERROR(__xludf.DUMMYFUNCTION("""COMPUTED_VALUE"""),137.5)</f>
        <v>137.5</v>
      </c>
      <c r="L230" s="146">
        <f>IFERROR(__xludf.DUMMYFUNCTION("""COMPUTED_VALUE"""),320.0)</f>
        <v>320</v>
      </c>
      <c r="M230" s="146"/>
    </row>
    <row r="231">
      <c r="A231" s="131" t="s">
        <v>635</v>
      </c>
      <c r="B231" s="132" t="s">
        <v>87</v>
      </c>
      <c r="C231" s="148" t="str">
        <f t="shared" si="12"/>
        <v>http://openpowerlifting.org/u/IsabellaLopez</v>
      </c>
      <c r="D231" s="145"/>
      <c r="E231" s="146" t="e">
        <v>#N/A</v>
      </c>
      <c r="F231" s="146"/>
      <c r="G231" s="146"/>
      <c r="H231" s="146"/>
      <c r="I231" s="146">
        <f>IFERROR(__xludf.DUMMYFUNCTION("QUERY(IMPORTHTML(C231,""table"",1),""Select Col2,Col3,Col4,Col5 where (Col1='Single')"",0)"),125.0)</f>
        <v>125</v>
      </c>
      <c r="J231" s="146">
        <f>IFERROR(__xludf.DUMMYFUNCTION("""COMPUTED_VALUE"""),61.2)</f>
        <v>61.2</v>
      </c>
      <c r="K231" s="146">
        <f>IFERROR(__xludf.DUMMYFUNCTION("""COMPUTED_VALUE"""),142.8)</f>
        <v>142.8</v>
      </c>
      <c r="L231" s="146">
        <f>IFERROR(__xludf.DUMMYFUNCTION("""COMPUTED_VALUE"""),319.7)</f>
        <v>319.7</v>
      </c>
      <c r="M231" s="146"/>
    </row>
    <row r="232">
      <c r="A232" s="131" t="s">
        <v>73</v>
      </c>
      <c r="B232" s="132" t="s">
        <v>72</v>
      </c>
      <c r="C232" s="148" t="str">
        <f t="shared" si="12"/>
        <v>http://openpowerlifting.org/u/JulieBuchbinder</v>
      </c>
      <c r="D232" s="145"/>
      <c r="E232" s="146">
        <v>107.5</v>
      </c>
      <c r="F232" s="146">
        <v>65.0</v>
      </c>
      <c r="G232" s="146">
        <v>105.0</v>
      </c>
      <c r="H232" s="146">
        <v>277.5</v>
      </c>
      <c r="I232" s="146">
        <f>IFERROR(__xludf.DUMMYFUNCTION("QUERY(IMPORTHTML(C232,""table"",1),""Select Col2,Col3,Col4,Col5 where (Col1='Single')"",0)"),127.5)</f>
        <v>127.5</v>
      </c>
      <c r="J232" s="146">
        <f>IFERROR(__xludf.DUMMYFUNCTION("""COMPUTED_VALUE"""),70.0)</f>
        <v>70</v>
      </c>
      <c r="K232" s="146">
        <f>IFERROR(__xludf.DUMMYFUNCTION("""COMPUTED_VALUE"""),117.5)</f>
        <v>117.5</v>
      </c>
      <c r="L232" s="146">
        <f>IFERROR(__xludf.DUMMYFUNCTION("""COMPUTED_VALUE"""),315.0)</f>
        <v>315</v>
      </c>
      <c r="M232" s="146"/>
    </row>
    <row r="233">
      <c r="A233" s="131" t="s">
        <v>47</v>
      </c>
      <c r="B233" s="132" t="s">
        <v>46</v>
      </c>
      <c r="C233" s="148" t="str">
        <f t="shared" si="12"/>
        <v>http://openpowerlifting.org/u/MihiroShimano</v>
      </c>
      <c r="D233" s="145"/>
      <c r="E233" s="146">
        <v>100.0</v>
      </c>
      <c r="F233" s="146">
        <v>57.5</v>
      </c>
      <c r="G233" s="146">
        <v>120.0</v>
      </c>
      <c r="H233" s="146">
        <v>272.5</v>
      </c>
      <c r="I233" s="146">
        <f>IFERROR(__xludf.DUMMYFUNCTION("QUERY(IMPORTHTML(C233,""table"",1),""Select Col2,Col3,Col4,Col5 where (Col1='Single')"",0)"),125.0)</f>
        <v>125</v>
      </c>
      <c r="J233" s="146">
        <f>IFERROR(__xludf.DUMMYFUNCTION("""COMPUTED_VALUE"""),70.0)</f>
        <v>70</v>
      </c>
      <c r="K233" s="146">
        <f>IFERROR(__xludf.DUMMYFUNCTION("""COMPUTED_VALUE"""),120.0)</f>
        <v>120</v>
      </c>
      <c r="L233" s="146">
        <f>IFERROR(__xludf.DUMMYFUNCTION("""COMPUTED_VALUE"""),315.0)</f>
        <v>315</v>
      </c>
      <c r="M233" s="147"/>
    </row>
    <row r="234">
      <c r="A234" s="131" t="s">
        <v>636</v>
      </c>
      <c r="B234" s="132" t="s">
        <v>637</v>
      </c>
      <c r="C234" s="148" t="str">
        <f t="shared" si="12"/>
        <v>http://openpowerlifting.org/u/LexiSteinmann</v>
      </c>
      <c r="D234" s="145"/>
      <c r="E234" s="146" t="e">
        <v>#N/A</v>
      </c>
      <c r="F234" s="146"/>
      <c r="G234" s="146"/>
      <c r="H234" s="146"/>
      <c r="I234" s="146">
        <f>IFERROR(__xludf.DUMMYFUNCTION("QUERY(IMPORTHTML(C234,""table"",1),""Select Col2,Col3,Col4,Col5 where (Col1='Single')"",0)"),127.5)</f>
        <v>127.5</v>
      </c>
      <c r="J234" s="146">
        <f>IFERROR(__xludf.DUMMYFUNCTION("""COMPUTED_VALUE"""),72.5)</f>
        <v>72.5</v>
      </c>
      <c r="K234" s="146">
        <f>IFERROR(__xludf.DUMMYFUNCTION("""COMPUTED_VALUE"""),140.0)</f>
        <v>140</v>
      </c>
      <c r="L234" s="146">
        <f>IFERROR(__xludf.DUMMYFUNCTION("""COMPUTED_VALUE"""),340.0)</f>
        <v>340</v>
      </c>
      <c r="M234" s="147"/>
    </row>
    <row r="235">
      <c r="A235" s="131" t="s">
        <v>638</v>
      </c>
      <c r="B235" s="132" t="s">
        <v>639</v>
      </c>
      <c r="C235" s="148" t="str">
        <f t="shared" si="12"/>
        <v>http://openpowerlifting.org/u/JalescaSchorsch</v>
      </c>
      <c r="D235" s="145"/>
      <c r="E235" s="146">
        <v>117.5</v>
      </c>
      <c r="F235" s="146">
        <v>55.0</v>
      </c>
      <c r="G235" s="146">
        <v>135.0</v>
      </c>
      <c r="H235" s="146">
        <v>307.5</v>
      </c>
      <c r="I235" s="146">
        <f>IFERROR(__xludf.DUMMYFUNCTION("QUERY(IMPORTHTML(C235,""table"",1),""Select Col2,Col3,Col4,Col5 where (Col1='Single')"",0)"),124.7)</f>
        <v>124.7</v>
      </c>
      <c r="J235" s="146">
        <f>IFERROR(__xludf.DUMMYFUNCTION("""COMPUTED_VALUE"""),74.8)</f>
        <v>74.8</v>
      </c>
      <c r="K235" s="146">
        <f>IFERROR(__xludf.DUMMYFUNCTION("""COMPUTED_VALUE"""),124.7)</f>
        <v>124.7</v>
      </c>
      <c r="L235" s="146">
        <f>IFERROR(__xludf.DUMMYFUNCTION("""COMPUTED_VALUE"""),324.3)</f>
        <v>324.3</v>
      </c>
      <c r="M235" s="146"/>
    </row>
    <row r="236">
      <c r="A236" s="131" t="s">
        <v>640</v>
      </c>
      <c r="B236" s="132" t="s">
        <v>641</v>
      </c>
      <c r="C236" s="148" t="str">
        <f t="shared" si="12"/>
        <v>http://openpowerlifting.org/u/LandaceAbshire</v>
      </c>
      <c r="D236" s="145"/>
      <c r="E236" s="146">
        <v>105.0</v>
      </c>
      <c r="F236" s="146">
        <v>52.5</v>
      </c>
      <c r="G236" s="146">
        <v>125.0</v>
      </c>
      <c r="H236" s="146">
        <v>282.5</v>
      </c>
      <c r="I236" s="146">
        <f>IFERROR(__xludf.DUMMYFUNCTION("QUERY(IMPORTHTML(C236,""table"",1),""Select Col2,Col3,Col4,Col5 where (Col1='Single')"",0)"),112.5)</f>
        <v>112.5</v>
      </c>
      <c r="J236" s="146">
        <f>IFERROR(__xludf.DUMMYFUNCTION("""COMPUTED_VALUE"""),52.5)</f>
        <v>52.5</v>
      </c>
      <c r="K236" s="146">
        <f>IFERROR(__xludf.DUMMYFUNCTION("""COMPUTED_VALUE"""),137.5)</f>
        <v>137.5</v>
      </c>
      <c r="L236" s="146">
        <f>IFERROR(__xludf.DUMMYFUNCTION("""COMPUTED_VALUE"""),302.5)</f>
        <v>302.5</v>
      </c>
      <c r="M236" s="146"/>
    </row>
    <row r="237">
      <c r="A237" s="131" t="s">
        <v>77</v>
      </c>
      <c r="B237" s="132" t="s">
        <v>76</v>
      </c>
      <c r="C237" s="149" t="s">
        <v>744</v>
      </c>
      <c r="D237" s="145"/>
      <c r="E237" s="146">
        <v>95.0</v>
      </c>
      <c r="F237" s="146">
        <v>62.5</v>
      </c>
      <c r="G237" s="146">
        <v>145.0</v>
      </c>
      <c r="H237" s="146">
        <v>302.5</v>
      </c>
      <c r="I237" s="146" t="str">
        <f>IFERROR(__xludf.DUMMYFUNCTION("QUERY(IMPORTHTML(C237,""table"",1),""Select Col2,Col3,Col4,Col5 where (Col1='Single')"",0)"),"#N/A")</f>
        <v>#N/A</v>
      </c>
      <c r="J237" s="146"/>
      <c r="K237" s="146"/>
      <c r="L237" s="146"/>
      <c r="M237" s="147"/>
    </row>
    <row r="238">
      <c r="A238" s="131" t="s">
        <v>642</v>
      </c>
      <c r="B238" s="132" t="s">
        <v>643</v>
      </c>
      <c r="C238" s="148" t="str">
        <f t="shared" ref="C238:C247" si="13">"http://openpowerlifting.org/u/"&amp;B238&amp;A238</f>
        <v>http://openpowerlifting.org/u/BaileeBoyett</v>
      </c>
      <c r="D238" s="145"/>
      <c r="E238" s="146" t="e">
        <v>#N/A</v>
      </c>
      <c r="F238" s="146"/>
      <c r="G238" s="146"/>
      <c r="H238" s="146"/>
      <c r="I238" s="146">
        <f>IFERROR(__xludf.DUMMYFUNCTION("QUERY(IMPORTHTML(C238,""table"",1),""Select Col2,Col3,Col4,Col5 where (Col1='Single')"",0)"),115.0)</f>
        <v>115</v>
      </c>
      <c r="J238" s="146">
        <f>IFERROR(__xludf.DUMMYFUNCTION("""COMPUTED_VALUE"""),50.0)</f>
        <v>50</v>
      </c>
      <c r="K238" s="146">
        <f>IFERROR(__xludf.DUMMYFUNCTION("""COMPUTED_VALUE"""),135.0)</f>
        <v>135</v>
      </c>
      <c r="L238" s="146">
        <f>IFERROR(__xludf.DUMMYFUNCTION("""COMPUTED_VALUE"""),300.0)</f>
        <v>300</v>
      </c>
      <c r="M238" s="146"/>
    </row>
    <row r="239">
      <c r="A239" s="131" t="s">
        <v>70</v>
      </c>
      <c r="B239" s="132" t="s">
        <v>69</v>
      </c>
      <c r="C239" s="148" t="str">
        <f t="shared" si="13"/>
        <v>http://openpowerlifting.org/u/MadisonAnton</v>
      </c>
      <c r="D239" s="145"/>
      <c r="E239" s="146">
        <v>107.5</v>
      </c>
      <c r="F239" s="146">
        <v>65.0</v>
      </c>
      <c r="G239" s="146">
        <v>122.5</v>
      </c>
      <c r="H239" s="146">
        <v>295.0</v>
      </c>
      <c r="I239" s="146" t="str">
        <f>IFERROR(__xludf.DUMMYFUNCTION("QUERY(IMPORTHTML(C239,""table"",1),""Select Col2,Col3,Col4,Col5 where (Col1='Single')"",0)"),"#N/A")</f>
        <v>#N/A</v>
      </c>
      <c r="J239" s="146"/>
      <c r="K239" s="146"/>
      <c r="L239" s="146"/>
      <c r="M239" s="146"/>
    </row>
    <row r="240">
      <c r="A240" s="131" t="s">
        <v>644</v>
      </c>
      <c r="B240" s="132" t="s">
        <v>645</v>
      </c>
      <c r="C240" s="148" t="str">
        <f t="shared" si="13"/>
        <v>http://openpowerlifting.org/u/KamrenMoore</v>
      </c>
      <c r="D240" s="145"/>
      <c r="E240" s="146" t="str">
        <f>IFERROR(__xludf.DUMMYFUNCTION("QUERY(IMPORTHTML(C240,""table"",1),""Select Col2,Col3,Col4,Col5 where (Col1='Raw')"",0)"),"#N/A")</f>
        <v>#N/A</v>
      </c>
      <c r="F240" s="146"/>
      <c r="G240" s="146"/>
      <c r="H240" s="146"/>
      <c r="I240" s="146">
        <f>IFERROR(__xludf.DUMMYFUNCTION("QUERY(IMPORTHTML(C240,""table"",1),""Select Col2,Col3,Col4,Col5 where (Col1='Single')"",0)"),133.8)</f>
        <v>133.8</v>
      </c>
      <c r="J240" s="146">
        <f>IFERROR(__xludf.DUMMYFUNCTION("""COMPUTED_VALUE"""),68.0)</f>
        <v>68</v>
      </c>
      <c r="K240" s="146">
        <f>IFERROR(__xludf.DUMMYFUNCTION("""COMPUTED_VALUE"""),138.3)</f>
        <v>138.3</v>
      </c>
      <c r="L240" s="146">
        <f>IFERROR(__xludf.DUMMYFUNCTION("""COMPUTED_VALUE"""),335.6)</f>
        <v>335.6</v>
      </c>
      <c r="M240" s="146"/>
    </row>
    <row r="241">
      <c r="A241" s="131" t="s">
        <v>96</v>
      </c>
      <c r="B241" s="132" t="s">
        <v>95</v>
      </c>
      <c r="C241" s="148" t="str">
        <f t="shared" si="13"/>
        <v>http://openpowerlifting.org/u/ElizabethYarde</v>
      </c>
      <c r="D241" s="145"/>
      <c r="E241" s="146">
        <v>70.0</v>
      </c>
      <c r="F241" s="146">
        <v>60.0</v>
      </c>
      <c r="G241" s="146">
        <v>165.0</v>
      </c>
      <c r="H241" s="146">
        <v>295.0</v>
      </c>
      <c r="I241" s="146" t="str">
        <f>IFERROR(__xludf.DUMMYFUNCTION("QUERY(IMPORTHTML(C241,""table"",1),""Select Col2,Col3,Col4,Col5 where (Col1='Single')"",0)"),"#N/A")</f>
        <v>#N/A</v>
      </c>
      <c r="J241" s="146"/>
      <c r="K241" s="146"/>
      <c r="L241" s="146"/>
      <c r="M241" s="146"/>
    </row>
    <row r="242">
      <c r="A242" s="131" t="s">
        <v>646</v>
      </c>
      <c r="B242" s="132" t="s">
        <v>101</v>
      </c>
      <c r="C242" s="148" t="str">
        <f t="shared" si="13"/>
        <v>http://openpowerlifting.org/u/AnnaScarborough-Diaz</v>
      </c>
      <c r="D242" s="145"/>
      <c r="E242" s="146" t="str">
        <f>IFERROR(__xludf.DUMMYFUNCTION("QUERY(IMPORTHTML(C242,""table"",1),""Select Col2,Col3,Col4,Col5 where (Col1='Raw')"",0)"),"#N/A")</f>
        <v>#N/A</v>
      </c>
      <c r="F242" s="146"/>
      <c r="G242" s="146"/>
      <c r="H242" s="146"/>
      <c r="I242" s="146" t="str">
        <f>IFERROR(__xludf.DUMMYFUNCTION("QUERY(IMPORTHTML(C242,""table"",1),""Select Col2,Col3,Col4,Col5 where (Col1='Single')"",0)"),"#N/A")</f>
        <v>#N/A</v>
      </c>
      <c r="J242" s="146"/>
      <c r="K242" s="146"/>
      <c r="L242" s="146"/>
      <c r="M242" s="146"/>
    </row>
    <row r="243">
      <c r="A243" s="131" t="s">
        <v>75</v>
      </c>
      <c r="B243" s="132" t="s">
        <v>74</v>
      </c>
      <c r="C243" s="148" t="str">
        <f t="shared" si="13"/>
        <v>http://openpowerlifting.org/u/MiriamBloom</v>
      </c>
      <c r="D243" s="145"/>
      <c r="E243" s="146">
        <f>IFERROR(__xludf.DUMMYFUNCTION("QUERY(IMPORTHTML(C243,""table"",1),""Select Col2,Col3,Col4,Col5 where (Col1='Raw')"",0)"),100.0)</f>
        <v>100</v>
      </c>
      <c r="F243" s="146">
        <f>IFERROR(__xludf.DUMMYFUNCTION("""COMPUTED_VALUE"""),55.0)</f>
        <v>55</v>
      </c>
      <c r="G243" s="146">
        <f>IFERROR(__xludf.DUMMYFUNCTION("""COMPUTED_VALUE"""),130.0)</f>
        <v>130</v>
      </c>
      <c r="H243" s="146">
        <f>IFERROR(__xludf.DUMMYFUNCTION("""COMPUTED_VALUE"""),285.0)</f>
        <v>285</v>
      </c>
      <c r="I243" s="146" t="str">
        <f>IFERROR(__xludf.DUMMYFUNCTION("QUERY(IMPORTHTML(C243,""table"",1),""Select Col2,Col3,Col4,Col5 where (Col1='Single')"",0)"),"#N/A")</f>
        <v>#N/A</v>
      </c>
      <c r="J243" s="146"/>
      <c r="K243" s="146"/>
      <c r="L243" s="146"/>
      <c r="M243" s="146"/>
    </row>
    <row r="244">
      <c r="A244" s="131" t="s">
        <v>647</v>
      </c>
      <c r="B244" s="132" t="s">
        <v>648</v>
      </c>
      <c r="C244" s="148" t="str">
        <f t="shared" si="13"/>
        <v>http://openpowerlifting.org/u/JasmineCrooks</v>
      </c>
      <c r="D244" s="145"/>
      <c r="E244" s="146" t="str">
        <f>IFERROR(__xludf.DUMMYFUNCTION("QUERY(IMPORTHTML(C244,""table"",1),""Select Col2,Col3,Col4,Col5 where (Col1='Raw')"",0)"),"#N/A")</f>
        <v>#N/A</v>
      </c>
      <c r="F244" s="146"/>
      <c r="G244" s="146"/>
      <c r="H244" s="146"/>
      <c r="I244" s="146">
        <f>IFERROR(__xludf.DUMMYFUNCTION("QUERY(IMPORTHTML(C244,""table"",1),""Select Col2,Col3,Col4,Col5 where (Col1='Single')"",0)"),105.0)</f>
        <v>105</v>
      </c>
      <c r="J244" s="146">
        <f>IFERROR(__xludf.DUMMYFUNCTION("""COMPUTED_VALUE"""),52.5)</f>
        <v>52.5</v>
      </c>
      <c r="K244" s="146">
        <f>IFERROR(__xludf.DUMMYFUNCTION("""COMPUTED_VALUE"""),130.0)</f>
        <v>130</v>
      </c>
      <c r="L244" s="146">
        <f>IFERROR(__xludf.DUMMYFUNCTION("""COMPUTED_VALUE"""),285.0)</f>
        <v>285</v>
      </c>
      <c r="M244" s="146"/>
    </row>
    <row r="245">
      <c r="A245" s="131" t="s">
        <v>80</v>
      </c>
      <c r="B245" s="132" t="s">
        <v>79</v>
      </c>
      <c r="C245" s="148" t="str">
        <f t="shared" si="13"/>
        <v>http://openpowerlifting.org/u/JananiIlangovan</v>
      </c>
      <c r="D245" s="145"/>
      <c r="E245" s="146">
        <v>95.0</v>
      </c>
      <c r="F245" s="146">
        <v>55.0</v>
      </c>
      <c r="G245" s="146">
        <v>135.0</v>
      </c>
      <c r="H245" s="146">
        <v>285.0</v>
      </c>
      <c r="I245" s="146" t="str">
        <f>IFERROR(__xludf.DUMMYFUNCTION("QUERY(IMPORTHTML(C245,""table"",1),""Select Col2,Col3,Col4,Col5 where (Col1='Single')"",0)"),"#N/A")</f>
        <v>#N/A</v>
      </c>
      <c r="J245" s="146"/>
      <c r="K245" s="146"/>
      <c r="L245" s="146"/>
      <c r="M245" s="146"/>
    </row>
    <row r="246">
      <c r="A246" s="131" t="s">
        <v>82</v>
      </c>
      <c r="B246" s="132" t="s">
        <v>81</v>
      </c>
      <c r="C246" s="148" t="str">
        <f t="shared" si="13"/>
        <v>http://openpowerlifting.org/u/JaimeHall</v>
      </c>
      <c r="D246" s="145"/>
      <c r="E246" s="146">
        <v>92.5</v>
      </c>
      <c r="F246" s="146">
        <v>72.5</v>
      </c>
      <c r="G246" s="146">
        <v>115.0</v>
      </c>
      <c r="H246" s="146">
        <v>280.0</v>
      </c>
      <c r="I246" s="146" t="str">
        <f>IFERROR(__xludf.DUMMYFUNCTION("QUERY(IMPORTHTML(C246,""table"",1),""Select Col2,Col3,Col4,Col5 where (Col1='Single')"",0)"),"#N/A")</f>
        <v>#N/A</v>
      </c>
      <c r="J246" s="146"/>
      <c r="K246" s="146"/>
      <c r="L246" s="146"/>
      <c r="M246" s="146"/>
    </row>
    <row r="247">
      <c r="A247" s="131" t="s">
        <v>106</v>
      </c>
      <c r="B247" s="132" t="s">
        <v>105</v>
      </c>
      <c r="C247" s="148" t="str">
        <f t="shared" si="13"/>
        <v>http://openpowerlifting.org/u/KaitlynGagnon</v>
      </c>
      <c r="D247" s="145"/>
      <c r="E247" s="146">
        <v>95.0</v>
      </c>
      <c r="F247" s="146">
        <v>52.5</v>
      </c>
      <c r="G247" s="146">
        <v>125.0</v>
      </c>
      <c r="H247" s="146">
        <v>272.5</v>
      </c>
      <c r="I247" s="146" t="str">
        <f>IFERROR(__xludf.DUMMYFUNCTION("QUERY(IMPORTHTML(C247,""table"",1),""Select Col2,Col3,Col4,Col5 where (Col1='Single')"",0)"),"#N/A")</f>
        <v>#N/A</v>
      </c>
      <c r="J247" s="146"/>
      <c r="K247" s="146"/>
      <c r="L247" s="146"/>
      <c r="M247" s="146"/>
    </row>
    <row r="248">
      <c r="A248" s="131" t="s">
        <v>649</v>
      </c>
      <c r="B248" s="132" t="s">
        <v>650</v>
      </c>
      <c r="C248" s="149" t="s">
        <v>745</v>
      </c>
      <c r="D248" s="145"/>
      <c r="E248" s="146" t="e">
        <v>#N/A</v>
      </c>
      <c r="F248" s="146"/>
      <c r="G248" s="146"/>
      <c r="H248" s="146"/>
      <c r="I248" s="146">
        <f>IFERROR(__xludf.DUMMYFUNCTION("QUERY(IMPORTHTML(C248,""table"",1),""Select Col2,Col3,Col4,Col5 where (Col1='Single')"",0)"),112.5)</f>
        <v>112.5</v>
      </c>
      <c r="J248" s="146">
        <f>IFERROR(__xludf.DUMMYFUNCTION("""COMPUTED_VALUE"""),45.0)</f>
        <v>45</v>
      </c>
      <c r="K248" s="146">
        <f>IFERROR(__xludf.DUMMYFUNCTION("""COMPUTED_VALUE"""),115.0)</f>
        <v>115</v>
      </c>
      <c r="L248" s="146">
        <f>IFERROR(__xludf.DUMMYFUNCTION("""COMPUTED_VALUE"""),272.5)</f>
        <v>272.5</v>
      </c>
      <c r="M248" s="146"/>
    </row>
    <row r="249">
      <c r="A249" s="131" t="s">
        <v>613</v>
      </c>
      <c r="B249" s="132" t="s">
        <v>651</v>
      </c>
      <c r="C249" s="148" t="str">
        <f t="shared" ref="C249:C274" si="14">"http://openpowerlifting.org/u/"&amp;B249&amp;A249</f>
        <v>http://openpowerlifting.org/u/AliaGonzalez</v>
      </c>
      <c r="D249" s="145"/>
      <c r="E249" s="146">
        <v>97.5</v>
      </c>
      <c r="F249" s="146">
        <v>45.0</v>
      </c>
      <c r="G249" s="146">
        <v>127.5</v>
      </c>
      <c r="H249" s="146">
        <v>270.0</v>
      </c>
      <c r="I249" s="146" t="str">
        <f>IFERROR(__xludf.DUMMYFUNCTION("QUERY(IMPORTHTML(C249,""table"",1),""Select Col2,Col3,Col4,Col5 where (Col1='Single')"",0)"),"#N/A")</f>
        <v>#N/A</v>
      </c>
      <c r="J249" s="146"/>
      <c r="K249" s="146"/>
      <c r="L249" s="146"/>
      <c r="M249" s="147"/>
    </row>
    <row r="250">
      <c r="A250" s="131" t="s">
        <v>652</v>
      </c>
      <c r="B250" s="132" t="s">
        <v>653</v>
      </c>
      <c r="C250" s="148" t="str">
        <f t="shared" si="14"/>
        <v>http://openpowerlifting.org/u/EmilyTomko</v>
      </c>
      <c r="D250" s="145"/>
      <c r="E250" s="146" t="e">
        <v>#N/A</v>
      </c>
      <c r="F250" s="146"/>
      <c r="G250" s="146"/>
      <c r="H250" s="146"/>
      <c r="I250" s="146">
        <f>IFERROR(__xludf.DUMMYFUNCTION("QUERY(IMPORTHTML(C250,""table"",1),""Select Col2,Col3,Col4,Col5 where (Col1='Single')"",0)"),107.5)</f>
        <v>107.5</v>
      </c>
      <c r="J250" s="146">
        <f>IFERROR(__xludf.DUMMYFUNCTION("""COMPUTED_VALUE"""),57.5)</f>
        <v>57.5</v>
      </c>
      <c r="K250" s="146">
        <f>IFERROR(__xludf.DUMMYFUNCTION("""COMPUTED_VALUE"""),100.0)</f>
        <v>100</v>
      </c>
      <c r="L250" s="146">
        <f>IFERROR(__xludf.DUMMYFUNCTION("""COMPUTED_VALUE"""),265.0)</f>
        <v>265</v>
      </c>
      <c r="M250" s="146"/>
    </row>
    <row r="251">
      <c r="A251" s="131" t="s">
        <v>654</v>
      </c>
      <c r="B251" s="132" t="s">
        <v>655</v>
      </c>
      <c r="C251" s="148" t="str">
        <f t="shared" si="14"/>
        <v>http://openpowerlifting.org/u/HyobinLee</v>
      </c>
      <c r="D251" s="145"/>
      <c r="E251" s="146">
        <v>82.5</v>
      </c>
      <c r="F251" s="146">
        <v>25.0</v>
      </c>
      <c r="G251" s="146">
        <v>75.0</v>
      </c>
      <c r="H251" s="146">
        <v>182.5</v>
      </c>
      <c r="I251" s="146">
        <f>IFERROR(__xludf.DUMMYFUNCTION("QUERY(IMPORTHTML(C251,""table"",1),""Select Col2,Col3,Col4,Col5 where (Col1='Single')"",0)"),107.5)</f>
        <v>107.5</v>
      </c>
      <c r="J251" s="146">
        <f>IFERROR(__xludf.DUMMYFUNCTION("""COMPUTED_VALUE"""),42.5)</f>
        <v>42.5</v>
      </c>
      <c r="K251" s="146">
        <f>IFERROR(__xludf.DUMMYFUNCTION("""COMPUTED_VALUE"""),110.0)</f>
        <v>110</v>
      </c>
      <c r="L251" s="146">
        <f>IFERROR(__xludf.DUMMYFUNCTION("""COMPUTED_VALUE"""),260.0)</f>
        <v>260</v>
      </c>
      <c r="M251" s="146"/>
    </row>
    <row r="252">
      <c r="A252" s="131" t="s">
        <v>656</v>
      </c>
      <c r="B252" s="132" t="s">
        <v>657</v>
      </c>
      <c r="C252" s="148" t="str">
        <f t="shared" si="14"/>
        <v>http://openpowerlifting.org/u/OliviaDjokic</v>
      </c>
      <c r="D252" s="145"/>
      <c r="E252" s="146" t="e">
        <v>#N/A</v>
      </c>
      <c r="F252" s="146"/>
      <c r="G252" s="146"/>
      <c r="H252" s="146"/>
      <c r="I252" s="146">
        <f>IFERROR(__xludf.DUMMYFUNCTION("QUERY(IMPORTHTML(C252,""table"",1),""Select Col2,Col3,Col4,Col5 where (Col1='Single')"",0)"),95.0)</f>
        <v>95</v>
      </c>
      <c r="J252" s="146">
        <f>IFERROR(__xludf.DUMMYFUNCTION("""COMPUTED_VALUE"""),40.0)</f>
        <v>40</v>
      </c>
      <c r="K252" s="146">
        <f>IFERROR(__xludf.DUMMYFUNCTION("""COMPUTED_VALUE"""),110.0)</f>
        <v>110</v>
      </c>
      <c r="L252" s="146">
        <f>IFERROR(__xludf.DUMMYFUNCTION("""COMPUTED_VALUE"""),245.0)</f>
        <v>245</v>
      </c>
      <c r="M252" s="146"/>
    </row>
    <row r="253">
      <c r="A253" s="131" t="s">
        <v>658</v>
      </c>
      <c r="B253" s="132" t="s">
        <v>659</v>
      </c>
      <c r="C253" s="148" t="str">
        <f t="shared" si="14"/>
        <v>http://openpowerlifting.org/u/MeaganGrider</v>
      </c>
      <c r="D253" s="145"/>
      <c r="E253" s="146">
        <v>85.0</v>
      </c>
      <c r="F253" s="146">
        <v>40.0</v>
      </c>
      <c r="G253" s="146">
        <v>102.5</v>
      </c>
      <c r="H253" s="146">
        <v>222.5</v>
      </c>
      <c r="I253" s="146">
        <f>IFERROR(__xludf.DUMMYFUNCTION("QUERY(IMPORTHTML(C253,""table"",1),""Select Col2,Col3,Col4,Col5 where (Col1='Single')"",0)"),95.0)</f>
        <v>95</v>
      </c>
      <c r="J253" s="146">
        <f>IFERROR(__xludf.DUMMYFUNCTION("""COMPUTED_VALUE"""),45.0)</f>
        <v>45</v>
      </c>
      <c r="K253" s="146">
        <f>IFERROR(__xludf.DUMMYFUNCTION("""COMPUTED_VALUE"""),105.0)</f>
        <v>105</v>
      </c>
      <c r="L253" s="146">
        <f>IFERROR(__xludf.DUMMYFUNCTION("""COMPUTED_VALUE"""),245.0)</f>
        <v>245</v>
      </c>
      <c r="M253" s="147"/>
    </row>
    <row r="254">
      <c r="A254" s="131" t="s">
        <v>660</v>
      </c>
      <c r="B254" s="132" t="s">
        <v>661</v>
      </c>
      <c r="C254" s="148" t="str">
        <f t="shared" si="14"/>
        <v>http://openpowerlifting.org/u/ChloeCampbell</v>
      </c>
      <c r="D254" s="145"/>
      <c r="E254" s="146" t="e">
        <v>#N/A</v>
      </c>
      <c r="F254" s="146"/>
      <c r="G254" s="146"/>
      <c r="H254" s="146"/>
      <c r="I254" s="146">
        <f>IFERROR(__xludf.DUMMYFUNCTION("QUERY(IMPORTHTML(C254,""table"",1),""Select Col2,Col3,Col4,Col5 where (Col1='Single')"",0)"),85.0)</f>
        <v>85</v>
      </c>
      <c r="J254" s="146">
        <f>IFERROR(__xludf.DUMMYFUNCTION("""COMPUTED_VALUE"""),47.5)</f>
        <v>47.5</v>
      </c>
      <c r="K254" s="146">
        <f>IFERROR(__xludf.DUMMYFUNCTION("""COMPUTED_VALUE"""),102.5)</f>
        <v>102.5</v>
      </c>
      <c r="L254" s="146">
        <f>IFERROR(__xludf.DUMMYFUNCTION("""COMPUTED_VALUE"""),235.0)</f>
        <v>235</v>
      </c>
      <c r="M254" s="146"/>
    </row>
    <row r="255">
      <c r="A255" s="131" t="s">
        <v>50</v>
      </c>
      <c r="B255" s="132" t="s">
        <v>49</v>
      </c>
      <c r="C255" s="148" t="str">
        <f t="shared" si="14"/>
        <v>http://openpowerlifting.org/u/AlexisCanzanese</v>
      </c>
      <c r="D255" s="145"/>
      <c r="E255" s="146">
        <v>82.5</v>
      </c>
      <c r="F255" s="146">
        <v>42.5</v>
      </c>
      <c r="G255" s="146">
        <v>110.0</v>
      </c>
      <c r="H255" s="146">
        <v>235.0</v>
      </c>
      <c r="I255" s="146" t="str">
        <f>IFERROR(__xludf.DUMMYFUNCTION("QUERY(IMPORTHTML(C255,""table"",1),""Select Col2,Col3,Col4,Col5 where (Col1='Single')"",0)"),"#N/A")</f>
        <v>#N/A</v>
      </c>
      <c r="J255" s="146"/>
      <c r="K255" s="146"/>
      <c r="L255" s="146"/>
      <c r="M255" s="146"/>
    </row>
    <row r="256">
      <c r="A256" s="131" t="s">
        <v>663</v>
      </c>
      <c r="B256" s="132" t="s">
        <v>495</v>
      </c>
      <c r="C256" s="148" t="str">
        <f t="shared" si="14"/>
        <v>http://openpowerlifting.org/u/AlyssaMarmolejo</v>
      </c>
      <c r="D256" s="145"/>
      <c r="E256" s="146">
        <v>75.0</v>
      </c>
      <c r="F256" s="146">
        <v>42.5</v>
      </c>
      <c r="G256" s="146">
        <v>105.0</v>
      </c>
      <c r="H256" s="146">
        <v>222.5</v>
      </c>
      <c r="I256" s="146">
        <f>IFERROR(__xludf.DUMMYFUNCTION("QUERY(IMPORTHTML(C256,""table"",1),""Select Col2,Col3,Col4,Col5 where (Col1='Single')"",0)"),92.9)</f>
        <v>92.9</v>
      </c>
      <c r="J256" s="146">
        <f>IFERROR(__xludf.DUMMYFUNCTION("""COMPUTED_VALUE"""),47.6)</f>
        <v>47.6</v>
      </c>
      <c r="K256" s="146">
        <f>IFERROR(__xludf.DUMMYFUNCTION("""COMPUTED_VALUE"""),111.1)</f>
        <v>111.1</v>
      </c>
      <c r="L256" s="146">
        <f>IFERROR(__xludf.DUMMYFUNCTION("""COMPUTED_VALUE"""),249.4)</f>
        <v>249.4</v>
      </c>
      <c r="M256" s="146"/>
    </row>
    <row r="257">
      <c r="A257" s="131" t="s">
        <v>402</v>
      </c>
      <c r="B257" s="132" t="s">
        <v>664</v>
      </c>
      <c r="C257" s="148" t="str">
        <f t="shared" si="14"/>
        <v>http://openpowerlifting.org/u/BriannaCaballero</v>
      </c>
      <c r="D257" s="145"/>
      <c r="E257" s="146">
        <v>75.0</v>
      </c>
      <c r="F257" s="146">
        <v>37.5</v>
      </c>
      <c r="G257" s="146">
        <v>105.0</v>
      </c>
      <c r="H257" s="146">
        <v>217.5</v>
      </c>
      <c r="I257" s="146">
        <f>IFERROR(__xludf.DUMMYFUNCTION("QUERY(IMPORTHTML(C257,""table"",1),""Select Col2,Col3,Col4,Col5 where (Col1='Single')"",0)"),122.4)</f>
        <v>122.4</v>
      </c>
      <c r="J257" s="146">
        <f>IFERROR(__xludf.DUMMYFUNCTION("""COMPUTED_VALUE"""),52.1)</f>
        <v>52.1</v>
      </c>
      <c r="K257" s="146">
        <f>IFERROR(__xludf.DUMMYFUNCTION("""COMPUTED_VALUE"""),122.4)</f>
        <v>122.4</v>
      </c>
      <c r="L257" s="146">
        <f>IFERROR(__xludf.DUMMYFUNCTION("""COMPUTED_VALUE"""),290.3)</f>
        <v>290.3</v>
      </c>
      <c r="M257" s="146"/>
    </row>
    <row r="258">
      <c r="A258" s="131" t="s">
        <v>665</v>
      </c>
      <c r="B258" s="132" t="s">
        <v>666</v>
      </c>
      <c r="C258" s="148" t="str">
        <f t="shared" si="14"/>
        <v>http://openpowerlifting.org/u/KaileyPayne</v>
      </c>
      <c r="D258" s="145"/>
      <c r="E258" s="146">
        <v>47.5</v>
      </c>
      <c r="F258" s="146">
        <v>37.5</v>
      </c>
      <c r="G258" s="146">
        <v>65.0</v>
      </c>
      <c r="H258" s="146">
        <v>150.0</v>
      </c>
      <c r="I258" s="146">
        <f>IFERROR(__xludf.DUMMYFUNCTION("QUERY(IMPORTHTML(C258,""table"",1),""Select Col2,Col3,Col4,Col5 where (Col1='Single')"",0)"),80.0)</f>
        <v>80</v>
      </c>
      <c r="J258" s="146">
        <f>IFERROR(__xludf.DUMMYFUNCTION("""COMPUTED_VALUE"""),52.5)</f>
        <v>52.5</v>
      </c>
      <c r="K258" s="146">
        <f>IFERROR(__xludf.DUMMYFUNCTION("""COMPUTED_VALUE"""),80.0)</f>
        <v>80</v>
      </c>
      <c r="L258" s="146">
        <f>IFERROR(__xludf.DUMMYFUNCTION("""COMPUTED_VALUE"""),205.0)</f>
        <v>205</v>
      </c>
      <c r="M258" s="146"/>
    </row>
    <row r="259">
      <c r="A259" s="131" t="s">
        <v>667</v>
      </c>
      <c r="B259" s="132" t="s">
        <v>668</v>
      </c>
      <c r="C259" s="148" t="str">
        <f t="shared" si="14"/>
        <v>http://openpowerlifting.org/u/PenelopeAmado</v>
      </c>
      <c r="D259" s="145"/>
      <c r="E259" s="146" t="str">
        <f>IFERROR(__xludf.DUMMYFUNCTION("QUERY(IMPORTHTML(C259,""table"",1),""Select Col2,Col3,Col4,Col5 where (Col1='Raw')"",0)"),"#N/A")</f>
        <v>#N/A</v>
      </c>
      <c r="F259" s="146"/>
      <c r="G259" s="146"/>
      <c r="H259" s="146"/>
      <c r="I259" s="146" t="str">
        <f>IFERROR(__xludf.DUMMYFUNCTION("QUERY(IMPORTHTML(C259,""table"",1),""Select Col2,Col3,Col4,Col5 where (Col1='Single')"",0)"),"#N/A")</f>
        <v>#N/A</v>
      </c>
      <c r="J259" s="146"/>
      <c r="K259" s="146"/>
      <c r="L259" s="146"/>
      <c r="M259" s="146"/>
    </row>
    <row r="260">
      <c r="A260" s="131" t="s">
        <v>669</v>
      </c>
      <c r="B260" s="132" t="s">
        <v>670</v>
      </c>
      <c r="C260" s="148" t="str">
        <f t="shared" si="14"/>
        <v>http://openpowerlifting.org/u/JonahBourque</v>
      </c>
      <c r="D260" s="145"/>
      <c r="E260" s="146">
        <v>262.5</v>
      </c>
      <c r="F260" s="146">
        <v>160.0</v>
      </c>
      <c r="G260" s="146">
        <v>220.0</v>
      </c>
      <c r="H260" s="146">
        <v>627.5</v>
      </c>
      <c r="I260" s="146" t="str">
        <f>IFERROR(__xludf.DUMMYFUNCTION("QUERY(IMPORTHTML(C260,""table"",1),""Select Col2,Col3,Col4,Col5 where (Col1='Single')"",0)"),"#N/A")</f>
        <v>#N/A</v>
      </c>
      <c r="J260" s="146"/>
      <c r="K260" s="146"/>
      <c r="L260" s="146"/>
      <c r="M260" s="146"/>
    </row>
    <row r="261">
      <c r="A261" s="131" t="s">
        <v>671</v>
      </c>
      <c r="B261" s="132" t="s">
        <v>672</v>
      </c>
      <c r="C261" s="148" t="str">
        <f t="shared" si="14"/>
        <v>http://openpowerlifting.org/u/BismaChoudhry</v>
      </c>
      <c r="D261" s="145"/>
      <c r="E261" s="146" t="str">
        <f>IFERROR(__xludf.DUMMYFUNCTION("QUERY(IMPORTHTML(C261,""table"",1),""Select Col2,Col3,Col4,Col5 where (Col1='Raw')"",0)"),"#N/A")</f>
        <v>#N/A</v>
      </c>
      <c r="F261" s="146"/>
      <c r="G261" s="146"/>
      <c r="H261" s="146"/>
      <c r="I261" s="146" t="str">
        <f>IFERROR(__xludf.DUMMYFUNCTION("QUERY(IMPORTHTML(C261,""table"",1),""Select Col2,Col3,Col4,Col5 where (Col1='Single')"",0)"),"#N/A")</f>
        <v>#N/A</v>
      </c>
      <c r="J261" s="146"/>
      <c r="K261" s="146"/>
      <c r="L261" s="146"/>
      <c r="M261" s="146"/>
    </row>
    <row r="262">
      <c r="A262" s="131" t="s">
        <v>605</v>
      </c>
      <c r="B262" s="132" t="s">
        <v>673</v>
      </c>
      <c r="C262" s="148" t="str">
        <f t="shared" si="14"/>
        <v>http://openpowerlifting.org/u/JalenDavenport</v>
      </c>
      <c r="D262" s="145"/>
      <c r="E262" s="146">
        <v>292.5</v>
      </c>
      <c r="F262" s="146">
        <v>157.5</v>
      </c>
      <c r="G262" s="146">
        <v>287.5</v>
      </c>
      <c r="H262" s="146">
        <v>737.5</v>
      </c>
      <c r="I262" s="146">
        <f>IFERROR(__xludf.DUMMYFUNCTION("QUERY(IMPORTHTML(C262,""table"",1),""Select Col2,Col3,Col4,Col5 where (Col1='Single')"",0)"),342.5)</f>
        <v>342.5</v>
      </c>
      <c r="J262" s="146">
        <f>IFERROR(__xludf.DUMMYFUNCTION("""COMPUTED_VALUE"""),192.5)</f>
        <v>192.5</v>
      </c>
      <c r="K262" s="146">
        <f>IFERROR(__xludf.DUMMYFUNCTION("""COMPUTED_VALUE"""),290.0)</f>
        <v>290</v>
      </c>
      <c r="L262" s="146">
        <f>IFERROR(__xludf.DUMMYFUNCTION("""COMPUTED_VALUE"""),812.5)</f>
        <v>812.5</v>
      </c>
      <c r="M262" s="146"/>
    </row>
    <row r="263">
      <c r="A263" s="131" t="s">
        <v>674</v>
      </c>
      <c r="B263" s="132" t="s">
        <v>421</v>
      </c>
      <c r="C263" s="148" t="str">
        <f t="shared" si="14"/>
        <v>http://openpowerlifting.org/u/ChristopherDavison</v>
      </c>
      <c r="D263" s="145"/>
      <c r="E263" s="146" t="str">
        <f>IFERROR(__xludf.DUMMYFUNCTION("QUERY(IMPORTHTML(C263,""table"",1),""Select Col2,Col3,Col4,Col5 where (Col1='Raw')"",0)"),"Loading...")</f>
        <v>Loading...</v>
      </c>
      <c r="F263" s="146"/>
      <c r="G263" s="146"/>
      <c r="H263" s="146"/>
      <c r="I263" s="146" t="str">
        <f>IFERROR(__xludf.DUMMYFUNCTION("QUERY(IMPORTHTML(C263,""table"",1),""Select Col2,Col3,Col4,Col5 where (Col1='Single')"",0)"),"Loading...")</f>
        <v>Loading...</v>
      </c>
      <c r="J263" s="146"/>
      <c r="K263" s="146"/>
      <c r="L263" s="146"/>
      <c r="M263" s="146"/>
    </row>
    <row r="264">
      <c r="A264" s="131" t="s">
        <v>675</v>
      </c>
      <c r="B264" s="132" t="s">
        <v>676</v>
      </c>
      <c r="C264" s="148" t="str">
        <f t="shared" si="14"/>
        <v>http://openpowerlifting.org/u/TylerEarwood</v>
      </c>
      <c r="D264" s="145"/>
      <c r="E264" s="146" t="e">
        <v>#N/A</v>
      </c>
      <c r="F264" s="146"/>
      <c r="G264" s="146"/>
      <c r="H264" s="146"/>
      <c r="I264" s="146">
        <f>IFERROR(__xludf.DUMMYFUNCTION("QUERY(IMPORTHTML(C264,""table"",1),""Select Col2,Col3,Col4,Col5 where (Col1='Single')"",0)"),199.5)</f>
        <v>199.5</v>
      </c>
      <c r="J264" s="146">
        <f>IFERROR(__xludf.DUMMYFUNCTION("""COMPUTED_VALUE"""),124.7)</f>
        <v>124.7</v>
      </c>
      <c r="K264" s="146">
        <f>IFERROR(__xludf.DUMMYFUNCTION("""COMPUTED_VALUE"""),192.7)</f>
        <v>192.7</v>
      </c>
      <c r="L264" s="146">
        <f>IFERROR(__xludf.DUMMYFUNCTION("""COMPUTED_VALUE"""),517.1)</f>
        <v>517.1</v>
      </c>
      <c r="M264" s="145"/>
    </row>
    <row r="265">
      <c r="A265" s="131" t="s">
        <v>677</v>
      </c>
      <c r="B265" s="132" t="s">
        <v>583</v>
      </c>
      <c r="C265" s="148" t="str">
        <f t="shared" si="14"/>
        <v>http://openpowerlifting.org/u/DanielaEchavarria</v>
      </c>
      <c r="D265" s="145"/>
      <c r="E265" s="146" t="str">
        <f>IFERROR(__xludf.DUMMYFUNCTION("QUERY(IMPORTHTML(C265,""table"",1),""Select Col2,Col3,Col4,Col5 where (Col1='Raw')"",0)"),"Loading...")</f>
        <v>Loading...</v>
      </c>
      <c r="F265" s="146"/>
      <c r="G265" s="146"/>
      <c r="H265" s="146"/>
      <c r="I265" s="146" t="str">
        <f>IFERROR(__xludf.DUMMYFUNCTION("QUERY(IMPORTHTML(C265,""table"",1),""Select Col2,Col3,Col4,Col5 where (Col1='Single')"",0)"),"Loading...")</f>
        <v>Loading...</v>
      </c>
      <c r="J265" s="146"/>
      <c r="K265" s="146"/>
      <c r="L265" s="146"/>
      <c r="M265" s="146"/>
    </row>
    <row r="266">
      <c r="A266" s="131" t="s">
        <v>678</v>
      </c>
      <c r="B266" s="132" t="s">
        <v>679</v>
      </c>
      <c r="C266" s="148" t="str">
        <f t="shared" si="14"/>
        <v>http://openpowerlifting.org/u/IsaiahEscalona</v>
      </c>
      <c r="D266" s="145"/>
      <c r="E266" s="146">
        <f>IFERROR(__xludf.DUMMYFUNCTION("QUERY(IMPORTHTML(C266,""table"",1),""Select Col2,Col3,Col4,Col5 where (Col1='Raw')"",0)"),205.0)</f>
        <v>205</v>
      </c>
      <c r="F266" s="146">
        <f>IFERROR(__xludf.DUMMYFUNCTION("""COMPUTED_VALUE"""),95.0)</f>
        <v>95</v>
      </c>
      <c r="G266" s="146">
        <f>IFERROR(__xludf.DUMMYFUNCTION("""COMPUTED_VALUE"""),250.0)</f>
        <v>250</v>
      </c>
      <c r="H266" s="146">
        <f>IFERROR(__xludf.DUMMYFUNCTION("""COMPUTED_VALUE"""),550.0)</f>
        <v>550</v>
      </c>
      <c r="I266" s="146" t="str">
        <f>IFERROR(__xludf.DUMMYFUNCTION("QUERY(IMPORTHTML(C266,""table"",1),""Select Col2,Col3,Col4,Col5 where (Col1='Single')"",0)"),"#N/A")</f>
        <v>#N/A</v>
      </c>
      <c r="J266" s="146"/>
      <c r="K266" s="146"/>
      <c r="L266" s="146"/>
      <c r="M266" s="146"/>
    </row>
    <row r="267">
      <c r="A267" s="131" t="s">
        <v>680</v>
      </c>
      <c r="B267" s="132" t="s">
        <v>681</v>
      </c>
      <c r="C267" s="148" t="str">
        <f t="shared" si="14"/>
        <v>http://openpowerlifting.org/u/CeythGrevey</v>
      </c>
      <c r="D267" s="145"/>
      <c r="E267" s="146" t="e">
        <v>#N/A</v>
      </c>
      <c r="F267" s="146"/>
      <c r="G267" s="146"/>
      <c r="H267" s="146"/>
      <c r="I267" s="146">
        <f>IFERROR(__xludf.DUMMYFUNCTION("QUERY(IMPORTHTML(C267,""table"",1),""Select Col2,Col3,Col4,Col5 where (Col1='Single')"",0)"),204.1)</f>
        <v>204.1</v>
      </c>
      <c r="J267" s="146">
        <f>IFERROR(__xludf.DUMMYFUNCTION("""COMPUTED_VALUE"""),115.6)</f>
        <v>115.6</v>
      </c>
      <c r="K267" s="146">
        <f>IFERROR(__xludf.DUMMYFUNCTION("""COMPUTED_VALUE"""),204.1)</f>
        <v>204.1</v>
      </c>
      <c r="L267" s="146">
        <f>IFERROR(__xludf.DUMMYFUNCTION("""COMPUTED_VALUE"""),517.1)</f>
        <v>517.1</v>
      </c>
      <c r="M267" s="146"/>
    </row>
    <row r="268">
      <c r="A268" s="131" t="s">
        <v>682</v>
      </c>
      <c r="B268" s="132" t="s">
        <v>683</v>
      </c>
      <c r="C268" s="148" t="str">
        <f t="shared" si="14"/>
        <v>http://openpowerlifting.org/u/ReneeHa</v>
      </c>
      <c r="D268" s="145"/>
      <c r="E268" s="146" t="str">
        <f>IFERROR(__xludf.DUMMYFUNCTION("QUERY(IMPORTHTML(C268,""table"",1),""Select Col2,Col3,Col4,Col5 where (Col1='Raw')"",0)"),"#N/A")</f>
        <v>#N/A</v>
      </c>
      <c r="F268" s="146"/>
      <c r="G268" s="146"/>
      <c r="H268" s="146"/>
      <c r="I268" s="146" t="str">
        <f>IFERROR(__xludf.DUMMYFUNCTION("QUERY(IMPORTHTML(C268,""table"",1),""Select Col2,Col3,Col4,Col5 where (Col1='Single')"",0)"),"#N/A")</f>
        <v>#N/A</v>
      </c>
      <c r="J268" s="146"/>
      <c r="K268" s="146"/>
      <c r="L268" s="146"/>
      <c r="M268" s="146"/>
    </row>
    <row r="269">
      <c r="A269" s="131" t="s">
        <v>684</v>
      </c>
      <c r="B269" s="132" t="s">
        <v>685</v>
      </c>
      <c r="C269" s="148" t="str">
        <f t="shared" si="14"/>
        <v>http://openpowerlifting.org/u/HannaLauritzen</v>
      </c>
      <c r="D269" s="145"/>
      <c r="E269" s="146" t="str">
        <f>IFERROR(__xludf.DUMMYFUNCTION("QUERY(IMPORTHTML(C269,""table"",1),""Select Col2,Col3,Col4,Col5 where (Col1='Raw')"",0)"),"#N/A")</f>
        <v>#N/A</v>
      </c>
      <c r="F269" s="146"/>
      <c r="G269" s="146"/>
      <c r="H269" s="146"/>
      <c r="I269" s="146" t="str">
        <f>IFERROR(__xludf.DUMMYFUNCTION("QUERY(IMPORTHTML(C269,""table"",1),""Select Col2,Col3,Col4,Col5 where (Col1='Single')"",0)"),"#N/A")</f>
        <v>#N/A</v>
      </c>
      <c r="J269" s="146"/>
      <c r="K269" s="146"/>
      <c r="L269" s="146"/>
      <c r="M269" s="146"/>
    </row>
    <row r="270">
      <c r="A270" s="131" t="s">
        <v>686</v>
      </c>
      <c r="B270" s="132" t="s">
        <v>687</v>
      </c>
      <c r="C270" s="148" t="str">
        <f t="shared" si="14"/>
        <v>http://openpowerlifting.org/u/JonPulido</v>
      </c>
      <c r="D270" s="145"/>
      <c r="E270" s="146" t="e">
        <v>#N/A</v>
      </c>
      <c r="F270" s="146"/>
      <c r="G270" s="146"/>
      <c r="H270" s="146"/>
      <c r="I270" s="146">
        <f>IFERROR(__xludf.DUMMYFUNCTION("QUERY(IMPORTHTML(C270,""table"",1),""Select Col2,Col3,Col4,Col5 where (Col1='Single')"",0)"),195.0)</f>
        <v>195</v>
      </c>
      <c r="J270" s="146">
        <f>IFERROR(__xludf.DUMMYFUNCTION("""COMPUTED_VALUE"""),110.0)</f>
        <v>110</v>
      </c>
      <c r="K270" s="146">
        <f>IFERROR(__xludf.DUMMYFUNCTION("""COMPUTED_VALUE"""),202.5)</f>
        <v>202.5</v>
      </c>
      <c r="L270" s="146">
        <f>IFERROR(__xludf.DUMMYFUNCTION("""COMPUTED_VALUE"""),507.5)</f>
        <v>507.5</v>
      </c>
      <c r="M270" s="146"/>
    </row>
    <row r="271">
      <c r="A271" s="131" t="s">
        <v>688</v>
      </c>
      <c r="B271" s="132" t="s">
        <v>511</v>
      </c>
      <c r="C271" s="148" t="str">
        <f t="shared" si="14"/>
        <v>http://openpowerlifting.org/u/JonathanRiklan</v>
      </c>
      <c r="D271" s="145"/>
      <c r="E271" s="146">
        <v>210.0</v>
      </c>
      <c r="F271" s="146">
        <v>122.5</v>
      </c>
      <c r="G271" s="146">
        <v>242.5</v>
      </c>
      <c r="H271" s="146">
        <v>575.0</v>
      </c>
      <c r="I271" s="146" t="str">
        <f>IFERROR(__xludf.DUMMYFUNCTION("QUERY(IMPORTHTML(C271,""table"",1),""Select Col2,Col3,Col4,Col5 where (Col1='Single')"",0)"),"#N/A")</f>
        <v>#N/A</v>
      </c>
      <c r="J271" s="146"/>
      <c r="K271" s="146"/>
      <c r="L271" s="146"/>
      <c r="M271" s="146"/>
    </row>
    <row r="272">
      <c r="A272" s="131" t="s">
        <v>689</v>
      </c>
      <c r="B272" s="132" t="s">
        <v>690</v>
      </c>
      <c r="C272" s="148" t="str">
        <f t="shared" si="14"/>
        <v>http://openpowerlifting.org/u/ValeriaSanchez</v>
      </c>
      <c r="D272" s="145"/>
      <c r="E272" s="146">
        <v>142.5</v>
      </c>
      <c r="F272" s="146">
        <v>80.0</v>
      </c>
      <c r="G272" s="146">
        <v>150.0</v>
      </c>
      <c r="H272" s="146">
        <v>372.5</v>
      </c>
      <c r="I272" s="146" t="str">
        <f>IFERROR(__xludf.DUMMYFUNCTION("QUERY(IMPORTHTML(C272,""table"",1),""Select Col2,Col3,Col4,Col5 where (Col1='Single')"",0)"),"#N/A")</f>
        <v>#N/A</v>
      </c>
      <c r="J272" s="146"/>
      <c r="K272" s="146"/>
      <c r="L272" s="146"/>
      <c r="M272" s="146"/>
    </row>
    <row r="273">
      <c r="A273" s="131" t="s">
        <v>691</v>
      </c>
      <c r="B273" s="132" t="s">
        <v>343</v>
      </c>
      <c r="C273" s="148" t="str">
        <f t="shared" si="14"/>
        <v>http://openpowerlifting.org/u/NicholasSerna</v>
      </c>
      <c r="D273" s="145"/>
      <c r="E273" s="146">
        <v>227.5</v>
      </c>
      <c r="F273" s="146">
        <v>115.0</v>
      </c>
      <c r="G273" s="146">
        <v>225.0</v>
      </c>
      <c r="H273" s="146">
        <v>567.5</v>
      </c>
      <c r="I273" s="146" t="str">
        <f>IFERROR(__xludf.DUMMYFUNCTION("QUERY(IMPORTHTML(C273,""table"",1),""Select Col2,Col3,Col4,Col5 where (Col1='Single')"",0)"),"#N/A")</f>
        <v>#N/A</v>
      </c>
      <c r="J273" s="146"/>
      <c r="K273" s="146"/>
      <c r="L273" s="146"/>
      <c r="M273" s="146"/>
    </row>
    <row r="274">
      <c r="A274" s="131" t="s">
        <v>486</v>
      </c>
      <c r="B274" s="132" t="s">
        <v>692</v>
      </c>
      <c r="C274" s="148" t="str">
        <f t="shared" si="14"/>
        <v>http://openpowerlifting.org/u/ChristianWeaver</v>
      </c>
      <c r="D274" s="145"/>
      <c r="E274" s="146" t="e">
        <v>#N/A</v>
      </c>
      <c r="F274" s="146"/>
      <c r="G274" s="146"/>
      <c r="H274" s="146"/>
      <c r="I274" s="146">
        <f>IFERROR(__xludf.DUMMYFUNCTION("QUERY(IMPORTHTML(C274,""table"",1),""Select Col2,Col3,Col4,Col5 where (Col1='Single')"",0)"),240.0)</f>
        <v>240</v>
      </c>
      <c r="J274" s="146">
        <f>IFERROR(__xludf.DUMMYFUNCTION("""COMPUTED_VALUE"""),135.0)</f>
        <v>135</v>
      </c>
      <c r="K274" s="146">
        <f>IFERROR(__xludf.DUMMYFUNCTION("""COMPUTED_VALUE"""),210.0)</f>
        <v>210</v>
      </c>
      <c r="L274" s="146">
        <f>IFERROR(__xludf.DUMMYFUNCTION("""COMPUTED_VALUE"""),585.0)</f>
        <v>585</v>
      </c>
      <c r="M274" s="146"/>
    </row>
    <row r="275">
      <c r="A275" s="137"/>
      <c r="B275" s="137"/>
      <c r="C275" s="137"/>
      <c r="D275" s="137"/>
      <c r="E275" s="153"/>
      <c r="F275" s="153"/>
      <c r="G275" s="153"/>
      <c r="H275" s="153"/>
      <c r="I275" s="153"/>
    </row>
    <row r="276">
      <c r="A276" s="137"/>
      <c r="B276" s="137"/>
      <c r="C276" s="137"/>
      <c r="D276" s="137"/>
      <c r="E276" s="153"/>
      <c r="F276" s="153"/>
      <c r="G276" s="153"/>
      <c r="H276" s="153"/>
      <c r="I276" s="153"/>
    </row>
    <row r="277">
      <c r="A277" s="137"/>
      <c r="B277" s="137"/>
      <c r="C277" s="137"/>
      <c r="D277" s="137"/>
      <c r="E277" s="153"/>
      <c r="F277" s="153"/>
      <c r="G277" s="153"/>
      <c r="H277" s="153"/>
      <c r="I277" s="153"/>
    </row>
    <row r="278">
      <c r="A278" s="137"/>
      <c r="B278" s="137"/>
      <c r="C278" s="137"/>
      <c r="D278" s="137"/>
      <c r="E278" s="153"/>
      <c r="F278" s="153"/>
      <c r="G278" s="153"/>
      <c r="H278" s="153"/>
      <c r="I278" s="153"/>
    </row>
  </sheetData>
  <conditionalFormatting sqref="I1">
    <cfRule type="expression" dxfId="0" priority="1">
      <formula>OR(ISBLANK(I1),ISNA(I1))</formula>
    </cfRule>
  </conditionalFormatting>
  <hyperlinks>
    <hyperlink r:id="rId1" ref="C9"/>
    <hyperlink r:id="rId2" ref="C27"/>
    <hyperlink r:id="rId3" ref="C36"/>
    <hyperlink r:id="rId4" ref="C63"/>
    <hyperlink r:id="rId5" ref="C69"/>
    <hyperlink r:id="rId6" ref="C75"/>
    <hyperlink r:id="rId7" ref="C90"/>
    <hyperlink r:id="rId8" ref="C100"/>
    <hyperlink r:id="rId9" ref="C111"/>
    <hyperlink r:id="rId10" ref="C118"/>
    <hyperlink r:id="rId11" ref="C179"/>
    <hyperlink r:id="rId12" ref="C217"/>
    <hyperlink r:id="rId13" ref="C222"/>
    <hyperlink r:id="rId14" ref="C237"/>
    <hyperlink r:id="rId15" ref="C248"/>
  </hyperlinks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8.38"/>
    <col customWidth="1" min="3" max="3" width="5.88"/>
    <col customWidth="1" min="4" max="5" width="10.38"/>
    <col customWidth="1" min="6" max="9" width="7.25"/>
    <col customWidth="1" hidden="1" min="10" max="12" width="10.38"/>
    <col customWidth="1" min="13" max="13" width="7.13"/>
    <col customWidth="1" min="14" max="14" width="32.88"/>
    <col customWidth="1" hidden="1" min="15" max="18" width="10.38"/>
    <col customWidth="1" min="19" max="21" width="10.38"/>
    <col customWidth="1" min="22" max="23" width="11.5"/>
    <col customWidth="1" min="24" max="24" width="25.38"/>
  </cols>
  <sheetData>
    <row r="1">
      <c r="A1" s="154"/>
      <c r="B1" s="154"/>
      <c r="C1" s="154"/>
      <c r="D1" s="155">
        <v>44.0</v>
      </c>
      <c r="E1" s="156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8"/>
      <c r="Q1" s="158"/>
      <c r="R1" s="159"/>
      <c r="S1" s="160"/>
      <c r="T1" s="158"/>
      <c r="U1" s="158"/>
      <c r="V1" s="159"/>
      <c r="W1" s="159"/>
      <c r="X1" s="159"/>
    </row>
    <row r="2">
      <c r="A2" s="161" t="s">
        <v>746</v>
      </c>
      <c r="B2" s="161" t="s">
        <v>747</v>
      </c>
      <c r="C2" s="161" t="s">
        <v>748</v>
      </c>
      <c r="D2" s="161" t="s">
        <v>253</v>
      </c>
      <c r="E2" s="161" t="s">
        <v>254</v>
      </c>
      <c r="F2" s="161" t="s">
        <v>31</v>
      </c>
      <c r="G2" s="161" t="s">
        <v>32</v>
      </c>
      <c r="H2" s="161" t="s">
        <v>33</v>
      </c>
      <c r="I2" s="161" t="s">
        <v>34</v>
      </c>
      <c r="J2" s="161" t="s">
        <v>749</v>
      </c>
      <c r="K2" s="161" t="s">
        <v>257</v>
      </c>
      <c r="L2" s="161" t="s">
        <v>750</v>
      </c>
      <c r="M2" s="161" t="s">
        <v>36</v>
      </c>
      <c r="N2" s="161" t="s">
        <v>261</v>
      </c>
      <c r="O2" s="161" t="s">
        <v>751</v>
      </c>
      <c r="P2" s="162" t="s">
        <v>752</v>
      </c>
      <c r="Q2" s="162" t="s">
        <v>753</v>
      </c>
      <c r="R2" s="162" t="s">
        <v>754</v>
      </c>
      <c r="S2" s="161" t="s">
        <v>755</v>
      </c>
      <c r="T2" s="162" t="s">
        <v>756</v>
      </c>
      <c r="U2" s="162" t="s">
        <v>757</v>
      </c>
      <c r="V2" s="162" t="s">
        <v>758</v>
      </c>
      <c r="W2" s="162" t="s">
        <v>759</v>
      </c>
      <c r="X2" s="162" t="s">
        <v>703</v>
      </c>
    </row>
    <row r="3">
      <c r="A3" s="163">
        <f t="shared" ref="A3:A4" si="1">RANK(M3,$M$3:$M$4)</f>
        <v>1</v>
      </c>
      <c r="B3" s="163">
        <f t="shared" ref="B3:B4" si="2">RANK(W3,W$3:W$4)</f>
        <v>1</v>
      </c>
      <c r="C3" s="163"/>
      <c r="D3" s="163" t="str">
        <f>IFERROR(__xludf.DUMMYFUNCTION("FILTER(Roster!A$2:A176,Roster!$H$2:$H176=""F"",Roster!$J$2:$J176=$D$1)"),"Iglesias")</f>
        <v>Iglesias</v>
      </c>
      <c r="E3" s="163" t="str">
        <f>IFERROR(__xludf.DUMMYFUNCTION("FILTER(Roster!B$2:B176,Roster!$H$2:$H176=""F"",Roster!$J$2:$J176=$D$1)"),"Alexis")</f>
        <v>Alexis</v>
      </c>
      <c r="F3" s="163" t="str">
        <f>IFERROR(__xludf.DUMMYFUNCTION("FILTER(Roster!D$2:D176,Roster!$H$2:$H176=""F"",Roster!$J$2:$J176=$D$1)"),"1 - Thu")</f>
        <v>1 - Thu</v>
      </c>
      <c r="G3" s="163" t="str">
        <f>IFERROR(__xludf.DUMMYFUNCTION("FILTER(Roster!E$2:E176,Roster!$H$2:$H176=""F"",Roster!$J$2:$J176=$D$1)"),"")</f>
        <v/>
      </c>
      <c r="H3" s="163" t="str">
        <f>IFERROR(__xludf.DUMMYFUNCTION("FILTER(Roster!F$2:F176,Roster!$H$2:$H176=""F"",Roster!$J$2:$J176=$D$1)"),"")</f>
        <v/>
      </c>
      <c r="I3" s="163" t="str">
        <f>IFERROR(__xludf.DUMMYFUNCTION("FILTER(Roster!G$2:G176,Roster!$H$2:$H176=""F"",Roster!$J$2:$J176=$D$1)"),"")</f>
        <v/>
      </c>
      <c r="J3" s="163" t="str">
        <f>IFERROR(__xludf.DUMMYFUNCTION("FILTER(Roster!H$2:H176,Roster!$H$2:$H176=""F"",Roster!$J$2:$J176=$D$1)"),"F")</f>
        <v>F</v>
      </c>
      <c r="K3" s="163" t="str">
        <f>IFERROR(__xludf.DUMMYFUNCTION("FILTER(Roster!I$2:I176,Roster!$H$2:$H176=""F"",Roster!$J$2:$J176=$D$1)"),"E")</f>
        <v>E</v>
      </c>
      <c r="L3" s="163">
        <f>IFERROR(__xludf.DUMMYFUNCTION("FILTER(Roster!J$2:J176,Roster!$H$2:$H176=""F"",Roster!$J$2:$J176=$D$1)"),44.0)</f>
        <v>44</v>
      </c>
      <c r="M3" s="163">
        <f>IFERROR(__xludf.DUMMYFUNCTION("FILTER(Roster!M$2:M176,Roster!$H$2:$H176=""F"",Roster!$J$2:$J176=$D$1)"),343.0)</f>
        <v>343</v>
      </c>
      <c r="N3" s="163" t="str">
        <f>IFERROR(__xludf.DUMMYFUNCTION("FILTER(Roster!N$2:N176,Roster!$H$2:$H176=""F"",Roster!$J$2:$J176=$D$1)"),"")</f>
        <v/>
      </c>
      <c r="O3" s="164">
        <f t="array" ref="O3">INDEX('Best Lifts'!E$1:E$279,MATCH(1,($D3='Best Lifts'!$A:$A)*($E3='Best Lifts'!$B:$B),0))</f>
        <v>82.5</v>
      </c>
      <c r="P3" s="164">
        <f t="array" ref="P3">INDEX('Best Lifts'!F$1:F$279,MATCH(1,($D3='Best Lifts'!$A:$A)*($E3='Best Lifts'!$B:$B),0))</f>
        <v>52.5</v>
      </c>
      <c r="Q3" s="164">
        <f t="array" ref="Q3">INDEX('Best Lifts'!G$1:G$279,MATCH(1,($D3='Best Lifts'!$A:$A)*($E3='Best Lifts'!$B:$B),0))</f>
        <v>105</v>
      </c>
      <c r="R3" s="164">
        <f t="array" ref="R3">INDEX('Best Lifts'!H$1:H$279,MATCH(1,($D3='Best Lifts'!$A:$A)*($E3='Best Lifts'!$B:$B),0))</f>
        <v>240</v>
      </c>
      <c r="S3" s="164">
        <f t="array" ref="S3">INDEX('Best Lifts'!I$1:I$279,MATCH(1,($D3='Best Lifts'!$A:$A)*($E3='Best Lifts'!$B:$B),0))</f>
        <v>140</v>
      </c>
      <c r="T3" s="164">
        <f t="array" ref="T3">INDEX('Best Lifts'!J$1:J$279,MATCH(1,($D3='Best Lifts'!$A:$A)*($E3='Best Lifts'!$B:$B),0))</f>
        <v>82.5</v>
      </c>
      <c r="U3" s="164">
        <f t="array" ref="U3">INDEX('Best Lifts'!K$1:K$279,MATCH(1,($D3='Best Lifts'!$A:$A)*($E3='Best Lifts'!$B:$B),0))</f>
        <v>125</v>
      </c>
      <c r="V3" s="164">
        <f t="array" ref="V3">INDEX('Best Lifts'!L$1:L$279,MATCH(1,($D3='Best Lifts'!$A:$A)*($E3='Best Lifts'!$B:$B),0))</f>
        <v>343</v>
      </c>
      <c r="W3" s="164">
        <f t="shared" ref="W3:W4" si="3">IF(ISNA(SUM(S3:U3)),0,SUM(S3:U3))</f>
        <v>347.5</v>
      </c>
      <c r="X3" s="165" t="str">
        <f t="array" ref="X3">INDEX('Best Lifts'!M$1:M$279,MATCH(1,($D3='Best Lifts'!$A:$A)*($E3='Best Lifts'!$B:$B),0))</f>
        <v/>
      </c>
    </row>
    <row r="4">
      <c r="A4" s="163">
        <f t="shared" si="1"/>
        <v>2</v>
      </c>
      <c r="B4" s="163">
        <f t="shared" si="2"/>
        <v>2</v>
      </c>
      <c r="C4" s="163"/>
      <c r="D4" s="163" t="str">
        <f>IFERROR(__xludf.DUMMYFUNCTION("""COMPUTED_VALUE"""),"Payne")</f>
        <v>Payne</v>
      </c>
      <c r="E4" s="163" t="str">
        <f>IFERROR(__xludf.DUMMYFUNCTION("""COMPUTED_VALUE"""),"Kailey")</f>
        <v>Kailey</v>
      </c>
      <c r="F4" s="163" t="str">
        <f>IFERROR(__xludf.DUMMYFUNCTION("""COMPUTED_VALUE"""),"1 - Thu")</f>
        <v>1 - Thu</v>
      </c>
      <c r="G4" s="163"/>
      <c r="H4" s="163"/>
      <c r="I4" s="163"/>
      <c r="J4" s="163" t="str">
        <f>IFERROR(__xludf.DUMMYFUNCTION("""COMPUTED_VALUE"""),"F")</f>
        <v>F</v>
      </c>
      <c r="K4" s="163" t="str">
        <f>IFERROR(__xludf.DUMMYFUNCTION("""COMPUTED_VALUE"""),"E")</f>
        <v>E</v>
      </c>
      <c r="L4" s="163">
        <f>IFERROR(__xludf.DUMMYFUNCTION("""COMPUTED_VALUE"""),44.0)</f>
        <v>44</v>
      </c>
      <c r="M4" s="163">
        <f>IFERROR(__xludf.DUMMYFUNCTION("""COMPUTED_VALUE"""),202.5)</f>
        <v>202.5</v>
      </c>
      <c r="N4" s="163"/>
      <c r="O4" s="164">
        <f t="array" ref="O4">INDEX('Best Lifts'!E$1:E$279,MATCH(1,($D4='Best Lifts'!$A:$A)*($E4='Best Lifts'!$B:$B),0))</f>
        <v>47.5</v>
      </c>
      <c r="P4" s="164">
        <f t="array" ref="P4">INDEX('Best Lifts'!F$1:F$279,MATCH(1,($D4='Best Lifts'!$A:$A)*($E4='Best Lifts'!$B:$B),0))</f>
        <v>37.5</v>
      </c>
      <c r="Q4" s="164">
        <f t="array" ref="Q4">INDEX('Best Lifts'!G$1:G$279,MATCH(1,($D4='Best Lifts'!$A:$A)*($E4='Best Lifts'!$B:$B),0))</f>
        <v>65</v>
      </c>
      <c r="R4" s="164">
        <f t="array" ref="R4">INDEX('Best Lifts'!H$1:H$279,MATCH(1,($D4='Best Lifts'!$A:$A)*($E4='Best Lifts'!$B:$B),0))</f>
        <v>150</v>
      </c>
      <c r="S4" s="164">
        <f t="array" ref="S4">INDEX('Best Lifts'!I$1:I$279,MATCH(1,($D4='Best Lifts'!$A:$A)*($E4='Best Lifts'!$B:$B),0))</f>
        <v>80</v>
      </c>
      <c r="T4" s="164">
        <f t="array" ref="T4">INDEX('Best Lifts'!J$1:J$279,MATCH(1,($D4='Best Lifts'!$A:$A)*($E4='Best Lifts'!$B:$B),0))</f>
        <v>52.5</v>
      </c>
      <c r="U4" s="164">
        <f t="array" ref="U4">INDEX('Best Lifts'!K$1:K$279,MATCH(1,($D4='Best Lifts'!$A:$A)*($E4='Best Lifts'!$B:$B),0))</f>
        <v>80</v>
      </c>
      <c r="V4" s="164">
        <f t="array" ref="V4">INDEX('Best Lifts'!L$1:L$279,MATCH(1,($D4='Best Lifts'!$A:$A)*($E4='Best Lifts'!$B:$B),0))</f>
        <v>205</v>
      </c>
      <c r="W4" s="164">
        <f t="shared" si="3"/>
        <v>212.5</v>
      </c>
      <c r="X4" s="165" t="str">
        <f t="array" ref="X4">INDEX('Best Lifts'!M$1:M$279,MATCH(1,($D4='Best Lifts'!$A:$A)*($E4='Best Lifts'!$B:$B),0))</f>
        <v/>
      </c>
    </row>
    <row r="5">
      <c r="A5" s="154"/>
      <c r="B5" s="154"/>
      <c r="C5" s="154"/>
      <c r="D5" s="154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8"/>
      <c r="Q5" s="158"/>
      <c r="R5" s="159"/>
      <c r="S5" s="160"/>
      <c r="T5" s="158"/>
      <c r="U5" s="158"/>
      <c r="V5" s="159"/>
      <c r="W5" s="159"/>
      <c r="X5" s="159"/>
    </row>
    <row r="6">
      <c r="A6" s="154"/>
      <c r="B6" s="154"/>
      <c r="C6" s="154"/>
      <c r="D6" s="155">
        <v>48.0</v>
      </c>
      <c r="E6" s="156"/>
      <c r="F6" s="157"/>
      <c r="G6" s="157"/>
      <c r="H6" s="157"/>
      <c r="I6" s="157">
        <v>1.0</v>
      </c>
      <c r="J6" s="157"/>
      <c r="K6" s="157"/>
      <c r="L6" s="157"/>
      <c r="M6" s="157"/>
      <c r="N6" s="157"/>
      <c r="O6" s="157"/>
      <c r="P6" s="158"/>
      <c r="Q6" s="158"/>
      <c r="R6" s="159"/>
      <c r="S6" s="160"/>
      <c r="T6" s="158"/>
      <c r="U6" s="158"/>
      <c r="V6" s="159"/>
      <c r="W6" s="159"/>
      <c r="X6" s="159"/>
    </row>
    <row r="7">
      <c r="A7" s="161" t="s">
        <v>746</v>
      </c>
      <c r="B7" s="161" t="s">
        <v>747</v>
      </c>
      <c r="C7" s="161" t="s">
        <v>748</v>
      </c>
      <c r="D7" s="161" t="s">
        <v>253</v>
      </c>
      <c r="E7" s="161" t="s">
        <v>254</v>
      </c>
      <c r="F7" s="161" t="s">
        <v>31</v>
      </c>
      <c r="G7" s="161" t="s">
        <v>32</v>
      </c>
      <c r="H7" s="161" t="s">
        <v>33</v>
      </c>
      <c r="I7" s="161" t="s">
        <v>34</v>
      </c>
      <c r="J7" s="161" t="s">
        <v>749</v>
      </c>
      <c r="K7" s="161" t="s">
        <v>257</v>
      </c>
      <c r="L7" s="161" t="s">
        <v>750</v>
      </c>
      <c r="M7" s="161" t="s">
        <v>36</v>
      </c>
      <c r="N7" s="161" t="s">
        <v>261</v>
      </c>
      <c r="O7" s="161" t="s">
        <v>751</v>
      </c>
      <c r="P7" s="162" t="s">
        <v>752</v>
      </c>
      <c r="Q7" s="162" t="s">
        <v>753</v>
      </c>
      <c r="R7" s="162" t="s">
        <v>754</v>
      </c>
      <c r="S7" s="161" t="s">
        <v>755</v>
      </c>
      <c r="T7" s="162" t="s">
        <v>756</v>
      </c>
      <c r="U7" s="162" t="s">
        <v>757</v>
      </c>
      <c r="V7" s="162" t="s">
        <v>758</v>
      </c>
      <c r="W7" s="162" t="s">
        <v>759</v>
      </c>
      <c r="X7" s="162" t="s">
        <v>703</v>
      </c>
    </row>
    <row r="8">
      <c r="A8" s="163">
        <f t="shared" ref="A8:A14" si="4">RANK(M8,$M$8:$M$14)</f>
        <v>1</v>
      </c>
      <c r="B8" s="163">
        <f t="shared" ref="B8:B14" si="5">RANK(W8,W$8:W$14)</f>
        <v>2</v>
      </c>
      <c r="C8" s="163"/>
      <c r="D8" s="163" t="str">
        <f>IFERROR(__xludf.DUMMYFUNCTION("FILTER(Roster!A$2:A176,Roster!$H$2:$H176=""F"",Roster!$J$2:$J176=$D6)"),"Robertson")</f>
        <v>Robertson</v>
      </c>
      <c r="E8" s="163" t="str">
        <f>IFERROR(__xludf.DUMMYFUNCTION("FILTER(Roster!B$2:B176,Roster!$H$2:$H176=""F"",Roster!$J$2:$J176=$D6)"),"Shaye")</f>
        <v>Shaye</v>
      </c>
      <c r="F8" s="163" t="str">
        <f>IFERROR(__xludf.DUMMYFUNCTION("FILTER(Roster!D$2:D176,Roster!$H$2:$H176=""F"",Roster!$J$2:$J176=$D6)"),"1 - Thu")</f>
        <v>1 - Thu</v>
      </c>
      <c r="G8" s="163" t="str">
        <f>IFERROR(__xludf.DUMMYFUNCTION("FILTER(Roster!E$2:E176,Roster!$H$2:$H176=""F"",Roster!$J$2:$J176=$D6)"),"")</f>
        <v/>
      </c>
      <c r="H8" s="163" t="str">
        <f>IFERROR(__xludf.DUMMYFUNCTION("FILTER(Roster!F$2:F176,Roster!$H$2:$H176=""F"",Roster!$J$2:$J176=$D6)"),"")</f>
        <v/>
      </c>
      <c r="I8" s="163" t="str">
        <f>IFERROR(__xludf.DUMMYFUNCTION("FILTER(Roster!G$2:G176,Roster!$H$2:$H176=""F"",Roster!$J$2:$J176=$D6)"),"")</f>
        <v/>
      </c>
      <c r="J8" s="163" t="str">
        <f>IFERROR(__xludf.DUMMYFUNCTION("FILTER(Roster!H$2:H176,Roster!$H$2:$H176=""F"",Roster!$J$2:$J176=$D6)"),"F")</f>
        <v>F</v>
      </c>
      <c r="K8" s="163" t="str">
        <f>IFERROR(__xludf.DUMMYFUNCTION("FILTER(Roster!I$2:I176,Roster!$H$2:$H176=""F"",Roster!$J$2:$J176=$D6)"),"E")</f>
        <v>E</v>
      </c>
      <c r="L8" s="163">
        <f>IFERROR(__xludf.DUMMYFUNCTION("FILTER(Roster!J$2:J176,Roster!$H$2:$H176=""F"",Roster!$J$2:$J176=$D6)"),48.0)</f>
        <v>48</v>
      </c>
      <c r="M8" s="163">
        <f>IFERROR(__xludf.DUMMYFUNCTION("FILTER(Roster!M$2:M176,Roster!$H$2:$H176=""F"",Roster!$J$2:$J176=$D6)"),367.5)</f>
        <v>367.5</v>
      </c>
      <c r="N8" s="163" t="str">
        <f>IFERROR(__xludf.DUMMYFUNCTION("FILTER(Roster!N$2:N176,Roster!$H$2:$H176=""F"",Roster!$J$2:$J176=$D6)"),"")</f>
        <v/>
      </c>
      <c r="O8" s="164">
        <f t="array" ref="O8">INDEX('Best Lifts'!E$1:E$279,MATCH(1,($D8='Best Lifts'!$A:$A)*($E8='Best Lifts'!$B:$B),0))</f>
        <v>102.5</v>
      </c>
      <c r="P8" s="164">
        <f t="array" ref="P8">INDEX('Best Lifts'!F$1:F$279,MATCH(1,($D8='Best Lifts'!$A:$A)*($E8='Best Lifts'!$B:$B),0))</f>
        <v>65</v>
      </c>
      <c r="Q8" s="164">
        <f t="array" ref="Q8">INDEX('Best Lifts'!G$1:G$279,MATCH(1,($D8='Best Lifts'!$A:$A)*($E8='Best Lifts'!$B:$B),0))</f>
        <v>125</v>
      </c>
      <c r="R8" s="164">
        <f t="array" ref="R8">INDEX('Best Lifts'!H$1:H$279,MATCH(1,($D8='Best Lifts'!$A:$A)*($E8='Best Lifts'!$B:$B),0))</f>
        <v>292.5</v>
      </c>
      <c r="S8" s="164">
        <f t="array" ref="S8">INDEX('Best Lifts'!I$1:I$279,MATCH(1,($D8='Best Lifts'!$A:$A)*($E8='Best Lifts'!$B:$B),0))</f>
        <v>142.5</v>
      </c>
      <c r="T8" s="164">
        <f t="array" ref="T8">INDEX('Best Lifts'!J$1:J$279,MATCH(1,($D8='Best Lifts'!$A:$A)*($E8='Best Lifts'!$B:$B),0))</f>
        <v>90</v>
      </c>
      <c r="U8" s="164">
        <f t="array" ref="U8">INDEX('Best Lifts'!K$1:K$279,MATCH(1,($D8='Best Lifts'!$A:$A)*($E8='Best Lifts'!$B:$B),0))</f>
        <v>137.5</v>
      </c>
      <c r="V8" s="164">
        <f t="array" ref="V8">INDEX('Best Lifts'!L$1:L$279,MATCH(1,($D8='Best Lifts'!$A:$A)*($E8='Best Lifts'!$B:$B),0))</f>
        <v>367.5</v>
      </c>
      <c r="W8" s="164">
        <f t="shared" ref="W8:W14" si="6">IF(ISNA(SUM(S8:U8)),0,SUM(S8:U8))</f>
        <v>370</v>
      </c>
      <c r="X8" s="165" t="str">
        <f t="array" ref="X8">INDEX('Best Lifts'!M$1:M$279,MATCH(1,($D8='Best Lifts'!$A:$A)*($E8='Best Lifts'!$B:$B),0))</f>
        <v/>
      </c>
    </row>
    <row r="9">
      <c r="A9" s="163">
        <f t="shared" si="4"/>
        <v>2</v>
      </c>
      <c r="B9" s="163">
        <f t="shared" si="5"/>
        <v>1</v>
      </c>
      <c r="C9" s="163"/>
      <c r="D9" s="163" t="str">
        <f>IFERROR(__xludf.DUMMYFUNCTION("""COMPUTED_VALUE"""),"Dominguez")</f>
        <v>Dominguez</v>
      </c>
      <c r="E9" s="163" t="str">
        <f>IFERROR(__xludf.DUMMYFUNCTION("""COMPUTED_VALUE"""),"Natali")</f>
        <v>Natali</v>
      </c>
      <c r="F9" s="163" t="str">
        <f>IFERROR(__xludf.DUMMYFUNCTION("""COMPUTED_VALUE"""),"1 - Thu")</f>
        <v>1 - Thu</v>
      </c>
      <c r="G9" s="163"/>
      <c r="H9" s="163"/>
      <c r="I9" s="163"/>
      <c r="J9" s="163" t="str">
        <f>IFERROR(__xludf.DUMMYFUNCTION("""COMPUTED_VALUE"""),"F")</f>
        <v>F</v>
      </c>
      <c r="K9" s="163" t="str">
        <f>IFERROR(__xludf.DUMMYFUNCTION("""COMPUTED_VALUE"""),"E")</f>
        <v>E</v>
      </c>
      <c r="L9" s="163">
        <f>IFERROR(__xludf.DUMMYFUNCTION("""COMPUTED_VALUE"""),48.0)</f>
        <v>48</v>
      </c>
      <c r="M9" s="163">
        <f>IFERROR(__xludf.DUMMYFUNCTION("""COMPUTED_VALUE"""),353.5)</f>
        <v>353.5</v>
      </c>
      <c r="N9" s="163"/>
      <c r="O9" s="164">
        <f t="array" ref="O9">INDEX('Best Lifts'!E$1:E$279,MATCH(1,($D9='Best Lifts'!$A:$A)*($E9='Best Lifts'!$B:$B),0))</f>
        <v>110</v>
      </c>
      <c r="P9" s="164">
        <f t="array" ref="P9">INDEX('Best Lifts'!F$1:F$279,MATCH(1,($D9='Best Lifts'!$A:$A)*($E9='Best Lifts'!$B:$B),0))</f>
        <v>67.5</v>
      </c>
      <c r="Q9" s="164">
        <f t="array" ref="Q9">INDEX('Best Lifts'!G$1:G$279,MATCH(1,($D9='Best Lifts'!$A:$A)*($E9='Best Lifts'!$B:$B),0))</f>
        <v>132.5</v>
      </c>
      <c r="R9" s="164">
        <f t="array" ref="R9">INDEX('Best Lifts'!H$1:H$279,MATCH(1,($D9='Best Lifts'!$A:$A)*($E9='Best Lifts'!$B:$B),0))</f>
        <v>310</v>
      </c>
      <c r="S9" s="164">
        <f t="array" ref="S9">INDEX('Best Lifts'!I$1:I$279,MATCH(1,($D9='Best Lifts'!$A:$A)*($E9='Best Lifts'!$B:$B),0))</f>
        <v>155</v>
      </c>
      <c r="T9" s="164">
        <f t="array" ref="T9">INDEX('Best Lifts'!J$1:J$279,MATCH(1,($D9='Best Lifts'!$A:$A)*($E9='Best Lifts'!$B:$B),0))</f>
        <v>95.5</v>
      </c>
      <c r="U9" s="164">
        <f t="array" ref="U9">INDEX('Best Lifts'!K$1:K$279,MATCH(1,($D9='Best Lifts'!$A:$A)*($E9='Best Lifts'!$B:$B),0))</f>
        <v>137.5</v>
      </c>
      <c r="V9" s="164">
        <f t="array" ref="V9">INDEX('Best Lifts'!L$1:L$279,MATCH(1,($D9='Best Lifts'!$A:$A)*($E9='Best Lifts'!$B:$B),0))</f>
        <v>385.5</v>
      </c>
      <c r="W9" s="164">
        <f t="shared" si="6"/>
        <v>388</v>
      </c>
      <c r="X9" s="165" t="str">
        <f t="array" ref="X9">INDEX('Best Lifts'!M$1:M$279,MATCH(1,($D9='Best Lifts'!$A:$A)*($E9='Best Lifts'!$B:$B),0))</f>
        <v/>
      </c>
    </row>
    <row r="10">
      <c r="A10" s="163">
        <f t="shared" si="4"/>
        <v>3</v>
      </c>
      <c r="B10" s="163">
        <f t="shared" si="5"/>
        <v>3</v>
      </c>
      <c r="C10" s="163"/>
      <c r="D10" s="163" t="str">
        <f>IFERROR(__xludf.DUMMYFUNCTION("""COMPUTED_VALUE"""),"Green")</f>
        <v>Green</v>
      </c>
      <c r="E10" s="163" t="str">
        <f>IFERROR(__xludf.DUMMYFUNCTION("""COMPUTED_VALUE"""),"Sally")</f>
        <v>Sally</v>
      </c>
      <c r="F10" s="163" t="str">
        <f>IFERROR(__xludf.DUMMYFUNCTION("""COMPUTED_VALUE"""),"1 - Thu")</f>
        <v>1 - Thu</v>
      </c>
      <c r="G10" s="163"/>
      <c r="H10" s="163"/>
      <c r="I10" s="163"/>
      <c r="J10" s="163" t="str">
        <f>IFERROR(__xludf.DUMMYFUNCTION("""COMPUTED_VALUE"""),"F")</f>
        <v>F</v>
      </c>
      <c r="K10" s="163" t="str">
        <f>IFERROR(__xludf.DUMMYFUNCTION("""COMPUTED_VALUE"""),"E")</f>
        <v>E</v>
      </c>
      <c r="L10" s="163">
        <f>IFERROR(__xludf.DUMMYFUNCTION("""COMPUTED_VALUE"""),48.0)</f>
        <v>48</v>
      </c>
      <c r="M10" s="163">
        <f>IFERROR(__xludf.DUMMYFUNCTION("""COMPUTED_VALUE"""),340.0)</f>
        <v>340</v>
      </c>
      <c r="N10" s="163"/>
      <c r="O10" s="164">
        <f t="array" ref="O10">INDEX('Best Lifts'!E$1:E$279,MATCH(1,($D10='Best Lifts'!$A:$A)*($E10='Best Lifts'!$B:$B),0))</f>
        <v>75</v>
      </c>
      <c r="P10" s="164">
        <f t="array" ref="P10">INDEX('Best Lifts'!F$1:F$279,MATCH(1,($D10='Best Lifts'!$A:$A)*($E10='Best Lifts'!$B:$B),0))</f>
        <v>42.5</v>
      </c>
      <c r="Q10" s="164">
        <f t="array" ref="Q10">INDEX('Best Lifts'!G$1:G$279,MATCH(1,($D10='Best Lifts'!$A:$A)*($E10='Best Lifts'!$B:$B),0))</f>
        <v>110</v>
      </c>
      <c r="R10" s="164">
        <f t="array" ref="R10">INDEX('Best Lifts'!H$1:H$279,MATCH(1,($D10='Best Lifts'!$A:$A)*($E10='Best Lifts'!$B:$B),0))</f>
        <v>227.5</v>
      </c>
      <c r="S10" s="164">
        <f t="array" ref="S10">INDEX('Best Lifts'!I$1:I$279,MATCH(1,($D10='Best Lifts'!$A:$A)*($E10='Best Lifts'!$B:$B),0))</f>
        <v>130</v>
      </c>
      <c r="T10" s="164">
        <f t="array" ref="T10">INDEX('Best Lifts'!J$1:J$279,MATCH(1,($D10='Best Lifts'!$A:$A)*($E10='Best Lifts'!$B:$B),0))</f>
        <v>60</v>
      </c>
      <c r="U10" s="164">
        <f t="array" ref="U10">INDEX('Best Lifts'!K$1:K$279,MATCH(1,($D10='Best Lifts'!$A:$A)*($E10='Best Lifts'!$B:$B),0))</f>
        <v>152.5</v>
      </c>
      <c r="V10" s="164">
        <f t="array" ref="V10">INDEX('Best Lifts'!L$1:L$279,MATCH(1,($D10='Best Lifts'!$A:$A)*($E10='Best Lifts'!$B:$B),0))</f>
        <v>340</v>
      </c>
      <c r="W10" s="164">
        <f t="shared" si="6"/>
        <v>342.5</v>
      </c>
      <c r="X10" s="165" t="str">
        <f t="array" ref="X10">INDEX('Best Lifts'!M$1:M$279,MATCH(1,($D10='Best Lifts'!$A:$A)*($E10='Best Lifts'!$B:$B),0))</f>
        <v/>
      </c>
    </row>
    <row r="11">
      <c r="A11" s="163">
        <f t="shared" si="4"/>
        <v>4</v>
      </c>
      <c r="B11" s="163">
        <f t="shared" si="5"/>
        <v>5</v>
      </c>
      <c r="C11" s="163"/>
      <c r="D11" s="163" t="str">
        <f>IFERROR(__xludf.DUMMYFUNCTION("""COMPUTED_VALUE"""),"jackson")</f>
        <v>jackson</v>
      </c>
      <c r="E11" s="163" t="str">
        <f>IFERROR(__xludf.DUMMYFUNCTION("""COMPUTED_VALUE"""),"zoe")</f>
        <v>zoe</v>
      </c>
      <c r="F11" s="163" t="str">
        <f>IFERROR(__xludf.DUMMYFUNCTION("""COMPUTED_VALUE"""),"1 - Thu")</f>
        <v>1 - Thu</v>
      </c>
      <c r="G11" s="163"/>
      <c r="H11" s="163"/>
      <c r="I11" s="163"/>
      <c r="J11" s="163" t="str">
        <f>IFERROR(__xludf.DUMMYFUNCTION("""COMPUTED_VALUE"""),"F")</f>
        <v>F</v>
      </c>
      <c r="K11" s="163" t="str">
        <f>IFERROR(__xludf.DUMMYFUNCTION("""COMPUTED_VALUE"""),"E")</f>
        <v>E</v>
      </c>
      <c r="L11" s="163">
        <f>IFERROR(__xludf.DUMMYFUNCTION("""COMPUTED_VALUE"""),48.0)</f>
        <v>48</v>
      </c>
      <c r="M11" s="163">
        <f>IFERROR(__xludf.DUMMYFUNCTION("""COMPUTED_VALUE"""),322.5)</f>
        <v>322.5</v>
      </c>
      <c r="N11" s="163"/>
      <c r="O11" s="164" t="str">
        <f t="array" ref="O11">INDEX('Best Lifts'!E$1:E$279,MATCH(1,($D11='Best Lifts'!$A:$A)*($E11='Best Lifts'!$B:$B),0))</f>
        <v>#N/A</v>
      </c>
      <c r="P11" s="164" t="str">
        <f t="array" ref="P11">INDEX('Best Lifts'!F$1:F$279,MATCH(1,($D11='Best Lifts'!$A:$A)*($E11='Best Lifts'!$B:$B),0))</f>
        <v/>
      </c>
      <c r="Q11" s="164" t="str">
        <f t="array" ref="Q11">INDEX('Best Lifts'!G$1:G$279,MATCH(1,($D11='Best Lifts'!$A:$A)*($E11='Best Lifts'!$B:$B),0))</f>
        <v/>
      </c>
      <c r="R11" s="164" t="str">
        <f t="array" ref="R11">INDEX('Best Lifts'!H$1:H$279,MATCH(1,($D11='Best Lifts'!$A:$A)*($E11='Best Lifts'!$B:$B),0))</f>
        <v/>
      </c>
      <c r="S11" s="164">
        <f t="array" ref="S11">INDEX('Best Lifts'!I$1:I$279,MATCH(1,($D11='Best Lifts'!$A:$A)*($E11='Best Lifts'!$B:$B),0))</f>
        <v>125</v>
      </c>
      <c r="T11" s="164">
        <f t="array" ref="T11">INDEX('Best Lifts'!J$1:J$279,MATCH(1,($D11='Best Lifts'!$A:$A)*($E11='Best Lifts'!$B:$B),0))</f>
        <v>65</v>
      </c>
      <c r="U11" s="164">
        <f t="array" ref="U11">INDEX('Best Lifts'!K$1:K$279,MATCH(1,($D11='Best Lifts'!$A:$A)*($E11='Best Lifts'!$B:$B),0))</f>
        <v>132.5</v>
      </c>
      <c r="V11" s="164">
        <f t="array" ref="V11">INDEX('Best Lifts'!L$1:L$279,MATCH(1,($D11='Best Lifts'!$A:$A)*($E11='Best Lifts'!$B:$B),0))</f>
        <v>322.5</v>
      </c>
      <c r="W11" s="164">
        <f t="shared" si="6"/>
        <v>322.5</v>
      </c>
      <c r="X11" s="165" t="str">
        <f t="array" ref="X11">INDEX('Best Lifts'!M$1:M$279,MATCH(1,($D11='Best Lifts'!$A:$A)*($E11='Best Lifts'!$B:$B),0))</f>
        <v/>
      </c>
    </row>
    <row r="12">
      <c r="A12" s="163">
        <f t="shared" si="4"/>
        <v>4</v>
      </c>
      <c r="B12" s="163">
        <f t="shared" si="5"/>
        <v>4</v>
      </c>
      <c r="C12" s="163"/>
      <c r="D12" s="163" t="str">
        <f>IFERROR(__xludf.DUMMYFUNCTION("""COMPUTED_VALUE"""),"Nyman")</f>
        <v>Nyman</v>
      </c>
      <c r="E12" s="163" t="str">
        <f>IFERROR(__xludf.DUMMYFUNCTION("""COMPUTED_VALUE"""),"Saleen")</f>
        <v>Saleen</v>
      </c>
      <c r="F12" s="163" t="str">
        <f>IFERROR(__xludf.DUMMYFUNCTION("""COMPUTED_VALUE"""),"1 - Thu")</f>
        <v>1 - Thu</v>
      </c>
      <c r="G12" s="163"/>
      <c r="H12" s="163"/>
      <c r="I12" s="163"/>
      <c r="J12" s="163" t="str">
        <f>IFERROR(__xludf.DUMMYFUNCTION("""COMPUTED_VALUE"""),"F")</f>
        <v>F</v>
      </c>
      <c r="K12" s="163" t="str">
        <f>IFERROR(__xludf.DUMMYFUNCTION("""COMPUTED_VALUE"""),"E")</f>
        <v>E</v>
      </c>
      <c r="L12" s="163">
        <f>IFERROR(__xludf.DUMMYFUNCTION("""COMPUTED_VALUE"""),48.0)</f>
        <v>48</v>
      </c>
      <c r="M12" s="163">
        <f>IFERROR(__xludf.DUMMYFUNCTION("""COMPUTED_VALUE"""),322.5)</f>
        <v>322.5</v>
      </c>
      <c r="N12" s="163"/>
      <c r="O12" s="164">
        <f t="array" ref="O12">INDEX('Best Lifts'!E$1:E$279,MATCH(1,($D12='Best Lifts'!$A:$A)*($E12='Best Lifts'!$B:$B),0))</f>
        <v>75</v>
      </c>
      <c r="P12" s="164">
        <f t="array" ref="P12">INDEX('Best Lifts'!F$1:F$279,MATCH(1,($D12='Best Lifts'!$A:$A)*($E12='Best Lifts'!$B:$B),0))</f>
        <v>45</v>
      </c>
      <c r="Q12" s="164">
        <f t="array" ref="Q12">INDEX('Best Lifts'!G$1:G$279,MATCH(1,($D12='Best Lifts'!$A:$A)*($E12='Best Lifts'!$B:$B),0))</f>
        <v>110</v>
      </c>
      <c r="R12" s="164">
        <f t="array" ref="R12">INDEX('Best Lifts'!H$1:H$279,MATCH(1,($D12='Best Lifts'!$A:$A)*($E12='Best Lifts'!$B:$B),0))</f>
        <v>230</v>
      </c>
      <c r="S12" s="164">
        <f t="array" ref="S12">INDEX('Best Lifts'!I$1:I$279,MATCH(1,($D12='Best Lifts'!$A:$A)*($E12='Best Lifts'!$B:$B),0))</f>
        <v>129.2</v>
      </c>
      <c r="T12" s="164">
        <f t="array" ref="T12">INDEX('Best Lifts'!J$1:J$279,MATCH(1,($D12='Best Lifts'!$A:$A)*($E12='Best Lifts'!$B:$B),0))</f>
        <v>70</v>
      </c>
      <c r="U12" s="164">
        <f t="array" ref="U12">INDEX('Best Lifts'!K$1:K$279,MATCH(1,($D12='Best Lifts'!$A:$A)*($E12='Best Lifts'!$B:$B),0))</f>
        <v>125</v>
      </c>
      <c r="V12" s="164">
        <f t="array" ref="V12">INDEX('Best Lifts'!L$1:L$279,MATCH(1,($D12='Best Lifts'!$A:$A)*($E12='Best Lifts'!$B:$B),0))</f>
        <v>322.5</v>
      </c>
      <c r="W12" s="164">
        <f t="shared" si="6"/>
        <v>324.2</v>
      </c>
      <c r="X12" s="165" t="str">
        <f t="array" ref="X12">INDEX('Best Lifts'!M$1:M$279,MATCH(1,($D12='Best Lifts'!$A:$A)*($E12='Best Lifts'!$B:$B),0))</f>
        <v/>
      </c>
    </row>
    <row r="13">
      <c r="A13" s="163">
        <f t="shared" si="4"/>
        <v>6</v>
      </c>
      <c r="B13" s="163">
        <f t="shared" si="5"/>
        <v>7</v>
      </c>
      <c r="C13" s="163"/>
      <c r="D13" s="163" t="str">
        <f>IFERROR(__xludf.DUMMYFUNCTION("""COMPUTED_VALUE"""),"Marmolejo")</f>
        <v>Marmolejo</v>
      </c>
      <c r="E13" s="163" t="str">
        <f>IFERROR(__xludf.DUMMYFUNCTION("""COMPUTED_VALUE"""),"Alyssa")</f>
        <v>Alyssa</v>
      </c>
      <c r="F13" s="163" t="str">
        <f>IFERROR(__xludf.DUMMYFUNCTION("""COMPUTED_VALUE"""),"1 - Thu")</f>
        <v>1 - Thu</v>
      </c>
      <c r="G13" s="163"/>
      <c r="H13" s="163"/>
      <c r="I13" s="163"/>
      <c r="J13" s="163" t="str">
        <f>IFERROR(__xludf.DUMMYFUNCTION("""COMPUTED_VALUE"""),"F")</f>
        <v>F</v>
      </c>
      <c r="K13" s="163" t="str">
        <f>IFERROR(__xludf.DUMMYFUNCTION("""COMPUTED_VALUE"""),"E")</f>
        <v>E</v>
      </c>
      <c r="L13" s="163">
        <f>IFERROR(__xludf.DUMMYFUNCTION("""COMPUTED_VALUE"""),48.0)</f>
        <v>48</v>
      </c>
      <c r="M13" s="163">
        <f>IFERROR(__xludf.DUMMYFUNCTION("""COMPUTED_VALUE"""),222.5)</f>
        <v>222.5</v>
      </c>
      <c r="N13" s="163"/>
      <c r="O13" s="164">
        <f t="array" ref="O13">INDEX('Best Lifts'!E$1:E$279,MATCH(1,($D13='Best Lifts'!$A:$A)*($E13='Best Lifts'!$B:$B),0))</f>
        <v>75</v>
      </c>
      <c r="P13" s="164">
        <f t="array" ref="P13">INDEX('Best Lifts'!F$1:F$279,MATCH(1,($D13='Best Lifts'!$A:$A)*($E13='Best Lifts'!$B:$B),0))</f>
        <v>42.5</v>
      </c>
      <c r="Q13" s="164">
        <f t="array" ref="Q13">INDEX('Best Lifts'!G$1:G$279,MATCH(1,($D13='Best Lifts'!$A:$A)*($E13='Best Lifts'!$B:$B),0))</f>
        <v>105</v>
      </c>
      <c r="R13" s="164">
        <f t="array" ref="R13">INDEX('Best Lifts'!H$1:H$279,MATCH(1,($D13='Best Lifts'!$A:$A)*($E13='Best Lifts'!$B:$B),0))</f>
        <v>222.5</v>
      </c>
      <c r="S13" s="164">
        <f t="array" ref="S13">INDEX('Best Lifts'!I$1:I$279,MATCH(1,($D13='Best Lifts'!$A:$A)*($E13='Best Lifts'!$B:$B),0))</f>
        <v>92.9</v>
      </c>
      <c r="T13" s="164">
        <f t="array" ref="T13">INDEX('Best Lifts'!J$1:J$279,MATCH(1,($D13='Best Lifts'!$A:$A)*($E13='Best Lifts'!$B:$B),0))</f>
        <v>47.6</v>
      </c>
      <c r="U13" s="164">
        <f t="array" ref="U13">INDEX('Best Lifts'!K$1:K$279,MATCH(1,($D13='Best Lifts'!$A:$A)*($E13='Best Lifts'!$B:$B),0))</f>
        <v>111.1</v>
      </c>
      <c r="V13" s="164">
        <f t="array" ref="V13">INDEX('Best Lifts'!L$1:L$279,MATCH(1,($D13='Best Lifts'!$A:$A)*($E13='Best Lifts'!$B:$B),0))</f>
        <v>249.4</v>
      </c>
      <c r="W13" s="164">
        <f t="shared" si="6"/>
        <v>251.6</v>
      </c>
      <c r="X13" s="165" t="str">
        <f t="array" ref="X13">INDEX('Best Lifts'!M$1:M$279,MATCH(1,($D13='Best Lifts'!$A:$A)*($E13='Best Lifts'!$B:$B),0))</f>
        <v/>
      </c>
    </row>
    <row r="14">
      <c r="A14" s="163">
        <f t="shared" si="4"/>
        <v>7</v>
      </c>
      <c r="B14" s="163">
        <f t="shared" si="5"/>
        <v>6</v>
      </c>
      <c r="C14" s="163"/>
      <c r="D14" s="163" t="str">
        <f>IFERROR(__xludf.DUMMYFUNCTION("""COMPUTED_VALUE"""),"Caballero")</f>
        <v>Caballero</v>
      </c>
      <c r="E14" s="163" t="str">
        <f>IFERROR(__xludf.DUMMYFUNCTION("""COMPUTED_VALUE"""),"Brianna")</f>
        <v>Brianna</v>
      </c>
      <c r="F14" s="163" t="str">
        <f>IFERROR(__xludf.DUMMYFUNCTION("""COMPUTED_VALUE"""),"1 - Thu")</f>
        <v>1 - Thu</v>
      </c>
      <c r="G14" s="163"/>
      <c r="H14" s="163"/>
      <c r="I14" s="163"/>
      <c r="J14" s="163" t="str">
        <f>IFERROR(__xludf.DUMMYFUNCTION("""COMPUTED_VALUE"""),"F")</f>
        <v>F</v>
      </c>
      <c r="K14" s="163" t="str">
        <f>IFERROR(__xludf.DUMMYFUNCTION("""COMPUTED_VALUE"""),"E")</f>
        <v>E</v>
      </c>
      <c r="L14" s="163">
        <f>IFERROR(__xludf.DUMMYFUNCTION("""COMPUTED_VALUE"""),48.0)</f>
        <v>48</v>
      </c>
      <c r="M14" s="163">
        <f>IFERROR(__xludf.DUMMYFUNCTION("""COMPUTED_VALUE"""),217.5)</f>
        <v>217.5</v>
      </c>
      <c r="N14" s="163"/>
      <c r="O14" s="164"/>
      <c r="P14" s="164"/>
      <c r="Q14" s="164"/>
      <c r="R14" s="164"/>
      <c r="S14" s="164">
        <f t="array" ref="S14">INDEX('Best Lifts'!I$1:I$279,MATCH(1,($D14='Best Lifts'!$A:$A)*($E14='Best Lifts'!$B:$B),0))</f>
        <v>122.4</v>
      </c>
      <c r="T14" s="164">
        <f t="array" ref="T14">INDEX('Best Lifts'!J$1:J$279,MATCH(1,($D14='Best Lifts'!$A:$A)*($E14='Best Lifts'!$B:$B),0))</f>
        <v>52.1</v>
      </c>
      <c r="U14" s="164">
        <f t="array" ref="U14">INDEX('Best Lifts'!K$1:K$279,MATCH(1,($D14='Best Lifts'!$A:$A)*($E14='Best Lifts'!$B:$B),0))</f>
        <v>122.4</v>
      </c>
      <c r="V14" s="164">
        <f t="array" ref="V14">INDEX('Best Lifts'!L$1:L$279,MATCH(1,($D14='Best Lifts'!$A:$A)*($E14='Best Lifts'!$B:$B),0))</f>
        <v>290.3</v>
      </c>
      <c r="W14" s="164">
        <f t="shared" si="6"/>
        <v>296.9</v>
      </c>
      <c r="X14" s="165"/>
    </row>
    <row r="15">
      <c r="A15" s="154"/>
      <c r="B15" s="154"/>
      <c r="C15" s="154"/>
      <c r="D15" s="154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63"/>
      <c r="P15" s="163"/>
      <c r="Q15" s="163"/>
      <c r="R15" s="163"/>
      <c r="S15" s="160"/>
      <c r="T15" s="158"/>
      <c r="U15" s="158"/>
      <c r="V15" s="159"/>
      <c r="W15" s="159"/>
      <c r="X15" s="159"/>
    </row>
    <row r="16">
      <c r="A16" s="154"/>
      <c r="B16" s="154"/>
      <c r="C16" s="154"/>
      <c r="D16" s="155">
        <v>52.0</v>
      </c>
      <c r="E16" s="156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8"/>
      <c r="Q16" s="158"/>
      <c r="R16" s="159"/>
      <c r="S16" s="160"/>
      <c r="T16" s="158"/>
      <c r="U16" s="158"/>
      <c r="V16" s="159"/>
      <c r="W16" s="159"/>
      <c r="X16" s="159"/>
    </row>
    <row r="17">
      <c r="A17" s="161" t="s">
        <v>746</v>
      </c>
      <c r="B17" s="161" t="s">
        <v>747</v>
      </c>
      <c r="C17" s="161" t="s">
        <v>748</v>
      </c>
      <c r="D17" s="161" t="s">
        <v>253</v>
      </c>
      <c r="E17" s="161" t="s">
        <v>254</v>
      </c>
      <c r="F17" s="161" t="s">
        <v>31</v>
      </c>
      <c r="G17" s="161" t="s">
        <v>32</v>
      </c>
      <c r="H17" s="161" t="s">
        <v>33</v>
      </c>
      <c r="I17" s="161" t="s">
        <v>34</v>
      </c>
      <c r="J17" s="161" t="s">
        <v>749</v>
      </c>
      <c r="K17" s="161" t="s">
        <v>257</v>
      </c>
      <c r="L17" s="161" t="s">
        <v>750</v>
      </c>
      <c r="M17" s="161" t="s">
        <v>36</v>
      </c>
      <c r="N17" s="161" t="s">
        <v>261</v>
      </c>
      <c r="O17" s="161" t="s">
        <v>751</v>
      </c>
      <c r="P17" s="162" t="s">
        <v>752</v>
      </c>
      <c r="Q17" s="162" t="s">
        <v>753</v>
      </c>
      <c r="R17" s="162" t="s">
        <v>754</v>
      </c>
      <c r="S17" s="161" t="s">
        <v>755</v>
      </c>
      <c r="T17" s="162" t="s">
        <v>756</v>
      </c>
      <c r="U17" s="162" t="s">
        <v>757</v>
      </c>
      <c r="V17" s="162" t="s">
        <v>758</v>
      </c>
      <c r="W17" s="162" t="s">
        <v>759</v>
      </c>
      <c r="X17" s="162" t="s">
        <v>703</v>
      </c>
    </row>
    <row r="18">
      <c r="A18" s="163">
        <f t="shared" ref="A18:A30" si="7">RANK(M18,$M$18:$M$30)</f>
        <v>1</v>
      </c>
      <c r="B18" s="163" t="str">
        <f t="shared" ref="B18:B30" si="8">RANK(W18,W$18:W$30)</f>
        <v>Loading...</v>
      </c>
      <c r="C18" s="163"/>
      <c r="D18" s="163" t="str">
        <f>IFERROR(__xludf.DUMMYFUNCTION("FILTER(Roster!A$2:A176,Roster!$H$2:$H176=""F"",Roster!$J$2:$J176=$D16)"),"Villanueva")</f>
        <v>Villanueva</v>
      </c>
      <c r="E18" s="163" t="str">
        <f>IFERROR(__xludf.DUMMYFUNCTION("FILTER(Roster!B$2:B176,Roster!$H$2:$H176=""F"",Roster!$J$2:$J176=$D16)"),"Ashley")</f>
        <v>Ashley</v>
      </c>
      <c r="F18" s="163" t="str">
        <f>IFERROR(__xludf.DUMMYFUNCTION("FILTER(Roster!D$2:D176,Roster!$H$2:$H176=""F"",Roster!$J$2:$J176=$D16)"),"2 - Fri")</f>
        <v>2 - Fri</v>
      </c>
      <c r="G18" s="163" t="str">
        <f>IFERROR(__xludf.DUMMYFUNCTION("FILTER(Roster!E$2:E176,Roster!$H$2:$H176=""F"",Roster!$J$2:$J176=$D16)"),"")</f>
        <v/>
      </c>
      <c r="H18" s="163" t="str">
        <f>IFERROR(__xludf.DUMMYFUNCTION("FILTER(Roster!F$2:F176,Roster!$H$2:$H176=""F"",Roster!$J$2:$J176=$D16)"),"")</f>
        <v/>
      </c>
      <c r="I18" s="163" t="str">
        <f>IFERROR(__xludf.DUMMYFUNCTION("FILTER(Roster!G$2:G176,Roster!$H$2:$H176=""F"",Roster!$J$2:$J176=$D16)"),"")</f>
        <v/>
      </c>
      <c r="J18" s="163" t="str">
        <f>IFERROR(__xludf.DUMMYFUNCTION("FILTER(Roster!H$2:H176,Roster!$H$2:$H176=""F"",Roster!$J$2:$J176=$D16)"),"F")</f>
        <v>F</v>
      </c>
      <c r="K18" s="163" t="str">
        <f>IFERROR(__xludf.DUMMYFUNCTION("FILTER(Roster!I$2:I176,Roster!$H$2:$H176=""F"",Roster!$J$2:$J176=$D16)"),"E")</f>
        <v>E</v>
      </c>
      <c r="L18" s="163">
        <f>IFERROR(__xludf.DUMMYFUNCTION("FILTER(Roster!J$2:J176,Roster!$H$2:$H176=""F"",Roster!$J$2:$J176=$D16)"),52.0)</f>
        <v>52</v>
      </c>
      <c r="M18" s="163">
        <f>IFERROR(__xludf.DUMMYFUNCTION("FILTER(Roster!M$2:M176,Roster!$H$2:$H176=""F"",Roster!$J$2:$J176=$D16)"),410.0)</f>
        <v>410</v>
      </c>
      <c r="N18" s="163" t="str">
        <f>IFERROR(__xludf.DUMMYFUNCTION("FILTER(Roster!N$2:N176,Roster!$H$2:$H176=""F"",Roster!$J$2:$J176=$D16)"),"")</f>
        <v/>
      </c>
      <c r="O18" s="164" t="str">
        <f t="array" ref="O18">INDEX('Best Lifts'!E$1:E$279,MATCH(1,($D18='Best Lifts'!$A:$A)*($E18='Best Lifts'!$B:$B),0))</f>
        <v>#N/A</v>
      </c>
      <c r="P18" s="164" t="str">
        <f t="array" ref="P18">INDEX('Best Lifts'!F$1:F$279,MATCH(1,($D18='Best Lifts'!$A:$A)*($E18='Best Lifts'!$B:$B),0))</f>
        <v/>
      </c>
      <c r="Q18" s="164" t="str">
        <f t="array" ref="Q18">INDEX('Best Lifts'!G$1:G$279,MATCH(1,($D18='Best Lifts'!$A:$A)*($E18='Best Lifts'!$B:$B),0))</f>
        <v/>
      </c>
      <c r="R18" s="164" t="str">
        <f t="array" ref="R18">INDEX('Best Lifts'!H$1:H$279,MATCH(1,($D18='Best Lifts'!$A:$A)*($E18='Best Lifts'!$B:$B),0))</f>
        <v/>
      </c>
      <c r="S18" s="164">
        <f t="array" ref="S18">INDEX('Best Lifts'!I$1:I$279,MATCH(1,($D18='Best Lifts'!$A:$A)*($E18='Best Lifts'!$B:$B),0))</f>
        <v>158.7</v>
      </c>
      <c r="T18" s="164">
        <f t="array" ref="T18">INDEX('Best Lifts'!J$1:J$279,MATCH(1,($D18='Best Lifts'!$A:$A)*($E18='Best Lifts'!$B:$B),0))</f>
        <v>92.5</v>
      </c>
      <c r="U18" s="164">
        <f t="array" ref="U18">INDEX('Best Lifts'!K$1:K$279,MATCH(1,($D18='Best Lifts'!$A:$A)*($E18='Best Lifts'!$B:$B),0))</f>
        <v>162.5</v>
      </c>
      <c r="V18" s="164">
        <f t="array" ref="V18">INDEX('Best Lifts'!L$1:L$279,MATCH(1,($D18='Best Lifts'!$A:$A)*($E18='Best Lifts'!$B:$B),0))</f>
        <v>410</v>
      </c>
      <c r="W18" s="164">
        <f t="shared" ref="W18:W30" si="9">IF(ISNA(SUM(S18:U18)),0,SUM(S18:U18))</f>
        <v>413.7</v>
      </c>
      <c r="X18" s="165" t="str">
        <f t="array" ref="X18">INDEX('Best Lifts'!M$1:M$279,MATCH(1,($D18='Best Lifts'!$A:$A)*($E18='Best Lifts'!$B:$B),0))</f>
        <v/>
      </c>
    </row>
    <row r="19">
      <c r="A19" s="163">
        <f t="shared" si="7"/>
        <v>2</v>
      </c>
      <c r="B19" s="163" t="str">
        <f t="shared" si="8"/>
        <v>Loading...</v>
      </c>
      <c r="C19" s="163"/>
      <c r="D19" s="163" t="str">
        <f>IFERROR(__xludf.DUMMYFUNCTION("""COMPUTED_VALUE"""),"Aragon-Marcial")</f>
        <v>Aragon-Marcial</v>
      </c>
      <c r="E19" s="163" t="str">
        <f>IFERROR(__xludf.DUMMYFUNCTION("""COMPUTED_VALUE"""),"Victoria")</f>
        <v>Victoria</v>
      </c>
      <c r="F19" s="163" t="str">
        <f>IFERROR(__xludf.DUMMYFUNCTION("""COMPUTED_VALUE"""),"2 - Fri")</f>
        <v>2 - Fri</v>
      </c>
      <c r="G19" s="163"/>
      <c r="H19" s="163"/>
      <c r="I19" s="163"/>
      <c r="J19" s="163" t="str">
        <f>IFERROR(__xludf.DUMMYFUNCTION("""COMPUTED_VALUE"""),"F")</f>
        <v>F</v>
      </c>
      <c r="K19" s="163" t="str">
        <f>IFERROR(__xludf.DUMMYFUNCTION("""COMPUTED_VALUE"""),"E")</f>
        <v>E</v>
      </c>
      <c r="L19" s="163">
        <f>IFERROR(__xludf.DUMMYFUNCTION("""COMPUTED_VALUE"""),52.0)</f>
        <v>52</v>
      </c>
      <c r="M19" s="163">
        <f>IFERROR(__xludf.DUMMYFUNCTION("""COMPUTED_VALUE"""),387.5)</f>
        <v>387.5</v>
      </c>
      <c r="N19" s="163"/>
      <c r="O19" s="164">
        <f t="array" ref="O19">INDEX('Best Lifts'!E$1:E$279,MATCH(1,($D19='Best Lifts'!$A:$A)*($E19='Best Lifts'!$B:$B),0))</f>
        <v>102.5</v>
      </c>
      <c r="P19" s="164">
        <f t="array" ref="P19">INDEX('Best Lifts'!F$1:F$279,MATCH(1,($D19='Best Lifts'!$A:$A)*($E19='Best Lifts'!$B:$B),0))</f>
        <v>62.5</v>
      </c>
      <c r="Q19" s="164">
        <f t="array" ref="Q19">INDEX('Best Lifts'!G$1:G$279,MATCH(1,($D19='Best Lifts'!$A:$A)*($E19='Best Lifts'!$B:$B),0))</f>
        <v>130</v>
      </c>
      <c r="R19" s="164">
        <f t="array" ref="R19">INDEX('Best Lifts'!H$1:H$279,MATCH(1,($D19='Best Lifts'!$A:$A)*($E19='Best Lifts'!$B:$B),0))</f>
        <v>295</v>
      </c>
      <c r="S19" s="163">
        <f t="array" ref="S19">INDEX('Best Lifts'!I$1:I$279,MATCH(1,($D19='Best Lifts'!$A:$A)*($E19='Best Lifts'!$B:$B),0))</f>
        <v>145</v>
      </c>
      <c r="T19" s="163">
        <f t="array" ref="T19">INDEX('Best Lifts'!J$1:J$279,MATCH(1,($D19='Best Lifts'!$A:$A)*($E19='Best Lifts'!$B:$B),0))</f>
        <v>136.5</v>
      </c>
      <c r="U19" s="163">
        <f t="array" ref="U19">INDEX('Best Lifts'!K$1:K$279,MATCH(1,($D19='Best Lifts'!$A:$A)*($E19='Best Lifts'!$B:$B),0))</f>
        <v>140</v>
      </c>
      <c r="V19" s="163">
        <f t="array" ref="V19">INDEX('Best Lifts'!L$1:L$279,MATCH(1,($D19='Best Lifts'!$A:$A)*($E19='Best Lifts'!$B:$B),0))</f>
        <v>387.5</v>
      </c>
      <c r="W19" s="163">
        <f t="shared" si="9"/>
        <v>421.5</v>
      </c>
      <c r="X19" s="163" t="str">
        <f t="array" ref="X19">INDEX('Best Lifts'!M$1:M$279,MATCH(1,($D19='Best Lifts'!$A:$A)*($E19='Best Lifts'!$B:$B),0))</f>
        <v>Almost bombed last two meets</v>
      </c>
    </row>
    <row r="20">
      <c r="A20" s="163">
        <f t="shared" si="7"/>
        <v>3</v>
      </c>
      <c r="B20" s="163" t="str">
        <f t="shared" si="8"/>
        <v>Loading...</v>
      </c>
      <c r="C20" s="163"/>
      <c r="D20" s="163" t="str">
        <f>IFERROR(__xludf.DUMMYFUNCTION("""COMPUTED_VALUE"""),"Macias")</f>
        <v>Macias</v>
      </c>
      <c r="E20" s="163" t="str">
        <f>IFERROR(__xludf.DUMMYFUNCTION("""COMPUTED_VALUE"""),"Mercedes")</f>
        <v>Mercedes</v>
      </c>
      <c r="F20" s="163" t="str">
        <f>IFERROR(__xludf.DUMMYFUNCTION("""COMPUTED_VALUE"""),"2 - Fri")</f>
        <v>2 - Fri</v>
      </c>
      <c r="G20" s="163"/>
      <c r="H20" s="163"/>
      <c r="I20" s="163"/>
      <c r="J20" s="163" t="str">
        <f>IFERROR(__xludf.DUMMYFUNCTION("""COMPUTED_VALUE"""),"F")</f>
        <v>F</v>
      </c>
      <c r="K20" s="163" t="str">
        <f>IFERROR(__xludf.DUMMYFUNCTION("""COMPUTED_VALUE"""),"E")</f>
        <v>E</v>
      </c>
      <c r="L20" s="163">
        <f>IFERROR(__xludf.DUMMYFUNCTION("""COMPUTED_VALUE"""),52.0)</f>
        <v>52</v>
      </c>
      <c r="M20" s="163">
        <f>IFERROR(__xludf.DUMMYFUNCTION("""COMPUTED_VALUE"""),375.0)</f>
        <v>375</v>
      </c>
      <c r="N20" s="163"/>
      <c r="O20" s="164" t="str">
        <f t="array" ref="O20">INDEX('Best Lifts'!E$1:E$279,MATCH(1,($D20='Best Lifts'!$A:$A)*($E20='Best Lifts'!$B:$B),0))</f>
        <v>#N/A</v>
      </c>
      <c r="P20" s="164" t="str">
        <f t="array" ref="P20">INDEX('Best Lifts'!F$1:F$279,MATCH(1,($D20='Best Lifts'!$A:$A)*($E20='Best Lifts'!$B:$B),0))</f>
        <v/>
      </c>
      <c r="Q20" s="164" t="str">
        <f t="array" ref="Q20">INDEX('Best Lifts'!G$1:G$279,MATCH(1,($D20='Best Lifts'!$A:$A)*($E20='Best Lifts'!$B:$B),0))</f>
        <v/>
      </c>
      <c r="R20" s="164" t="str">
        <f t="array" ref="R20">INDEX('Best Lifts'!H$1:H$279,MATCH(1,($D20='Best Lifts'!$A:$A)*($E20='Best Lifts'!$B:$B),0))</f>
        <v/>
      </c>
      <c r="S20" s="163" t="str">
        <f t="array" ref="S20">INDEX('Best Lifts'!I$1:I$279,MATCH(1,($D20='Best Lifts'!$A:$A)*($E20='Best Lifts'!$B:$B),0))</f>
        <v>#N/A</v>
      </c>
      <c r="T20" s="163" t="str">
        <f t="array" ref="T20">INDEX('Best Lifts'!J$1:J$279,MATCH(1,($D20='Best Lifts'!$A:$A)*($E20='Best Lifts'!$B:$B),0))</f>
        <v/>
      </c>
      <c r="U20" s="163" t="str">
        <f t="array" ref="U20">INDEX('Best Lifts'!K$1:K$279,MATCH(1,($D20='Best Lifts'!$A:$A)*($E20='Best Lifts'!$B:$B),0))</f>
        <v/>
      </c>
      <c r="V20" s="163" t="str">
        <f t="array" ref="V20">INDEX('Best Lifts'!L$1:L$279,MATCH(1,($D20='Best Lifts'!$A:$A)*($E20='Best Lifts'!$B:$B),0))</f>
        <v/>
      </c>
      <c r="W20" s="163">
        <f t="shared" si="9"/>
        <v>0</v>
      </c>
      <c r="X20" s="163" t="str">
        <f t="array" ref="X20">INDEX('Best Lifts'!M$1:M$279,MATCH(1,($D20='Best Lifts'!$A:$A)*($E20='Best Lifts'!$B:$B),0))</f>
        <v/>
      </c>
    </row>
    <row r="21">
      <c r="A21" s="163">
        <f t="shared" si="7"/>
        <v>4</v>
      </c>
      <c r="B21" s="163" t="str">
        <f t="shared" si="8"/>
        <v>Loading...</v>
      </c>
      <c r="C21" s="163"/>
      <c r="D21" s="163" t="str">
        <f>IFERROR(__xludf.DUMMYFUNCTION("""COMPUTED_VALUE"""),"Mathews")</f>
        <v>Mathews</v>
      </c>
      <c r="E21" s="163" t="str">
        <f>IFERROR(__xludf.DUMMYFUNCTION("""COMPUTED_VALUE"""),"Raven")</f>
        <v>Raven</v>
      </c>
      <c r="F21" s="163" t="str">
        <f>IFERROR(__xludf.DUMMYFUNCTION("""COMPUTED_VALUE"""),"2 - Fri")</f>
        <v>2 - Fri</v>
      </c>
      <c r="G21" s="163"/>
      <c r="H21" s="163"/>
      <c r="I21" s="163"/>
      <c r="J21" s="163" t="str">
        <f>IFERROR(__xludf.DUMMYFUNCTION("""COMPUTED_VALUE"""),"F")</f>
        <v>F</v>
      </c>
      <c r="K21" s="163" t="str">
        <f>IFERROR(__xludf.DUMMYFUNCTION("""COMPUTED_VALUE"""),"E")</f>
        <v>E</v>
      </c>
      <c r="L21" s="163">
        <f>IFERROR(__xludf.DUMMYFUNCTION("""COMPUTED_VALUE"""),52.0)</f>
        <v>52</v>
      </c>
      <c r="M21" s="163">
        <f>IFERROR(__xludf.DUMMYFUNCTION("""COMPUTED_VALUE"""),345.0)</f>
        <v>345</v>
      </c>
      <c r="N21" s="163"/>
      <c r="O21" s="164">
        <f t="array" ref="O21">INDEX('Best Lifts'!E$1:E$279,MATCH(1,($D21='Best Lifts'!$A:$A)*($E21='Best Lifts'!$B:$B),0))</f>
        <v>107.5</v>
      </c>
      <c r="P21" s="164">
        <f t="array" ref="P21">INDEX('Best Lifts'!F$1:F$279,MATCH(1,($D21='Best Lifts'!$A:$A)*($E21='Best Lifts'!$B:$B),0))</f>
        <v>57.5</v>
      </c>
      <c r="Q21" s="164">
        <f t="array" ref="Q21">INDEX('Best Lifts'!G$1:G$279,MATCH(1,($D21='Best Lifts'!$A:$A)*($E21='Best Lifts'!$B:$B),0))</f>
        <v>115</v>
      </c>
      <c r="R21" s="164">
        <f t="array" ref="R21">INDEX('Best Lifts'!H$1:H$279,MATCH(1,($D21='Best Lifts'!$A:$A)*($E21='Best Lifts'!$B:$B),0))</f>
        <v>280</v>
      </c>
      <c r="S21" s="163">
        <f t="array" ref="S21">INDEX('Best Lifts'!I$1:I$279,MATCH(1,($D21='Best Lifts'!$A:$A)*($E21='Best Lifts'!$B:$B),0))</f>
        <v>137.5</v>
      </c>
      <c r="T21" s="163">
        <f t="array" ref="T21">INDEX('Best Lifts'!J$1:J$279,MATCH(1,($D21='Best Lifts'!$A:$A)*($E21='Best Lifts'!$B:$B),0))</f>
        <v>75</v>
      </c>
      <c r="U21" s="163">
        <f t="array" ref="U21">INDEX('Best Lifts'!K$1:K$279,MATCH(1,($D21='Best Lifts'!$A:$A)*($E21='Best Lifts'!$B:$B),0))</f>
        <v>132.5</v>
      </c>
      <c r="V21" s="163">
        <f t="array" ref="V21">INDEX('Best Lifts'!L$1:L$279,MATCH(1,($D21='Best Lifts'!$A:$A)*($E21='Best Lifts'!$B:$B),0))</f>
        <v>345</v>
      </c>
      <c r="W21" s="163">
        <f t="shared" si="9"/>
        <v>345</v>
      </c>
      <c r="X21" s="163" t="str">
        <f t="array" ref="X21">INDEX('Best Lifts'!M$1:M$279,MATCH(1,($D21='Best Lifts'!$A:$A)*($E21='Best Lifts'!$B:$B),0))</f>
        <v/>
      </c>
    </row>
    <row r="22">
      <c r="A22" s="163">
        <f t="shared" si="7"/>
        <v>5</v>
      </c>
      <c r="B22" s="163" t="str">
        <f t="shared" si="8"/>
        <v>Loading...</v>
      </c>
      <c r="C22" s="163"/>
      <c r="D22" s="163" t="str">
        <f>IFERROR(__xludf.DUMMYFUNCTION("""COMPUTED_VALUE"""),"Marshall")</f>
        <v>Marshall</v>
      </c>
      <c r="E22" s="163" t="str">
        <f>IFERROR(__xludf.DUMMYFUNCTION("""COMPUTED_VALUE"""),"Tekiyah")</f>
        <v>Tekiyah</v>
      </c>
      <c r="F22" s="163" t="str">
        <f>IFERROR(__xludf.DUMMYFUNCTION("""COMPUTED_VALUE"""),"2 - Fri")</f>
        <v>2 - Fri</v>
      </c>
      <c r="G22" s="163"/>
      <c r="H22" s="163"/>
      <c r="I22" s="163"/>
      <c r="J22" s="163" t="str">
        <f>IFERROR(__xludf.DUMMYFUNCTION("""COMPUTED_VALUE"""),"F")</f>
        <v>F</v>
      </c>
      <c r="K22" s="163" t="str">
        <f>IFERROR(__xludf.DUMMYFUNCTION("""COMPUTED_VALUE"""),"E")</f>
        <v>E</v>
      </c>
      <c r="L22" s="163">
        <f>IFERROR(__xludf.DUMMYFUNCTION("""COMPUTED_VALUE"""),52.0)</f>
        <v>52</v>
      </c>
      <c r="M22" s="163">
        <f>IFERROR(__xludf.DUMMYFUNCTION("""COMPUTED_VALUE"""),337.5)</f>
        <v>337.5</v>
      </c>
      <c r="N22" s="163"/>
      <c r="O22" s="164" t="str">
        <f t="array" ref="O22">INDEX('Best Lifts'!E$1:E$279,MATCH(1,($D22='Best Lifts'!$A:$A)*($E22='Best Lifts'!$B:$B),0))</f>
        <v>#N/A</v>
      </c>
      <c r="P22" s="164" t="str">
        <f t="array" ref="P22">INDEX('Best Lifts'!F$1:F$279,MATCH(1,($D22='Best Lifts'!$A:$A)*($E22='Best Lifts'!$B:$B),0))</f>
        <v/>
      </c>
      <c r="Q22" s="164" t="str">
        <f t="array" ref="Q22">INDEX('Best Lifts'!G$1:G$279,MATCH(1,($D22='Best Lifts'!$A:$A)*($E22='Best Lifts'!$B:$B),0))</f>
        <v/>
      </c>
      <c r="R22" s="164" t="str">
        <f t="array" ref="R22">INDEX('Best Lifts'!H$1:H$279,MATCH(1,($D22='Best Lifts'!$A:$A)*($E22='Best Lifts'!$B:$B),0))</f>
        <v/>
      </c>
      <c r="S22" s="163">
        <f t="array" ref="S22">INDEX('Best Lifts'!I$1:I$279,MATCH(1,($D22='Best Lifts'!$A:$A)*($E22='Best Lifts'!$B:$B),0))</f>
        <v>125</v>
      </c>
      <c r="T22" s="163">
        <f t="array" ref="T22">INDEX('Best Lifts'!J$1:J$279,MATCH(1,($D22='Best Lifts'!$A:$A)*($E22='Best Lifts'!$B:$B),0))</f>
        <v>80</v>
      </c>
      <c r="U22" s="163">
        <f t="array" ref="U22">INDEX('Best Lifts'!K$1:K$279,MATCH(1,($D22='Best Lifts'!$A:$A)*($E22='Best Lifts'!$B:$B),0))</f>
        <v>132.5</v>
      </c>
      <c r="V22" s="163">
        <f t="array" ref="V22">INDEX('Best Lifts'!L$1:L$279,MATCH(1,($D22='Best Lifts'!$A:$A)*($E22='Best Lifts'!$B:$B),0))</f>
        <v>337.5</v>
      </c>
      <c r="W22" s="163">
        <f t="shared" si="9"/>
        <v>337.5</v>
      </c>
      <c r="X22" s="163" t="str">
        <f t="array" ref="X22">INDEX('Best Lifts'!M$1:M$279,MATCH(1,($D22='Best Lifts'!$A:$A)*($E22='Best Lifts'!$B:$B),0))</f>
        <v/>
      </c>
    </row>
    <row r="23">
      <c r="A23" s="163">
        <f t="shared" si="7"/>
        <v>6</v>
      </c>
      <c r="B23" s="163" t="str">
        <f t="shared" si="8"/>
        <v>Loading...</v>
      </c>
      <c r="C23" s="163"/>
      <c r="D23" s="163" t="str">
        <f>IFERROR(__xludf.DUMMYFUNCTION("""COMPUTED_VALUE"""),"Shimano")</f>
        <v>Shimano</v>
      </c>
      <c r="E23" s="163" t="str">
        <f>IFERROR(__xludf.DUMMYFUNCTION("""COMPUTED_VALUE"""),"Mihiro")</f>
        <v>Mihiro</v>
      </c>
      <c r="F23" s="163" t="str">
        <f>IFERROR(__xludf.DUMMYFUNCTION("""COMPUTED_VALUE"""),"2 - Fri")</f>
        <v>2 - Fri</v>
      </c>
      <c r="G23" s="163"/>
      <c r="H23" s="163"/>
      <c r="I23" s="163"/>
      <c r="J23" s="163" t="str">
        <f>IFERROR(__xludf.DUMMYFUNCTION("""COMPUTED_VALUE"""),"F")</f>
        <v>F</v>
      </c>
      <c r="K23" s="163" t="str">
        <f>IFERROR(__xludf.DUMMYFUNCTION("""COMPUTED_VALUE"""),"E")</f>
        <v>E</v>
      </c>
      <c r="L23" s="163">
        <f>IFERROR(__xludf.DUMMYFUNCTION("""COMPUTED_VALUE"""),52.0)</f>
        <v>52</v>
      </c>
      <c r="M23" s="163">
        <f>IFERROR(__xludf.DUMMYFUNCTION("""COMPUTED_VALUE"""),315.0)</f>
        <v>315</v>
      </c>
      <c r="N23" s="163"/>
      <c r="O23" s="164">
        <f t="array" ref="O23">INDEX('Best Lifts'!E$1:E$279,MATCH(1,($D23='Best Lifts'!$A:$A)*($E23='Best Lifts'!$B:$B),0))</f>
        <v>100</v>
      </c>
      <c r="P23" s="164">
        <f t="array" ref="P23">INDEX('Best Lifts'!F$1:F$279,MATCH(1,($D23='Best Lifts'!$A:$A)*($E23='Best Lifts'!$B:$B),0))</f>
        <v>57.5</v>
      </c>
      <c r="Q23" s="164">
        <f t="array" ref="Q23">INDEX('Best Lifts'!G$1:G$279,MATCH(1,($D23='Best Lifts'!$A:$A)*($E23='Best Lifts'!$B:$B),0))</f>
        <v>120</v>
      </c>
      <c r="R23" s="164">
        <f t="array" ref="R23">INDEX('Best Lifts'!H$1:H$279,MATCH(1,($D23='Best Lifts'!$A:$A)*($E23='Best Lifts'!$B:$B),0))</f>
        <v>272.5</v>
      </c>
      <c r="S23" s="163">
        <f t="array" ref="S23">INDEX('Best Lifts'!I$1:I$279,MATCH(1,($D23='Best Lifts'!$A:$A)*($E23='Best Lifts'!$B:$B),0))</f>
        <v>125</v>
      </c>
      <c r="T23" s="163">
        <f t="array" ref="T23">INDEX('Best Lifts'!J$1:J$279,MATCH(1,($D23='Best Lifts'!$A:$A)*($E23='Best Lifts'!$B:$B),0))</f>
        <v>70</v>
      </c>
      <c r="U23" s="163">
        <f t="array" ref="U23">INDEX('Best Lifts'!K$1:K$279,MATCH(1,($D23='Best Lifts'!$A:$A)*($E23='Best Lifts'!$B:$B),0))</f>
        <v>120</v>
      </c>
      <c r="V23" s="163">
        <f t="array" ref="V23">INDEX('Best Lifts'!L$1:L$279,MATCH(1,($D23='Best Lifts'!$A:$A)*($E23='Best Lifts'!$B:$B),0))</f>
        <v>315</v>
      </c>
      <c r="W23" s="163">
        <f t="shared" si="9"/>
        <v>315</v>
      </c>
      <c r="X23" s="163" t="str">
        <f t="array" ref="X23">INDEX('Best Lifts'!M$1:M$279,MATCH(1,($D23='Best Lifts'!$A:$A)*($E23='Best Lifts'!$B:$B),0))</f>
        <v/>
      </c>
    </row>
    <row r="24">
      <c r="A24" s="163">
        <f t="shared" si="7"/>
        <v>7</v>
      </c>
      <c r="B24" s="163" t="str">
        <f t="shared" si="8"/>
        <v>Loading...</v>
      </c>
      <c r="C24" s="163"/>
      <c r="D24" s="163" t="str">
        <f>IFERROR(__xludf.DUMMYFUNCTION("""COMPUTED_VALUE"""),"Schorsch")</f>
        <v>Schorsch</v>
      </c>
      <c r="E24" s="163" t="str">
        <f>IFERROR(__xludf.DUMMYFUNCTION("""COMPUTED_VALUE"""),"Jalesca")</f>
        <v>Jalesca</v>
      </c>
      <c r="F24" s="163" t="str">
        <f>IFERROR(__xludf.DUMMYFUNCTION("""COMPUTED_VALUE"""),"2 - Fri")</f>
        <v>2 - Fri</v>
      </c>
      <c r="G24" s="163"/>
      <c r="H24" s="163"/>
      <c r="I24" s="163"/>
      <c r="J24" s="163" t="str">
        <f>IFERROR(__xludf.DUMMYFUNCTION("""COMPUTED_VALUE"""),"F")</f>
        <v>F</v>
      </c>
      <c r="K24" s="163" t="str">
        <f>IFERROR(__xludf.DUMMYFUNCTION("""COMPUTED_VALUE"""),"E")</f>
        <v>E</v>
      </c>
      <c r="L24" s="163">
        <f>IFERROR(__xludf.DUMMYFUNCTION("""COMPUTED_VALUE"""),52.0)</f>
        <v>52</v>
      </c>
      <c r="M24" s="163">
        <f>IFERROR(__xludf.DUMMYFUNCTION("""COMPUTED_VALUE"""),307.5)</f>
        <v>307.5</v>
      </c>
      <c r="N24" s="163"/>
      <c r="O24" s="164">
        <f t="array" ref="O24">INDEX('Best Lifts'!E$1:E$279,MATCH(1,($D24='Best Lifts'!$A:$A)*($E24='Best Lifts'!$B:$B),0))</f>
        <v>117.5</v>
      </c>
      <c r="P24" s="164">
        <f t="array" ref="P24">INDEX('Best Lifts'!F$1:F$279,MATCH(1,($D24='Best Lifts'!$A:$A)*($E24='Best Lifts'!$B:$B),0))</f>
        <v>55</v>
      </c>
      <c r="Q24" s="164">
        <f t="array" ref="Q24">INDEX('Best Lifts'!G$1:G$279,MATCH(1,($D24='Best Lifts'!$A:$A)*($E24='Best Lifts'!$B:$B),0))</f>
        <v>135</v>
      </c>
      <c r="R24" s="164">
        <f t="array" ref="R24">INDEX('Best Lifts'!H$1:H$279,MATCH(1,($D24='Best Lifts'!$A:$A)*($E24='Best Lifts'!$B:$B),0))</f>
        <v>307.5</v>
      </c>
      <c r="S24" s="163">
        <f t="array" ref="S24">INDEX('Best Lifts'!I$1:I$279,MATCH(1,($D24='Best Lifts'!$A:$A)*($E24='Best Lifts'!$B:$B),0))</f>
        <v>124.7</v>
      </c>
      <c r="T24" s="163">
        <f t="array" ref="T24">INDEX('Best Lifts'!J$1:J$279,MATCH(1,($D24='Best Lifts'!$A:$A)*($E24='Best Lifts'!$B:$B),0))</f>
        <v>74.8</v>
      </c>
      <c r="U24" s="163">
        <f t="array" ref="U24">INDEX('Best Lifts'!K$1:K$279,MATCH(1,($D24='Best Lifts'!$A:$A)*($E24='Best Lifts'!$B:$B),0))</f>
        <v>124.7</v>
      </c>
      <c r="V24" s="163">
        <f t="array" ref="V24">INDEX('Best Lifts'!L$1:L$279,MATCH(1,($D24='Best Lifts'!$A:$A)*($E24='Best Lifts'!$B:$B),0))</f>
        <v>324.3</v>
      </c>
      <c r="W24" s="163">
        <f t="shared" si="9"/>
        <v>324.2</v>
      </c>
      <c r="X24" s="163" t="str">
        <f t="array" ref="X24">INDEX('Best Lifts'!M$1:M$279,MATCH(1,($D24='Best Lifts'!$A:$A)*($E24='Best Lifts'!$B:$B),0))</f>
        <v/>
      </c>
    </row>
    <row r="25">
      <c r="A25" s="163">
        <f t="shared" si="7"/>
        <v>8</v>
      </c>
      <c r="B25" s="163" t="str">
        <f t="shared" si="8"/>
        <v>Loading...</v>
      </c>
      <c r="C25" s="163"/>
      <c r="D25" s="163" t="str">
        <f>IFERROR(__xludf.DUMMYFUNCTION("""COMPUTED_VALUE"""),"Scarborough-Diaz")</f>
        <v>Scarborough-Diaz</v>
      </c>
      <c r="E25" s="163" t="str">
        <f>IFERROR(__xludf.DUMMYFUNCTION("""COMPUTED_VALUE"""),"Anna")</f>
        <v>Anna</v>
      </c>
      <c r="F25" s="163" t="str">
        <f>IFERROR(__xludf.DUMMYFUNCTION("""COMPUTED_VALUE"""),"2 - Fri")</f>
        <v>2 - Fri</v>
      </c>
      <c r="G25" s="163"/>
      <c r="H25" s="163"/>
      <c r="I25" s="163"/>
      <c r="J25" s="163" t="str">
        <f>IFERROR(__xludf.DUMMYFUNCTION("""COMPUTED_VALUE"""),"F")</f>
        <v>F</v>
      </c>
      <c r="K25" s="163" t="str">
        <f>IFERROR(__xludf.DUMMYFUNCTION("""COMPUTED_VALUE"""),"E")</f>
        <v>E</v>
      </c>
      <c r="L25" s="163">
        <f>IFERROR(__xludf.DUMMYFUNCTION("""COMPUTED_VALUE"""),52.0)</f>
        <v>52</v>
      </c>
      <c r="M25" s="163">
        <f>IFERROR(__xludf.DUMMYFUNCTION("""COMPUTED_VALUE"""),290.0)</f>
        <v>290</v>
      </c>
      <c r="N25" s="163"/>
      <c r="O25" s="164" t="str">
        <f t="array" ref="O25">INDEX('Best Lifts'!E$1:E$279,MATCH(1,($D25='Best Lifts'!$A:$A)*($E25='Best Lifts'!$B:$B),0))</f>
        <v>#N/A</v>
      </c>
      <c r="P25" s="164" t="str">
        <f t="array" ref="P25">INDEX('Best Lifts'!F$1:F$279,MATCH(1,($D25='Best Lifts'!$A:$A)*($E25='Best Lifts'!$B:$B),0))</f>
        <v/>
      </c>
      <c r="Q25" s="164" t="str">
        <f t="array" ref="Q25">INDEX('Best Lifts'!G$1:G$279,MATCH(1,($D25='Best Lifts'!$A:$A)*($E25='Best Lifts'!$B:$B),0))</f>
        <v/>
      </c>
      <c r="R25" s="164" t="str">
        <f t="array" ref="R25">INDEX('Best Lifts'!H$1:H$279,MATCH(1,($D25='Best Lifts'!$A:$A)*($E25='Best Lifts'!$B:$B),0))</f>
        <v/>
      </c>
      <c r="S25" s="164" t="str">
        <f t="array" ref="S25">INDEX('Best Lifts'!I$1:I$279,MATCH(1,($D25='Best Lifts'!$A:$A)*($E25='Best Lifts'!$B:$B),0))</f>
        <v>#N/A</v>
      </c>
      <c r="T25" s="164" t="str">
        <f t="array" ref="T25">INDEX('Best Lifts'!J$1:J$279,MATCH(1,($D25='Best Lifts'!$A:$A)*($E25='Best Lifts'!$B:$B),0))</f>
        <v/>
      </c>
      <c r="U25" s="164" t="str">
        <f t="array" ref="U25">INDEX('Best Lifts'!K$1:K$279,MATCH(1,($D25='Best Lifts'!$A:$A)*($E25='Best Lifts'!$B:$B),0))</f>
        <v/>
      </c>
      <c r="V25" s="164" t="str">
        <f t="array" ref="V25">INDEX('Best Lifts'!L$1:L$279,MATCH(1,($D25='Best Lifts'!$A:$A)*($E25='Best Lifts'!$B:$B),0))</f>
        <v/>
      </c>
      <c r="W25" s="164">
        <f t="shared" si="9"/>
        <v>0</v>
      </c>
      <c r="X25" s="165" t="str">
        <f t="array" ref="X25">INDEX('Best Lifts'!M$1:M$279,MATCH(1,($D25='Best Lifts'!$A:$A)*($E25='Best Lifts'!$B:$B),0))</f>
        <v/>
      </c>
    </row>
    <row r="26">
      <c r="A26" s="163">
        <f t="shared" si="7"/>
        <v>9</v>
      </c>
      <c r="B26" s="163" t="str">
        <f t="shared" si="8"/>
        <v>Loading...</v>
      </c>
      <c r="C26" s="163"/>
      <c r="D26" s="163" t="str">
        <f>IFERROR(__xludf.DUMMYFUNCTION("""COMPUTED_VALUE"""),"Hull")</f>
        <v>Hull</v>
      </c>
      <c r="E26" s="163" t="str">
        <f>IFERROR(__xludf.DUMMYFUNCTION("""COMPUTED_VALUE"""),"Leanna Grace")</f>
        <v>Leanna Grace</v>
      </c>
      <c r="F26" s="163" t="str">
        <f>IFERROR(__xludf.DUMMYFUNCTION("""COMPUTED_VALUE"""),"2 - Fri")</f>
        <v>2 - Fri</v>
      </c>
      <c r="G26" s="163"/>
      <c r="H26" s="163"/>
      <c r="I26" s="163"/>
      <c r="J26" s="163" t="str">
        <f>IFERROR(__xludf.DUMMYFUNCTION("""COMPUTED_VALUE"""),"F")</f>
        <v>F</v>
      </c>
      <c r="K26" s="163" t="str">
        <f>IFERROR(__xludf.DUMMYFUNCTION("""COMPUTED_VALUE"""),"E")</f>
        <v>E</v>
      </c>
      <c r="L26" s="163">
        <f>IFERROR(__xludf.DUMMYFUNCTION("""COMPUTED_VALUE"""),52.0)</f>
        <v>52</v>
      </c>
      <c r="M26" s="163">
        <f>IFERROR(__xludf.DUMMYFUNCTION("""COMPUTED_VALUE"""),272.5)</f>
        <v>272.5</v>
      </c>
      <c r="N26" s="163"/>
      <c r="O26" s="164" t="str">
        <f t="array" ref="O26">INDEX('Best Lifts'!E$1:E$279,MATCH(1,($D26='Best Lifts'!$A:$A)*($E26='Best Lifts'!$B:$B),0))</f>
        <v>#N/A</v>
      </c>
      <c r="P26" s="164" t="str">
        <f t="array" ref="P26">INDEX('Best Lifts'!F$1:F$279,MATCH(1,($D26='Best Lifts'!$A:$A)*($E26='Best Lifts'!$B:$B),0))</f>
        <v/>
      </c>
      <c r="Q26" s="164" t="str">
        <f t="array" ref="Q26">INDEX('Best Lifts'!G$1:G$279,MATCH(1,($D26='Best Lifts'!$A:$A)*($E26='Best Lifts'!$B:$B),0))</f>
        <v/>
      </c>
      <c r="R26" s="164" t="str">
        <f t="array" ref="R26">INDEX('Best Lifts'!H$1:H$279,MATCH(1,($D26='Best Lifts'!$A:$A)*($E26='Best Lifts'!$B:$B),0))</f>
        <v/>
      </c>
      <c r="S26" s="164">
        <f t="array" ref="S26">INDEX('Best Lifts'!I$1:I$279,MATCH(1,($D26='Best Lifts'!$A:$A)*($E26='Best Lifts'!$B:$B),0))</f>
        <v>112.5</v>
      </c>
      <c r="T26" s="164">
        <f t="array" ref="T26">INDEX('Best Lifts'!J$1:J$279,MATCH(1,($D26='Best Lifts'!$A:$A)*($E26='Best Lifts'!$B:$B),0))</f>
        <v>45</v>
      </c>
      <c r="U26" s="164">
        <f t="array" ref="U26">INDEX('Best Lifts'!K$1:K$279,MATCH(1,($D26='Best Lifts'!$A:$A)*($E26='Best Lifts'!$B:$B),0))</f>
        <v>115</v>
      </c>
      <c r="V26" s="164">
        <f t="array" ref="V26">INDEX('Best Lifts'!L$1:L$279,MATCH(1,($D26='Best Lifts'!$A:$A)*($E26='Best Lifts'!$B:$B),0))</f>
        <v>272.5</v>
      </c>
      <c r="W26" s="164">
        <f t="shared" si="9"/>
        <v>272.5</v>
      </c>
      <c r="X26" s="165" t="str">
        <f t="array" ref="X26">INDEX('Best Lifts'!M$1:M$279,MATCH(1,($D26='Best Lifts'!$A:$A)*($E26='Best Lifts'!$B:$B),0))</f>
        <v/>
      </c>
    </row>
    <row r="27">
      <c r="A27" s="163">
        <f t="shared" si="7"/>
        <v>10</v>
      </c>
      <c r="B27" s="163" t="str">
        <f t="shared" si="8"/>
        <v>Loading...</v>
      </c>
      <c r="C27" s="163"/>
      <c r="D27" s="163" t="str">
        <f>IFERROR(__xludf.DUMMYFUNCTION("""COMPUTED_VALUE"""),"Tomko")</f>
        <v>Tomko</v>
      </c>
      <c r="E27" s="163" t="str">
        <f>IFERROR(__xludf.DUMMYFUNCTION("""COMPUTED_VALUE"""),"Emily")</f>
        <v>Emily</v>
      </c>
      <c r="F27" s="163" t="str">
        <f>IFERROR(__xludf.DUMMYFUNCTION("""COMPUTED_VALUE"""),"2 - Fri")</f>
        <v>2 - Fri</v>
      </c>
      <c r="G27" s="163"/>
      <c r="H27" s="163"/>
      <c r="I27" s="163"/>
      <c r="J27" s="163" t="str">
        <f>IFERROR(__xludf.DUMMYFUNCTION("""COMPUTED_VALUE"""),"F")</f>
        <v>F</v>
      </c>
      <c r="K27" s="163" t="str">
        <f>IFERROR(__xludf.DUMMYFUNCTION("""COMPUTED_VALUE"""),"E")</f>
        <v>E</v>
      </c>
      <c r="L27" s="163">
        <f>IFERROR(__xludf.DUMMYFUNCTION("""COMPUTED_VALUE"""),52.0)</f>
        <v>52</v>
      </c>
      <c r="M27" s="163">
        <f>IFERROR(__xludf.DUMMYFUNCTION("""COMPUTED_VALUE"""),265.0)</f>
        <v>265</v>
      </c>
      <c r="N27" s="163"/>
      <c r="O27" s="164" t="str">
        <f t="array" ref="O27">INDEX('Best Lifts'!E$1:E$279,MATCH(1,($D27='Best Lifts'!$A:$A)*($E27='Best Lifts'!$B:$B),0))</f>
        <v>#N/A</v>
      </c>
      <c r="P27" s="164" t="str">
        <f t="array" ref="P27">INDEX('Best Lifts'!F$1:F$279,MATCH(1,($D27='Best Lifts'!$A:$A)*($E27='Best Lifts'!$B:$B),0))</f>
        <v/>
      </c>
      <c r="Q27" s="164" t="str">
        <f t="array" ref="Q27">INDEX('Best Lifts'!G$1:G$279,MATCH(1,($D27='Best Lifts'!$A:$A)*($E27='Best Lifts'!$B:$B),0))</f>
        <v/>
      </c>
      <c r="R27" s="164" t="str">
        <f t="array" ref="R27">INDEX('Best Lifts'!H$1:H$279,MATCH(1,($D27='Best Lifts'!$A:$A)*($E27='Best Lifts'!$B:$B),0))</f>
        <v/>
      </c>
      <c r="S27" s="164">
        <f t="array" ref="S27">INDEX('Best Lifts'!I$1:I$279,MATCH(1,($D27='Best Lifts'!$A:$A)*($E27='Best Lifts'!$B:$B),0))</f>
        <v>107.5</v>
      </c>
      <c r="T27" s="164">
        <f t="array" ref="T27">INDEX('Best Lifts'!J$1:J$279,MATCH(1,($D27='Best Lifts'!$A:$A)*($E27='Best Lifts'!$B:$B),0))</f>
        <v>57.5</v>
      </c>
      <c r="U27" s="164">
        <f t="array" ref="U27">INDEX('Best Lifts'!K$1:K$279,MATCH(1,($D27='Best Lifts'!$A:$A)*($E27='Best Lifts'!$B:$B),0))</f>
        <v>100</v>
      </c>
      <c r="V27" s="164">
        <f t="array" ref="V27">INDEX('Best Lifts'!L$1:L$279,MATCH(1,($D27='Best Lifts'!$A:$A)*($E27='Best Lifts'!$B:$B),0))</f>
        <v>265</v>
      </c>
      <c r="W27" s="164">
        <f t="shared" si="9"/>
        <v>265</v>
      </c>
      <c r="X27" s="165" t="str">
        <f t="array" ref="X27">INDEX('Best Lifts'!M$1:M$279,MATCH(1,($D27='Best Lifts'!$A:$A)*($E27='Best Lifts'!$B:$B),0))</f>
        <v/>
      </c>
    </row>
    <row r="28">
      <c r="A28" s="163">
        <f t="shared" si="7"/>
        <v>11</v>
      </c>
      <c r="B28" s="163" t="str">
        <f t="shared" si="8"/>
        <v>Loading...</v>
      </c>
      <c r="C28" s="163"/>
      <c r="D28" s="163" t="str">
        <f>IFERROR(__xludf.DUMMYFUNCTION("""COMPUTED_VALUE"""),"Lee")</f>
        <v>Lee</v>
      </c>
      <c r="E28" s="163" t="str">
        <f>IFERROR(__xludf.DUMMYFUNCTION("""COMPUTED_VALUE"""),"Hyobin")</f>
        <v>Hyobin</v>
      </c>
      <c r="F28" s="163" t="str">
        <f>IFERROR(__xludf.DUMMYFUNCTION("""COMPUTED_VALUE"""),"2 - Fri")</f>
        <v>2 - Fri</v>
      </c>
      <c r="G28" s="163"/>
      <c r="H28" s="163"/>
      <c r="I28" s="163"/>
      <c r="J28" s="163" t="str">
        <f>IFERROR(__xludf.DUMMYFUNCTION("""COMPUTED_VALUE"""),"F")</f>
        <v>F</v>
      </c>
      <c r="K28" s="163" t="str">
        <f>IFERROR(__xludf.DUMMYFUNCTION("""COMPUTED_VALUE"""),"E")</f>
        <v>E</v>
      </c>
      <c r="L28" s="163">
        <f>IFERROR(__xludf.DUMMYFUNCTION("""COMPUTED_VALUE"""),52.0)</f>
        <v>52</v>
      </c>
      <c r="M28" s="163">
        <f>IFERROR(__xludf.DUMMYFUNCTION("""COMPUTED_VALUE"""),260.0)</f>
        <v>260</v>
      </c>
      <c r="N28" s="163"/>
      <c r="O28" s="164">
        <f t="array" ref="O28">INDEX('Best Lifts'!E$1:E$279,MATCH(1,($D28='Best Lifts'!$A:$A)*($E28='Best Lifts'!$B:$B),0))</f>
        <v>82.5</v>
      </c>
      <c r="P28" s="164">
        <f t="array" ref="P28">INDEX('Best Lifts'!F$1:F$279,MATCH(1,($D28='Best Lifts'!$A:$A)*($E28='Best Lifts'!$B:$B),0))</f>
        <v>25</v>
      </c>
      <c r="Q28" s="164">
        <f t="array" ref="Q28">INDEX('Best Lifts'!G$1:G$279,MATCH(1,($D28='Best Lifts'!$A:$A)*($E28='Best Lifts'!$B:$B),0))</f>
        <v>75</v>
      </c>
      <c r="R28" s="164">
        <f t="array" ref="R28">INDEX('Best Lifts'!H$1:H$279,MATCH(1,($D28='Best Lifts'!$A:$A)*($E28='Best Lifts'!$B:$B),0))</f>
        <v>182.5</v>
      </c>
      <c r="S28" s="164">
        <f t="array" ref="S28">INDEX('Best Lifts'!I$1:I$279,MATCH(1,($D28='Best Lifts'!$A:$A)*($E28='Best Lifts'!$B:$B),0))</f>
        <v>107.5</v>
      </c>
      <c r="T28" s="164">
        <f t="array" ref="T28">INDEX('Best Lifts'!J$1:J$279,MATCH(1,($D28='Best Lifts'!$A:$A)*($E28='Best Lifts'!$B:$B),0))</f>
        <v>42.5</v>
      </c>
      <c r="U28" s="164">
        <f t="array" ref="U28">INDEX('Best Lifts'!K$1:K$279,MATCH(1,($D28='Best Lifts'!$A:$A)*($E28='Best Lifts'!$B:$B),0))</f>
        <v>110</v>
      </c>
      <c r="V28" s="164">
        <f t="array" ref="V28">INDEX('Best Lifts'!L$1:L$279,MATCH(1,($D28='Best Lifts'!$A:$A)*($E28='Best Lifts'!$B:$B),0))</f>
        <v>260</v>
      </c>
      <c r="W28" s="164">
        <f t="shared" si="9"/>
        <v>260</v>
      </c>
      <c r="X28" s="165" t="str">
        <f t="array" ref="X28">INDEX('Best Lifts'!M$1:M$279,MATCH(1,($D28='Best Lifts'!$A:$A)*($E28='Best Lifts'!$B:$B),0))</f>
        <v/>
      </c>
    </row>
    <row r="29">
      <c r="A29" s="163">
        <f t="shared" si="7"/>
        <v>12</v>
      </c>
      <c r="B29" s="163" t="str">
        <f t="shared" si="8"/>
        <v>Loading...</v>
      </c>
      <c r="C29" s="163"/>
      <c r="D29" s="166" t="str">
        <f>IFERROR(__xludf.DUMMYFUNCTION("""COMPUTED_VALUE"""),"Campbell")</f>
        <v>Campbell</v>
      </c>
      <c r="E29" s="166" t="str">
        <f>IFERROR(__xludf.DUMMYFUNCTION("""COMPUTED_VALUE"""),"Chloe")</f>
        <v>Chloe</v>
      </c>
      <c r="F29" s="166" t="str">
        <f>IFERROR(__xludf.DUMMYFUNCTION("""COMPUTED_VALUE"""),"2 - Fri")</f>
        <v>2 - Fri</v>
      </c>
      <c r="G29" s="166"/>
      <c r="H29" s="166"/>
      <c r="I29" s="166"/>
      <c r="J29" s="166" t="str">
        <f>IFERROR(__xludf.DUMMYFUNCTION("""COMPUTED_VALUE"""),"F")</f>
        <v>F</v>
      </c>
      <c r="K29" s="166" t="str">
        <f>IFERROR(__xludf.DUMMYFUNCTION("""COMPUTED_VALUE"""),"E")</f>
        <v>E</v>
      </c>
      <c r="L29" s="166">
        <f>IFERROR(__xludf.DUMMYFUNCTION("""COMPUTED_VALUE"""),52.0)</f>
        <v>52</v>
      </c>
      <c r="M29" s="166">
        <f>IFERROR(__xludf.DUMMYFUNCTION("""COMPUTED_VALUE"""),235.0)</f>
        <v>235</v>
      </c>
      <c r="N29" s="166"/>
      <c r="O29" s="164" t="str">
        <f t="array" ref="O29">INDEX('Best Lifts'!E$1:E$279,MATCH(1,($D29='Best Lifts'!$A:$A)*($E29='Best Lifts'!$B:$B),0))</f>
        <v>#N/A</v>
      </c>
      <c r="P29" s="164" t="str">
        <f t="array" ref="P29">INDEX('Best Lifts'!F$1:F$279,MATCH(1,($D29='Best Lifts'!$A:$A)*($E29='Best Lifts'!$B:$B),0))</f>
        <v/>
      </c>
      <c r="Q29" s="164" t="str">
        <f t="array" ref="Q29">INDEX('Best Lifts'!G$1:G$279,MATCH(1,($D29='Best Lifts'!$A:$A)*($E29='Best Lifts'!$B:$B),0))</f>
        <v/>
      </c>
      <c r="R29" s="164" t="str">
        <f t="array" ref="R29">INDEX('Best Lifts'!H$1:H$279,MATCH(1,($D29='Best Lifts'!$A:$A)*($E29='Best Lifts'!$B:$B),0))</f>
        <v/>
      </c>
      <c r="S29" s="164">
        <f t="array" ref="S29">INDEX('Best Lifts'!I$1:I$279,MATCH(1,($D29='Best Lifts'!$A:$A)*($E29='Best Lifts'!$B:$B),0))</f>
        <v>85</v>
      </c>
      <c r="T29" s="164">
        <f t="array" ref="T29">INDEX('Best Lifts'!J$1:J$279,MATCH(1,($D29='Best Lifts'!$A:$A)*($E29='Best Lifts'!$B:$B),0))</f>
        <v>47.5</v>
      </c>
      <c r="U29" s="164">
        <f t="array" ref="U29">INDEX('Best Lifts'!K$1:K$279,MATCH(1,($D29='Best Lifts'!$A:$A)*($E29='Best Lifts'!$B:$B),0))</f>
        <v>102.5</v>
      </c>
      <c r="V29" s="164">
        <f t="array" ref="V29">INDEX('Best Lifts'!L$1:L$279,MATCH(1,($D29='Best Lifts'!$A:$A)*($E29='Best Lifts'!$B:$B),0))</f>
        <v>235</v>
      </c>
      <c r="W29" s="164">
        <f t="shared" si="9"/>
        <v>235</v>
      </c>
      <c r="X29" s="165" t="str">
        <f t="array" ref="X29">INDEX('Best Lifts'!M$1:M$279,MATCH(1,($D29='Best Lifts'!$A:$A)*($E29='Best Lifts'!$B:$B),0))</f>
        <v/>
      </c>
    </row>
    <row r="30">
      <c r="A30" s="163" t="str">
        <f t="shared" si="7"/>
        <v>#N/A</v>
      </c>
      <c r="B30" s="163" t="str">
        <f t="shared" si="8"/>
        <v>Loading...</v>
      </c>
      <c r="C30" s="163"/>
      <c r="D30" s="166" t="str">
        <f>IFERROR(__xludf.DUMMYFUNCTION("""COMPUTED_VALUE"""),"Echavarria")</f>
        <v>Echavarria</v>
      </c>
      <c r="E30" s="166" t="str">
        <f>IFERROR(__xludf.DUMMYFUNCTION("""COMPUTED_VALUE"""),"Daniela")</f>
        <v>Daniela</v>
      </c>
      <c r="F30" s="166" t="str">
        <f>IFERROR(__xludf.DUMMYFUNCTION("""COMPUTED_VALUE"""),"2 - Fri")</f>
        <v>2 - Fri</v>
      </c>
      <c r="G30" s="166"/>
      <c r="H30" s="166"/>
      <c r="I30" s="166"/>
      <c r="J30" s="166" t="str">
        <f>IFERROR(__xludf.DUMMYFUNCTION("""COMPUTED_VALUE"""),"F")</f>
        <v>F</v>
      </c>
      <c r="K30" s="166" t="str">
        <f>IFERROR(__xludf.DUMMYFUNCTION("""COMPUTED_VALUE"""),"E")</f>
        <v>E</v>
      </c>
      <c r="L30" s="166">
        <f>IFERROR(__xludf.DUMMYFUNCTION("""COMPUTED_VALUE"""),52.0)</f>
        <v>52</v>
      </c>
      <c r="M30" s="166"/>
      <c r="N30" s="166"/>
      <c r="O30" s="164"/>
      <c r="P30" s="164"/>
      <c r="Q30" s="164"/>
      <c r="R30" s="164"/>
      <c r="S30" s="164" t="str">
        <f t="array" ref="S30">INDEX('Best Lifts'!I$1:I$279,MATCH(1,($D30='Best Lifts'!$A:$A)*($E30='Best Lifts'!$B:$B),0))</f>
        <v>Loading...</v>
      </c>
      <c r="T30" s="164" t="str">
        <f t="array" ref="T30">INDEX('Best Lifts'!J$1:J$279,MATCH(1,($D30='Best Lifts'!$A:$A)*($E30='Best Lifts'!$B:$B),0))</f>
        <v/>
      </c>
      <c r="U30" s="164" t="str">
        <f t="array" ref="U30">INDEX('Best Lifts'!K$1:K$279,MATCH(1,($D30='Best Lifts'!$A:$A)*($E30='Best Lifts'!$B:$B),0))</f>
        <v/>
      </c>
      <c r="V30" s="164" t="str">
        <f t="array" ref="V30">INDEX('Best Lifts'!L$1:L$279,MATCH(1,($D30='Best Lifts'!$A:$A)*($E30='Best Lifts'!$B:$B),0))</f>
        <v/>
      </c>
      <c r="W30" s="164" t="str">
        <f t="shared" si="9"/>
        <v>Loading...</v>
      </c>
      <c r="X30" s="165"/>
    </row>
    <row r="31">
      <c r="A31" s="154"/>
      <c r="B31" s="154"/>
      <c r="C31" s="154"/>
      <c r="D31" s="154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8"/>
      <c r="Q31" s="158"/>
      <c r="R31" s="159"/>
      <c r="S31" s="160"/>
      <c r="T31" s="158"/>
      <c r="U31" s="158"/>
      <c r="V31" s="159"/>
      <c r="W31" s="159"/>
      <c r="X31" s="159"/>
    </row>
    <row r="32">
      <c r="A32" s="154"/>
      <c r="B32" s="154"/>
      <c r="C32" s="154"/>
      <c r="D32" s="155">
        <v>56.0</v>
      </c>
      <c r="E32" s="156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8"/>
      <c r="Q32" s="158"/>
      <c r="R32" s="159"/>
      <c r="S32" s="160"/>
      <c r="T32" s="158"/>
      <c r="U32" s="158"/>
      <c r="V32" s="159"/>
      <c r="W32" s="159"/>
      <c r="X32" s="159"/>
    </row>
    <row r="33">
      <c r="A33" s="161" t="s">
        <v>746</v>
      </c>
      <c r="B33" s="161" t="s">
        <v>747</v>
      </c>
      <c r="C33" s="161" t="s">
        <v>748</v>
      </c>
      <c r="D33" s="161" t="s">
        <v>253</v>
      </c>
      <c r="E33" s="161" t="s">
        <v>254</v>
      </c>
      <c r="F33" s="161" t="s">
        <v>31</v>
      </c>
      <c r="G33" s="161" t="s">
        <v>32</v>
      </c>
      <c r="H33" s="161" t="s">
        <v>33</v>
      </c>
      <c r="I33" s="161" t="s">
        <v>34</v>
      </c>
      <c r="J33" s="161" t="s">
        <v>749</v>
      </c>
      <c r="K33" s="161" t="s">
        <v>257</v>
      </c>
      <c r="L33" s="161" t="s">
        <v>750</v>
      </c>
      <c r="M33" s="161" t="s">
        <v>36</v>
      </c>
      <c r="N33" s="161" t="s">
        <v>261</v>
      </c>
      <c r="O33" s="161" t="s">
        <v>751</v>
      </c>
      <c r="P33" s="162" t="s">
        <v>752</v>
      </c>
      <c r="Q33" s="162" t="s">
        <v>753</v>
      </c>
      <c r="R33" s="162" t="s">
        <v>754</v>
      </c>
      <c r="S33" s="161" t="s">
        <v>755</v>
      </c>
      <c r="T33" s="162" t="s">
        <v>756</v>
      </c>
      <c r="U33" s="162" t="s">
        <v>757</v>
      </c>
      <c r="V33" s="162" t="s">
        <v>758</v>
      </c>
      <c r="W33" s="162" t="s">
        <v>759</v>
      </c>
      <c r="X33" s="162" t="s">
        <v>703</v>
      </c>
    </row>
    <row r="34">
      <c r="A34" s="163">
        <f t="shared" ref="A34:A41" si="10">RANK(M34,$M$34:$M$42)</f>
        <v>1</v>
      </c>
      <c r="B34" s="163">
        <f t="shared" ref="B34:B41" si="11">RANK(W34,$W$34:$W$42)</f>
        <v>1</v>
      </c>
      <c r="C34" s="163"/>
      <c r="D34" s="163" t="str">
        <f>IFERROR(__xludf.DUMMYFUNCTION("FILTER(Roster!A$2:A176,Roster!$H$2:$H176=""F"",Roster!$J$2:$J176=$D32)"),"Facundo")</f>
        <v>Facundo</v>
      </c>
      <c r="E34" s="163" t="str">
        <f>IFERROR(__xludf.DUMMYFUNCTION("FILTER(Roster!B$2:B176,Roster!$H$2:$H176=""F"",Roster!$J$2:$J176=$D32)"),"Criselda")</f>
        <v>Criselda</v>
      </c>
      <c r="F34" s="163" t="str">
        <f>IFERROR(__xludf.DUMMYFUNCTION("FILTER(Roster!D$2:D176,Roster!$H$2:$H176=""F"",Roster!$J$2:$J176=$D32)"),"2 - Fri")</f>
        <v>2 - Fri</v>
      </c>
      <c r="G34" s="163" t="str">
        <f>IFERROR(__xludf.DUMMYFUNCTION("FILTER(Roster!E$2:E176,Roster!$H$2:$H176=""F"",Roster!$J$2:$J176=$D32)"),"")</f>
        <v/>
      </c>
      <c r="H34" s="163" t="str">
        <f>IFERROR(__xludf.DUMMYFUNCTION("FILTER(Roster!F$2:F176,Roster!$H$2:$H176=""F"",Roster!$J$2:$J176=$D32)"),"")</f>
        <v/>
      </c>
      <c r="I34" s="163" t="str">
        <f>IFERROR(__xludf.DUMMYFUNCTION("FILTER(Roster!G$2:G176,Roster!$H$2:$H176=""F"",Roster!$J$2:$J176=$D32)"),"")</f>
        <v/>
      </c>
      <c r="J34" s="163" t="str">
        <f>IFERROR(__xludf.DUMMYFUNCTION("FILTER(Roster!H$2:H176,Roster!$H$2:$H176=""F"",Roster!$J$2:$J176=$D32)"),"F")</f>
        <v>F</v>
      </c>
      <c r="K34" s="163" t="str">
        <f>IFERROR(__xludf.DUMMYFUNCTION("FILTER(Roster!I$2:I176,Roster!$H$2:$H176=""F"",Roster!$J$2:$J176=$D32)"),"E")</f>
        <v>E</v>
      </c>
      <c r="L34" s="163">
        <f>IFERROR(__xludf.DUMMYFUNCTION("FILTER(Roster!J$2:J176,Roster!$H$2:$H176=""F"",Roster!$J$2:$J176=$D32)"),56.0)</f>
        <v>56</v>
      </c>
      <c r="M34" s="163">
        <f>IFERROR(__xludf.DUMMYFUNCTION("FILTER(Roster!M$2:M176,Roster!$H$2:$H176=""F"",Roster!$J$2:$J176=$D32)"),480.0)</f>
        <v>480</v>
      </c>
      <c r="N34" s="163" t="str">
        <f>IFERROR(__xludf.DUMMYFUNCTION("FILTER(Roster!N$2:N176,Roster!$H$2:$H176=""F"",Roster!$J$2:$J176=$D32)"),"")</f>
        <v/>
      </c>
      <c r="O34" s="164">
        <f t="array" ref="O34">INDEX('Best Lifts'!E$1:E$279,MATCH(1,($D34='Best Lifts'!$A:$A)*($E34='Best Lifts'!$B:$B),0))</f>
        <v>127.5</v>
      </c>
      <c r="P34" s="164">
        <f t="array" ref="P34">INDEX('Best Lifts'!F$1:F$279,MATCH(1,($D34='Best Lifts'!$A:$A)*($E34='Best Lifts'!$B:$B),0))</f>
        <v>75</v>
      </c>
      <c r="Q34" s="164">
        <f t="array" ref="Q34">INDEX('Best Lifts'!G$1:G$279,MATCH(1,($D34='Best Lifts'!$A:$A)*($E34='Best Lifts'!$B:$B),0))</f>
        <v>175</v>
      </c>
      <c r="R34" s="164">
        <f t="array" ref="R34">INDEX('Best Lifts'!H$1:H$279,MATCH(1,($D34='Best Lifts'!$A:$A)*($E34='Best Lifts'!$B:$B),0))</f>
        <v>377.5</v>
      </c>
      <c r="S34" s="164">
        <f t="array" ref="S34">INDEX('Best Lifts'!I$1:I$279,MATCH(1,($D34='Best Lifts'!$A:$A)*($E34='Best Lifts'!$B:$B),0))</f>
        <v>190</v>
      </c>
      <c r="T34" s="164">
        <f t="array" ref="T34">INDEX('Best Lifts'!J$1:J$279,MATCH(1,($D34='Best Lifts'!$A:$A)*($E34='Best Lifts'!$B:$B),0))</f>
        <v>115</v>
      </c>
      <c r="U34" s="164">
        <f t="array" ref="U34">INDEX('Best Lifts'!K$1:K$279,MATCH(1,($D34='Best Lifts'!$A:$A)*($E34='Best Lifts'!$B:$B),0))</f>
        <v>182.5</v>
      </c>
      <c r="V34" s="164">
        <f t="array" ref="V34">INDEX('Best Lifts'!L$1:L$279,MATCH(1,($D34='Best Lifts'!$A:$A)*($E34='Best Lifts'!$B:$B),0))</f>
        <v>480</v>
      </c>
      <c r="W34" s="164">
        <f t="shared" ref="W34:W41" si="12">IF(ISNA(SUM(S34:U34)),0,SUM(S34:U34))</f>
        <v>487.5</v>
      </c>
      <c r="X34" s="165" t="str">
        <f t="array" ref="X34">INDEX('Best Lifts'!M$1:M$279,MATCH(1,($D34='Best Lifts'!$A:$A)*($E34='Best Lifts'!$B:$B),0))</f>
        <v/>
      </c>
    </row>
    <row r="35">
      <c r="A35" s="163">
        <f t="shared" si="10"/>
        <v>2</v>
      </c>
      <c r="B35" s="163">
        <f t="shared" si="11"/>
        <v>2</v>
      </c>
      <c r="C35" s="163"/>
      <c r="D35" s="163" t="str">
        <f>IFERROR(__xludf.DUMMYFUNCTION("""COMPUTED_VALUE"""),"Recendez")</f>
        <v>Recendez</v>
      </c>
      <c r="E35" s="163" t="str">
        <f>IFERROR(__xludf.DUMMYFUNCTION("""COMPUTED_VALUE"""),"Andrea")</f>
        <v>Andrea</v>
      </c>
      <c r="F35" s="163" t="str">
        <f>IFERROR(__xludf.DUMMYFUNCTION("""COMPUTED_VALUE"""),"2 - Fri")</f>
        <v>2 - Fri</v>
      </c>
      <c r="G35" s="163"/>
      <c r="H35" s="163"/>
      <c r="I35" s="163"/>
      <c r="J35" s="163" t="str">
        <f>IFERROR(__xludf.DUMMYFUNCTION("""COMPUTED_VALUE"""),"F")</f>
        <v>F</v>
      </c>
      <c r="K35" s="163" t="str">
        <f>IFERROR(__xludf.DUMMYFUNCTION("""COMPUTED_VALUE"""),"E")</f>
        <v>E</v>
      </c>
      <c r="L35" s="163">
        <f>IFERROR(__xludf.DUMMYFUNCTION("""COMPUTED_VALUE"""),56.0)</f>
        <v>56</v>
      </c>
      <c r="M35" s="163">
        <f>IFERROR(__xludf.DUMMYFUNCTION("""COMPUTED_VALUE"""),322.5)</f>
        <v>322.5</v>
      </c>
      <c r="N35" s="163"/>
      <c r="O35" s="164" t="str">
        <f t="array" ref="O35">INDEX('Best Lifts'!E$1:E$279,MATCH(1,($D35='Best Lifts'!$A:$A)*($E35='Best Lifts'!$B:$B),0))</f>
        <v>#N/A</v>
      </c>
      <c r="P35" s="164" t="str">
        <f t="array" ref="P35">INDEX('Best Lifts'!F$1:F$279,MATCH(1,($D35='Best Lifts'!$A:$A)*($E35='Best Lifts'!$B:$B),0))</f>
        <v/>
      </c>
      <c r="Q35" s="164" t="str">
        <f t="array" ref="Q35">INDEX('Best Lifts'!G$1:G$279,MATCH(1,($D35='Best Lifts'!$A:$A)*($E35='Best Lifts'!$B:$B),0))</f>
        <v/>
      </c>
      <c r="R35" s="164" t="str">
        <f t="array" ref="R35">INDEX('Best Lifts'!H$1:H$279,MATCH(1,($D35='Best Lifts'!$A:$A)*($E35='Best Lifts'!$B:$B),0))</f>
        <v/>
      </c>
      <c r="S35" s="164">
        <f t="array" ref="S35">INDEX('Best Lifts'!I$1:I$279,MATCH(1,($D35='Best Lifts'!$A:$A)*($E35='Best Lifts'!$B:$B),0))</f>
        <v>127</v>
      </c>
      <c r="T35" s="164">
        <f t="array" ref="T35">INDEX('Best Lifts'!J$1:J$279,MATCH(1,($D35='Best Lifts'!$A:$A)*($E35='Best Lifts'!$B:$B),0))</f>
        <v>65</v>
      </c>
      <c r="U35" s="164">
        <f t="array" ref="U35">INDEX('Best Lifts'!K$1:K$279,MATCH(1,($D35='Best Lifts'!$A:$A)*($E35='Best Lifts'!$B:$B),0))</f>
        <v>132.5</v>
      </c>
      <c r="V35" s="164">
        <f t="array" ref="V35">INDEX('Best Lifts'!L$1:L$279,MATCH(1,($D35='Best Lifts'!$A:$A)*($E35='Best Lifts'!$B:$B),0))</f>
        <v>322.5</v>
      </c>
      <c r="W35" s="164">
        <f t="shared" si="12"/>
        <v>324.5</v>
      </c>
      <c r="X35" s="165" t="str">
        <f t="array" ref="X35">INDEX('Best Lifts'!M$1:M$279,MATCH(1,($D35='Best Lifts'!$A:$A)*($E35='Best Lifts'!$B:$B),0))</f>
        <v/>
      </c>
    </row>
    <row r="36">
      <c r="A36" s="163">
        <f t="shared" si="10"/>
        <v>3</v>
      </c>
      <c r="B36" s="163">
        <f t="shared" si="11"/>
        <v>3</v>
      </c>
      <c r="C36" s="163"/>
      <c r="D36" s="163" t="str">
        <f>IFERROR(__xludf.DUMMYFUNCTION("""COMPUTED_VALUE"""),"smith")</f>
        <v>smith</v>
      </c>
      <c r="E36" s="163" t="str">
        <f>IFERROR(__xludf.DUMMYFUNCTION("""COMPUTED_VALUE"""),"mia")</f>
        <v>mia</v>
      </c>
      <c r="F36" s="163" t="str">
        <f>IFERROR(__xludf.DUMMYFUNCTION("""COMPUTED_VALUE"""),"2 - Fri")</f>
        <v>2 - Fri</v>
      </c>
      <c r="G36" s="163"/>
      <c r="H36" s="163"/>
      <c r="I36" s="163"/>
      <c r="J36" s="163" t="str">
        <f>IFERROR(__xludf.DUMMYFUNCTION("""COMPUTED_VALUE"""),"F")</f>
        <v>F</v>
      </c>
      <c r="K36" s="163" t="str">
        <f>IFERROR(__xludf.DUMMYFUNCTION("""COMPUTED_VALUE"""),"E")</f>
        <v>E</v>
      </c>
      <c r="L36" s="163">
        <f>IFERROR(__xludf.DUMMYFUNCTION("""COMPUTED_VALUE"""),56.0)</f>
        <v>56</v>
      </c>
      <c r="M36" s="163">
        <f>IFERROR(__xludf.DUMMYFUNCTION("""COMPUTED_VALUE"""),320.0)</f>
        <v>320</v>
      </c>
      <c r="N36" s="163"/>
      <c r="O36" s="164">
        <f t="array" ref="O36">INDEX('Best Lifts'!E$1:E$279,MATCH(1,($D36='Best Lifts'!$A:$A)*($E36='Best Lifts'!$B:$B),0))</f>
        <v>117.5</v>
      </c>
      <c r="P36" s="164">
        <f t="array" ref="P36">INDEX('Best Lifts'!F$1:F$279,MATCH(1,($D36='Best Lifts'!$A:$A)*($E36='Best Lifts'!$B:$B),0))</f>
        <v>72.5</v>
      </c>
      <c r="Q36" s="164">
        <f t="array" ref="Q36">INDEX('Best Lifts'!G$1:G$279,MATCH(1,($D36='Best Lifts'!$A:$A)*($E36='Best Lifts'!$B:$B),0))</f>
        <v>167.5</v>
      </c>
      <c r="R36" s="164">
        <f t="array" ref="R36">INDEX('Best Lifts'!H$1:H$279,MATCH(1,($D36='Best Lifts'!$A:$A)*($E36='Best Lifts'!$B:$B),0))</f>
        <v>332.5</v>
      </c>
      <c r="S36" s="164">
        <f t="array" ref="S36">INDEX('Best Lifts'!I$1:I$279,MATCH(1,($D36='Best Lifts'!$A:$A)*($E36='Best Lifts'!$B:$B),0))</f>
        <v>117.5</v>
      </c>
      <c r="T36" s="164">
        <f t="array" ref="T36">INDEX('Best Lifts'!J$1:J$279,MATCH(1,($D36='Best Lifts'!$A:$A)*($E36='Best Lifts'!$B:$B),0))</f>
        <v>67.5</v>
      </c>
      <c r="U36" s="164">
        <f t="array" ref="U36">INDEX('Best Lifts'!K$1:K$279,MATCH(1,($D36='Best Lifts'!$A:$A)*($E36='Best Lifts'!$B:$B),0))</f>
        <v>137.5</v>
      </c>
      <c r="V36" s="164">
        <f t="array" ref="V36">INDEX('Best Lifts'!L$1:L$279,MATCH(1,($D36='Best Lifts'!$A:$A)*($E36='Best Lifts'!$B:$B),0))</f>
        <v>320</v>
      </c>
      <c r="W36" s="164">
        <f t="shared" si="12"/>
        <v>322.5</v>
      </c>
      <c r="X36" s="165" t="str">
        <f t="array" ref="X36">INDEX('Best Lifts'!M$1:M$279,MATCH(1,($D36='Best Lifts'!$A:$A)*($E36='Best Lifts'!$B:$B),0))</f>
        <v/>
      </c>
    </row>
    <row r="37">
      <c r="A37" s="163">
        <f t="shared" si="10"/>
        <v>4</v>
      </c>
      <c r="B37" s="163">
        <f t="shared" si="11"/>
        <v>4</v>
      </c>
      <c r="C37" s="163"/>
      <c r="D37" s="163" t="str">
        <f>IFERROR(__xludf.DUMMYFUNCTION("""COMPUTED_VALUE"""),"Abshire")</f>
        <v>Abshire</v>
      </c>
      <c r="E37" s="163" t="str">
        <f>IFERROR(__xludf.DUMMYFUNCTION("""COMPUTED_VALUE"""),"Landace")</f>
        <v>Landace</v>
      </c>
      <c r="F37" s="163" t="str">
        <f>IFERROR(__xludf.DUMMYFUNCTION("""COMPUTED_VALUE"""),"2 - Fri")</f>
        <v>2 - Fri</v>
      </c>
      <c r="G37" s="163"/>
      <c r="H37" s="163"/>
      <c r="I37" s="163"/>
      <c r="J37" s="163" t="str">
        <f>IFERROR(__xludf.DUMMYFUNCTION("""COMPUTED_VALUE"""),"F")</f>
        <v>F</v>
      </c>
      <c r="K37" s="163" t="str">
        <f>IFERROR(__xludf.DUMMYFUNCTION("""COMPUTED_VALUE"""),"E")</f>
        <v>E</v>
      </c>
      <c r="L37" s="163">
        <f>IFERROR(__xludf.DUMMYFUNCTION("""COMPUTED_VALUE"""),56.0)</f>
        <v>56</v>
      </c>
      <c r="M37" s="163">
        <f>IFERROR(__xludf.DUMMYFUNCTION("""COMPUTED_VALUE"""),302.5)</f>
        <v>302.5</v>
      </c>
      <c r="N37" s="163"/>
      <c r="O37" s="164">
        <f t="array" ref="O37">INDEX('Best Lifts'!E$1:E$279,MATCH(1,($D37='Best Lifts'!$A:$A)*($E37='Best Lifts'!$B:$B),0))</f>
        <v>105</v>
      </c>
      <c r="P37" s="164">
        <f t="array" ref="P37">INDEX('Best Lifts'!F$1:F$279,MATCH(1,($D37='Best Lifts'!$A:$A)*($E37='Best Lifts'!$B:$B),0))</f>
        <v>52.5</v>
      </c>
      <c r="Q37" s="164">
        <f t="array" ref="Q37">INDEX('Best Lifts'!G$1:G$279,MATCH(1,($D37='Best Lifts'!$A:$A)*($E37='Best Lifts'!$B:$B),0))</f>
        <v>125</v>
      </c>
      <c r="R37" s="164">
        <f t="array" ref="R37">INDEX('Best Lifts'!H$1:H$279,MATCH(1,($D37='Best Lifts'!$A:$A)*($E37='Best Lifts'!$B:$B),0))</f>
        <v>282.5</v>
      </c>
      <c r="S37" s="164">
        <f t="array" ref="S37">INDEX('Best Lifts'!I$1:I$279,MATCH(1,($D37='Best Lifts'!$A:$A)*($E37='Best Lifts'!$B:$B),0))</f>
        <v>112.5</v>
      </c>
      <c r="T37" s="164">
        <f t="array" ref="T37">INDEX('Best Lifts'!J$1:J$279,MATCH(1,($D37='Best Lifts'!$A:$A)*($E37='Best Lifts'!$B:$B),0))</f>
        <v>52.5</v>
      </c>
      <c r="U37" s="164">
        <f t="array" ref="U37">INDEX('Best Lifts'!K$1:K$279,MATCH(1,($D37='Best Lifts'!$A:$A)*($E37='Best Lifts'!$B:$B),0))</f>
        <v>137.5</v>
      </c>
      <c r="V37" s="164">
        <f t="array" ref="V37">INDEX('Best Lifts'!L$1:L$279,MATCH(1,($D37='Best Lifts'!$A:$A)*($E37='Best Lifts'!$B:$B),0))</f>
        <v>302.5</v>
      </c>
      <c r="W37" s="164">
        <f t="shared" si="12"/>
        <v>302.5</v>
      </c>
      <c r="X37" s="165" t="str">
        <f t="array" ref="X37">INDEX('Best Lifts'!M$1:M$279,MATCH(1,($D37='Best Lifts'!$A:$A)*($E37='Best Lifts'!$B:$B),0))</f>
        <v/>
      </c>
    </row>
    <row r="38">
      <c r="A38" s="163">
        <f t="shared" si="10"/>
        <v>5</v>
      </c>
      <c r="B38" s="163">
        <f t="shared" si="11"/>
        <v>5</v>
      </c>
      <c r="C38" s="163"/>
      <c r="D38" s="163" t="str">
        <f>IFERROR(__xludf.DUMMYFUNCTION("""COMPUTED_VALUE"""),"Crooks")</f>
        <v>Crooks</v>
      </c>
      <c r="E38" s="163" t="str">
        <f>IFERROR(__xludf.DUMMYFUNCTION("""COMPUTED_VALUE"""),"Jasmine")</f>
        <v>Jasmine</v>
      </c>
      <c r="F38" s="163" t="str">
        <f>IFERROR(__xludf.DUMMYFUNCTION("""COMPUTED_VALUE"""),"2 - Fri")</f>
        <v>2 - Fri</v>
      </c>
      <c r="G38" s="163"/>
      <c r="H38" s="163"/>
      <c r="I38" s="163"/>
      <c r="J38" s="163" t="str">
        <f>IFERROR(__xludf.DUMMYFUNCTION("""COMPUTED_VALUE"""),"F")</f>
        <v>F</v>
      </c>
      <c r="K38" s="163" t="str">
        <f>IFERROR(__xludf.DUMMYFUNCTION("""COMPUTED_VALUE"""),"E")</f>
        <v>E</v>
      </c>
      <c r="L38" s="163">
        <f>IFERROR(__xludf.DUMMYFUNCTION("""COMPUTED_VALUE"""),56.0)</f>
        <v>56</v>
      </c>
      <c r="M38" s="163">
        <f>IFERROR(__xludf.DUMMYFUNCTION("""COMPUTED_VALUE"""),285.0)</f>
        <v>285</v>
      </c>
      <c r="N38" s="163"/>
      <c r="O38" s="164" t="str">
        <f t="array" ref="O38">INDEX('Best Lifts'!E$1:E$279,MATCH(1,($D38='Best Lifts'!$A:$A)*($E38='Best Lifts'!$B:$B),0))</f>
        <v>#N/A</v>
      </c>
      <c r="P38" s="164" t="str">
        <f t="array" ref="P38">INDEX('Best Lifts'!F$1:F$279,MATCH(1,($D38='Best Lifts'!$A:$A)*($E38='Best Lifts'!$B:$B),0))</f>
        <v/>
      </c>
      <c r="Q38" s="164" t="str">
        <f t="array" ref="Q38">INDEX('Best Lifts'!G$1:G$279,MATCH(1,($D38='Best Lifts'!$A:$A)*($E38='Best Lifts'!$B:$B),0))</f>
        <v/>
      </c>
      <c r="R38" s="164" t="str">
        <f t="array" ref="R38">INDEX('Best Lifts'!H$1:H$279,MATCH(1,($D38='Best Lifts'!$A:$A)*($E38='Best Lifts'!$B:$B),0))</f>
        <v/>
      </c>
      <c r="S38" s="164">
        <f t="array" ref="S38">INDEX('Best Lifts'!I$1:I$279,MATCH(1,($D38='Best Lifts'!$A:$A)*($E38='Best Lifts'!$B:$B),0))</f>
        <v>105</v>
      </c>
      <c r="T38" s="164">
        <f t="array" ref="T38">INDEX('Best Lifts'!J$1:J$279,MATCH(1,($D38='Best Lifts'!$A:$A)*($E38='Best Lifts'!$B:$B),0))</f>
        <v>52.5</v>
      </c>
      <c r="U38" s="164">
        <f t="array" ref="U38">INDEX('Best Lifts'!K$1:K$279,MATCH(1,($D38='Best Lifts'!$A:$A)*($E38='Best Lifts'!$B:$B),0))</f>
        <v>130</v>
      </c>
      <c r="V38" s="164">
        <f t="array" ref="V38">INDEX('Best Lifts'!L$1:L$279,MATCH(1,($D38='Best Lifts'!$A:$A)*($E38='Best Lifts'!$B:$B),0))</f>
        <v>285</v>
      </c>
      <c r="W38" s="164">
        <f t="shared" si="12"/>
        <v>287.5</v>
      </c>
      <c r="X38" s="165" t="str">
        <f t="array" ref="X38">INDEX('Best Lifts'!M$1:M$279,MATCH(1,($D38='Best Lifts'!$A:$A)*($E38='Best Lifts'!$B:$B),0))</f>
        <v/>
      </c>
    </row>
    <row r="39">
      <c r="A39" s="163">
        <f t="shared" si="10"/>
        <v>6</v>
      </c>
      <c r="B39" s="163">
        <f t="shared" si="11"/>
        <v>6</v>
      </c>
      <c r="C39" s="163"/>
      <c r="D39" s="163" t="str">
        <f>IFERROR(__xludf.DUMMYFUNCTION("""COMPUTED_VALUE"""),"Djokic")</f>
        <v>Djokic</v>
      </c>
      <c r="E39" s="163" t="str">
        <f>IFERROR(__xludf.DUMMYFUNCTION("""COMPUTED_VALUE"""),"Olivia")</f>
        <v>Olivia</v>
      </c>
      <c r="F39" s="163" t="str">
        <f>IFERROR(__xludf.DUMMYFUNCTION("""COMPUTED_VALUE"""),"2 - Fri")</f>
        <v>2 - Fri</v>
      </c>
      <c r="G39" s="163"/>
      <c r="H39" s="163"/>
      <c r="I39" s="163"/>
      <c r="J39" s="163" t="str">
        <f>IFERROR(__xludf.DUMMYFUNCTION("""COMPUTED_VALUE"""),"F")</f>
        <v>F</v>
      </c>
      <c r="K39" s="163" t="str">
        <f>IFERROR(__xludf.DUMMYFUNCTION("""COMPUTED_VALUE"""),"E")</f>
        <v>E</v>
      </c>
      <c r="L39" s="163">
        <f>IFERROR(__xludf.DUMMYFUNCTION("""COMPUTED_VALUE"""),56.0)</f>
        <v>56</v>
      </c>
      <c r="M39" s="163">
        <f>IFERROR(__xludf.DUMMYFUNCTION("""COMPUTED_VALUE"""),245.0)</f>
        <v>245</v>
      </c>
      <c r="N39" s="163"/>
      <c r="O39" s="164" t="str">
        <f t="array" ref="O39">INDEX('Best Lifts'!E$1:E$279,MATCH(1,($D39='Best Lifts'!$A:$A)*($E39='Best Lifts'!$B:$B),0))</f>
        <v>#N/A</v>
      </c>
      <c r="P39" s="164" t="str">
        <f t="array" ref="P39">INDEX('Best Lifts'!F$1:F$279,MATCH(1,($D39='Best Lifts'!$A:$A)*($E39='Best Lifts'!$B:$B),0))</f>
        <v/>
      </c>
      <c r="Q39" s="164" t="str">
        <f t="array" ref="Q39">INDEX('Best Lifts'!G$1:G$279,MATCH(1,($D39='Best Lifts'!$A:$A)*($E39='Best Lifts'!$B:$B),0))</f>
        <v/>
      </c>
      <c r="R39" s="164" t="str">
        <f t="array" ref="R39">INDEX('Best Lifts'!H$1:H$279,MATCH(1,($D39='Best Lifts'!$A:$A)*($E39='Best Lifts'!$B:$B),0))</f>
        <v/>
      </c>
      <c r="S39" s="164">
        <f t="array" ref="S39">INDEX('Best Lifts'!I$1:I$279,MATCH(1,($D39='Best Lifts'!$A:$A)*($E39='Best Lifts'!$B:$B),0))</f>
        <v>95</v>
      </c>
      <c r="T39" s="164">
        <f t="array" ref="T39">INDEX('Best Lifts'!J$1:J$279,MATCH(1,($D39='Best Lifts'!$A:$A)*($E39='Best Lifts'!$B:$B),0))</f>
        <v>40</v>
      </c>
      <c r="U39" s="164">
        <f t="array" ref="U39">INDEX('Best Lifts'!K$1:K$279,MATCH(1,($D39='Best Lifts'!$A:$A)*($E39='Best Lifts'!$B:$B),0))</f>
        <v>110</v>
      </c>
      <c r="V39" s="164">
        <f t="array" ref="V39">INDEX('Best Lifts'!L$1:L$279,MATCH(1,($D39='Best Lifts'!$A:$A)*($E39='Best Lifts'!$B:$B),0))</f>
        <v>245</v>
      </c>
      <c r="W39" s="164">
        <f t="shared" si="12"/>
        <v>245</v>
      </c>
      <c r="X39" s="165" t="str">
        <f t="array" ref="X39">INDEX('Best Lifts'!M$1:M$279,MATCH(1,($D39='Best Lifts'!$A:$A)*($E39='Best Lifts'!$B:$B),0))</f>
        <v/>
      </c>
    </row>
    <row r="40">
      <c r="A40" s="163">
        <f t="shared" si="10"/>
        <v>6</v>
      </c>
      <c r="B40" s="163">
        <f t="shared" si="11"/>
        <v>6</v>
      </c>
      <c r="C40" s="163"/>
      <c r="D40" s="163" t="str">
        <f>IFERROR(__xludf.DUMMYFUNCTION("""COMPUTED_VALUE"""),"Grider")</f>
        <v>Grider</v>
      </c>
      <c r="E40" s="163" t="str">
        <f>IFERROR(__xludf.DUMMYFUNCTION("""COMPUTED_VALUE"""),"Meagan")</f>
        <v>Meagan</v>
      </c>
      <c r="F40" s="163" t="str">
        <f>IFERROR(__xludf.DUMMYFUNCTION("""COMPUTED_VALUE"""),"2 - Fri")</f>
        <v>2 - Fri</v>
      </c>
      <c r="G40" s="163"/>
      <c r="H40" s="163"/>
      <c r="I40" s="163"/>
      <c r="J40" s="163" t="str">
        <f>IFERROR(__xludf.DUMMYFUNCTION("""COMPUTED_VALUE"""),"F")</f>
        <v>F</v>
      </c>
      <c r="K40" s="163" t="str">
        <f>IFERROR(__xludf.DUMMYFUNCTION("""COMPUTED_VALUE"""),"E")</f>
        <v>E</v>
      </c>
      <c r="L40" s="163">
        <f>IFERROR(__xludf.DUMMYFUNCTION("""COMPUTED_VALUE"""),56.0)</f>
        <v>56</v>
      </c>
      <c r="M40" s="163">
        <f>IFERROR(__xludf.DUMMYFUNCTION("""COMPUTED_VALUE"""),245.0)</f>
        <v>245</v>
      </c>
      <c r="N40" s="163"/>
      <c r="O40" s="164">
        <f t="array" ref="O40">INDEX('Best Lifts'!E$1:E$279,MATCH(1,($D40='Best Lifts'!$A:$A)*($E40='Best Lifts'!$B:$B),0))</f>
        <v>85</v>
      </c>
      <c r="P40" s="164">
        <f t="array" ref="P40">INDEX('Best Lifts'!F$1:F$279,MATCH(1,($D40='Best Lifts'!$A:$A)*($E40='Best Lifts'!$B:$B),0))</f>
        <v>40</v>
      </c>
      <c r="Q40" s="164">
        <f t="array" ref="Q40">INDEX('Best Lifts'!G$1:G$279,MATCH(1,($D40='Best Lifts'!$A:$A)*($E40='Best Lifts'!$B:$B),0))</f>
        <v>102.5</v>
      </c>
      <c r="R40" s="164">
        <f t="array" ref="R40">INDEX('Best Lifts'!H$1:H$279,MATCH(1,($D40='Best Lifts'!$A:$A)*($E40='Best Lifts'!$B:$B),0))</f>
        <v>222.5</v>
      </c>
      <c r="S40" s="164">
        <f t="array" ref="S40">INDEX('Best Lifts'!I$1:I$279,MATCH(1,($D40='Best Lifts'!$A:$A)*($E40='Best Lifts'!$B:$B),0))</f>
        <v>95</v>
      </c>
      <c r="T40" s="164">
        <f t="array" ref="T40">INDEX('Best Lifts'!J$1:J$279,MATCH(1,($D40='Best Lifts'!$A:$A)*($E40='Best Lifts'!$B:$B),0))</f>
        <v>45</v>
      </c>
      <c r="U40" s="164">
        <f t="array" ref="U40">INDEX('Best Lifts'!K$1:K$279,MATCH(1,($D40='Best Lifts'!$A:$A)*($E40='Best Lifts'!$B:$B),0))</f>
        <v>105</v>
      </c>
      <c r="V40" s="164">
        <f t="array" ref="V40">INDEX('Best Lifts'!L$1:L$279,MATCH(1,($D40='Best Lifts'!$A:$A)*($E40='Best Lifts'!$B:$B),0))</f>
        <v>245</v>
      </c>
      <c r="W40" s="164">
        <f t="shared" si="12"/>
        <v>245</v>
      </c>
      <c r="X40" s="165" t="str">
        <f t="array" ref="X40">INDEX('Best Lifts'!M$1:M$279,MATCH(1,($D40='Best Lifts'!$A:$A)*($E40='Best Lifts'!$B:$B),0))</f>
        <v/>
      </c>
    </row>
    <row r="41">
      <c r="A41" s="163">
        <f t="shared" si="10"/>
        <v>8</v>
      </c>
      <c r="B41" s="163">
        <f t="shared" si="11"/>
        <v>8</v>
      </c>
      <c r="C41" s="163"/>
      <c r="D41" s="163" t="str">
        <f>IFERROR(__xludf.DUMMYFUNCTION("""COMPUTED_VALUE"""),"Canzanese")</f>
        <v>Canzanese</v>
      </c>
      <c r="E41" s="163" t="str">
        <f>IFERROR(__xludf.DUMMYFUNCTION("""COMPUTED_VALUE"""),"Alexis")</f>
        <v>Alexis</v>
      </c>
      <c r="F41" s="163" t="str">
        <f>IFERROR(__xludf.DUMMYFUNCTION("""COMPUTED_VALUE"""),"2 - Fri")</f>
        <v>2 - Fri</v>
      </c>
      <c r="G41" s="163"/>
      <c r="H41" s="163"/>
      <c r="I41" s="163"/>
      <c r="J41" s="163" t="str">
        <f>IFERROR(__xludf.DUMMYFUNCTION("""COMPUTED_VALUE"""),"F")</f>
        <v>F</v>
      </c>
      <c r="K41" s="163" t="str">
        <f>IFERROR(__xludf.DUMMYFUNCTION("""COMPUTED_VALUE"""),"E")</f>
        <v>E</v>
      </c>
      <c r="L41" s="163">
        <f>IFERROR(__xludf.DUMMYFUNCTION("""COMPUTED_VALUE"""),56.0)</f>
        <v>56</v>
      </c>
      <c r="M41" s="163">
        <f>IFERROR(__xludf.DUMMYFUNCTION("""COMPUTED_VALUE"""),235.0)</f>
        <v>235</v>
      </c>
      <c r="N41" s="163"/>
      <c r="O41" s="164">
        <f t="array" ref="O41">INDEX('Best Lifts'!E$1:E$279,MATCH(1,($D41='Best Lifts'!$A:$A)*($E41='Best Lifts'!$B:$B),0))</f>
        <v>82.5</v>
      </c>
      <c r="P41" s="164">
        <f t="array" ref="P41">INDEX('Best Lifts'!F$1:F$279,MATCH(1,($D41='Best Lifts'!$A:$A)*($E41='Best Lifts'!$B:$B),0))</f>
        <v>42.5</v>
      </c>
      <c r="Q41" s="164">
        <f t="array" ref="Q41">INDEX('Best Lifts'!G$1:G$279,MATCH(1,($D41='Best Lifts'!$A:$A)*($E41='Best Lifts'!$B:$B),0))</f>
        <v>110</v>
      </c>
      <c r="R41" s="164">
        <f t="array" ref="R41">INDEX('Best Lifts'!H$1:H$279,MATCH(1,($D41='Best Lifts'!$A:$A)*($E41='Best Lifts'!$B:$B),0))</f>
        <v>235</v>
      </c>
      <c r="S41" s="164" t="str">
        <f t="array" ref="S41">INDEX('Best Lifts'!I$1:I$279,MATCH(1,($D41='Best Lifts'!$A:$A)*($E41='Best Lifts'!$B:$B),0))</f>
        <v>#N/A</v>
      </c>
      <c r="T41" s="164" t="str">
        <f t="array" ref="T41">INDEX('Best Lifts'!J$1:J$279,MATCH(1,($D41='Best Lifts'!$A:$A)*($E41='Best Lifts'!$B:$B),0))</f>
        <v/>
      </c>
      <c r="U41" s="164" t="str">
        <f t="array" ref="U41">INDEX('Best Lifts'!K$1:K$279,MATCH(1,($D41='Best Lifts'!$A:$A)*($E41='Best Lifts'!$B:$B),0))</f>
        <v/>
      </c>
      <c r="V41" s="164" t="str">
        <f t="array" ref="V41">INDEX('Best Lifts'!L$1:L$279,MATCH(1,($D41='Best Lifts'!$A:$A)*($E41='Best Lifts'!$B:$B),0))</f>
        <v/>
      </c>
      <c r="W41" s="164">
        <f t="shared" si="12"/>
        <v>0</v>
      </c>
      <c r="X41" s="165" t="str">
        <f t="array" ref="X41">INDEX('Best Lifts'!M$1:M$279,MATCH(1,($D41='Best Lifts'!$A:$A)*($E41='Best Lifts'!$B:$B),0))</f>
        <v/>
      </c>
    </row>
    <row r="4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4"/>
      <c r="P42" s="164"/>
      <c r="Q42" s="164"/>
      <c r="R42" s="164"/>
      <c r="S42" s="164"/>
      <c r="T42" s="164"/>
      <c r="U42" s="164"/>
      <c r="V42" s="164"/>
      <c r="W42" s="164"/>
      <c r="X42" s="164"/>
    </row>
    <row r="43">
      <c r="A43" s="154"/>
      <c r="B43" s="154"/>
      <c r="C43" s="154"/>
      <c r="D43" s="155">
        <v>60.0</v>
      </c>
      <c r="E43" s="156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8"/>
      <c r="Q43" s="158"/>
      <c r="R43" s="159"/>
      <c r="S43" s="160"/>
      <c r="T43" s="158"/>
      <c r="U43" s="158"/>
      <c r="V43" s="159"/>
      <c r="W43" s="159"/>
      <c r="X43" s="159"/>
    </row>
    <row r="44">
      <c r="A44" s="161" t="s">
        <v>746</v>
      </c>
      <c r="B44" s="161" t="s">
        <v>747</v>
      </c>
      <c r="C44" s="161" t="s">
        <v>748</v>
      </c>
      <c r="D44" s="161" t="s">
        <v>253</v>
      </c>
      <c r="E44" s="161" t="s">
        <v>254</v>
      </c>
      <c r="F44" s="161" t="s">
        <v>31</v>
      </c>
      <c r="G44" s="161" t="s">
        <v>32</v>
      </c>
      <c r="H44" s="161" t="s">
        <v>33</v>
      </c>
      <c r="I44" s="161" t="s">
        <v>34</v>
      </c>
      <c r="J44" s="161" t="s">
        <v>749</v>
      </c>
      <c r="K44" s="161" t="s">
        <v>257</v>
      </c>
      <c r="L44" s="161" t="s">
        <v>750</v>
      </c>
      <c r="M44" s="161" t="s">
        <v>36</v>
      </c>
      <c r="N44" s="161" t="s">
        <v>261</v>
      </c>
      <c r="O44" s="161" t="s">
        <v>751</v>
      </c>
      <c r="P44" s="162" t="s">
        <v>752</v>
      </c>
      <c r="Q44" s="162" t="s">
        <v>753</v>
      </c>
      <c r="R44" s="162" t="s">
        <v>754</v>
      </c>
      <c r="S44" s="161" t="s">
        <v>755</v>
      </c>
      <c r="T44" s="162" t="s">
        <v>756</v>
      </c>
      <c r="U44" s="162" t="s">
        <v>757</v>
      </c>
      <c r="V44" s="162" t="s">
        <v>758</v>
      </c>
      <c r="W44" s="162" t="s">
        <v>759</v>
      </c>
      <c r="X44" s="162" t="s">
        <v>703</v>
      </c>
    </row>
    <row r="45">
      <c r="A45" s="163">
        <f t="shared" ref="A45:A60" si="13">RANK(M45,$M$45:$M$61)</f>
        <v>1</v>
      </c>
      <c r="B45" s="163" t="str">
        <f t="shared" ref="B45:B60" si="14">RANK(W45,W$45:W$61)</f>
        <v>Loading...</v>
      </c>
      <c r="C45" s="163"/>
      <c r="D45" s="163" t="str">
        <f>IFERROR(__xludf.DUMMYFUNCTION("FILTER(Roster!A$2:A176,Roster!$H$2:$H176=""F"",Roster!$J$2:$J176=$D43)"),"Schroeder")</f>
        <v>Schroeder</v>
      </c>
      <c r="E45" s="163" t="str">
        <f>IFERROR(__xludf.DUMMYFUNCTION("FILTER(Roster!B$2:B176,Roster!$H$2:$H176=""F"",Roster!$J$2:$J176=$D43)"),"Megan")</f>
        <v>Megan</v>
      </c>
      <c r="F45" s="163" t="str">
        <f>IFERROR(__xludf.DUMMYFUNCTION("FILTER(Roster!D$2:D176,Roster!$H$2:$H176=""F"",Roster!$J$2:$J176=$D43)"),"2 - Fri")</f>
        <v>2 - Fri</v>
      </c>
      <c r="G45" s="163" t="str">
        <f>IFERROR(__xludf.DUMMYFUNCTION("FILTER(Roster!E$2:E176,Roster!$H$2:$H176=""F"",Roster!$J$2:$J176=$D43)"),"")</f>
        <v/>
      </c>
      <c r="H45" s="163" t="str">
        <f>IFERROR(__xludf.DUMMYFUNCTION("FILTER(Roster!F$2:F176,Roster!$H$2:$H176=""F"",Roster!$J$2:$J176=$D43)"),"")</f>
        <v/>
      </c>
      <c r="I45" s="163" t="str">
        <f>IFERROR(__xludf.DUMMYFUNCTION("FILTER(Roster!G$2:G176,Roster!$H$2:$H176=""F"",Roster!$J$2:$J176=$D43)"),"")</f>
        <v/>
      </c>
      <c r="J45" s="163" t="str">
        <f>IFERROR(__xludf.DUMMYFUNCTION("FILTER(Roster!H$2:H176,Roster!$H$2:$H176=""F"",Roster!$J$2:$J176=$D43)"),"F")</f>
        <v>F</v>
      </c>
      <c r="K45" s="163" t="str">
        <f>IFERROR(__xludf.DUMMYFUNCTION("FILTER(Roster!I$2:I176,Roster!$H$2:$H176=""F"",Roster!$J$2:$J176=$D43)"),"E")</f>
        <v>E</v>
      </c>
      <c r="L45" s="163">
        <f>IFERROR(__xludf.DUMMYFUNCTION("FILTER(Roster!J$2:J176,Roster!$H$2:$H176=""F"",Roster!$J$2:$J176=$D43)"),60.0)</f>
        <v>60</v>
      </c>
      <c r="M45" s="163">
        <f>IFERROR(__xludf.DUMMYFUNCTION("FILTER(Roster!M$2:M176,Roster!$H$2:$H176=""F"",Roster!$J$2:$J176=$D43)"),505.0)</f>
        <v>505</v>
      </c>
      <c r="N45" s="163" t="str">
        <f>IFERROR(__xludf.DUMMYFUNCTION("FILTER(Roster!N$2:N176,Roster!$H$2:$H176=""F"",Roster!$J$2:$J176=$D43)"),"")</f>
        <v/>
      </c>
      <c r="O45" s="164">
        <f t="array" ref="O45">INDEX('Best Lifts'!E$1:E$279,MATCH(1,($D45='Best Lifts'!$A:$A)*($E45='Best Lifts'!$B:$B),0))</f>
        <v>155</v>
      </c>
      <c r="P45" s="164">
        <f t="array" ref="P45">INDEX('Best Lifts'!F$1:F$279,MATCH(1,($D45='Best Lifts'!$A:$A)*($E45='Best Lifts'!$B:$B),0))</f>
        <v>80</v>
      </c>
      <c r="Q45" s="164">
        <f t="array" ref="Q45">INDEX('Best Lifts'!G$1:G$279,MATCH(1,($D45='Best Lifts'!$A:$A)*($E45='Best Lifts'!$B:$B),0))</f>
        <v>182.5</v>
      </c>
      <c r="R45" s="164">
        <f t="array" ref="R45">INDEX('Best Lifts'!H$1:H$279,MATCH(1,($D45='Best Lifts'!$A:$A)*($E45='Best Lifts'!$B:$B),0))</f>
        <v>417.5</v>
      </c>
      <c r="S45" s="164">
        <f t="array" ref="S45">INDEX('Best Lifts'!I$1:I$279,MATCH(1,($D45='Best Lifts'!$A:$A)*($E45='Best Lifts'!$B:$B),0))</f>
        <v>210</v>
      </c>
      <c r="T45" s="164">
        <f t="array" ref="T45">INDEX('Best Lifts'!J$1:J$279,MATCH(1,($D45='Best Lifts'!$A:$A)*($E45='Best Lifts'!$B:$B),0))</f>
        <v>105</v>
      </c>
      <c r="U45" s="164">
        <f t="array" ref="U45">INDEX('Best Lifts'!K$1:K$279,MATCH(1,($D45='Best Lifts'!$A:$A)*($E45='Best Lifts'!$B:$B),0))</f>
        <v>190</v>
      </c>
      <c r="V45" s="164">
        <f t="array" ref="V45">INDEX('Best Lifts'!L$1:L$279,MATCH(1,($D45='Best Lifts'!$A:$A)*($E45='Best Lifts'!$B:$B),0))</f>
        <v>505</v>
      </c>
      <c r="W45" s="164">
        <f t="shared" ref="W45:W60" si="15">IF(ISNA(SUM(S45:U45)),0,SUM(S45:U45))</f>
        <v>505</v>
      </c>
      <c r="X45" s="165" t="str">
        <f t="array" ref="X45">INDEX('Best Lifts'!M$1:M$279,MATCH(1,($D45='Best Lifts'!$A:$A)*($E45='Best Lifts'!$B:$B),0))</f>
        <v/>
      </c>
    </row>
    <row r="46">
      <c r="A46" s="163">
        <f t="shared" si="13"/>
        <v>1</v>
      </c>
      <c r="B46" s="163" t="str">
        <f t="shared" si="14"/>
        <v>Loading...</v>
      </c>
      <c r="C46" s="163"/>
      <c r="D46" s="163" t="str">
        <f>IFERROR(__xludf.DUMMYFUNCTION("""COMPUTED_VALUE"""),"Sears")</f>
        <v>Sears</v>
      </c>
      <c r="E46" s="163" t="str">
        <f>IFERROR(__xludf.DUMMYFUNCTION("""COMPUTED_VALUE"""),"Skyleigh")</f>
        <v>Skyleigh</v>
      </c>
      <c r="F46" s="163" t="str">
        <f>IFERROR(__xludf.DUMMYFUNCTION("""COMPUTED_VALUE"""),"2 - Fri")</f>
        <v>2 - Fri</v>
      </c>
      <c r="G46" s="163"/>
      <c r="H46" s="163"/>
      <c r="I46" s="163"/>
      <c r="J46" s="163" t="str">
        <f>IFERROR(__xludf.DUMMYFUNCTION("""COMPUTED_VALUE"""),"F")</f>
        <v>F</v>
      </c>
      <c r="K46" s="163" t="str">
        <f>IFERROR(__xludf.DUMMYFUNCTION("""COMPUTED_VALUE"""),"E")</f>
        <v>E</v>
      </c>
      <c r="L46" s="163">
        <f>IFERROR(__xludf.DUMMYFUNCTION("""COMPUTED_VALUE"""),60.0)</f>
        <v>60</v>
      </c>
      <c r="M46" s="163">
        <f>IFERROR(__xludf.DUMMYFUNCTION("""COMPUTED_VALUE"""),505.0)</f>
        <v>505</v>
      </c>
      <c r="N46" s="163"/>
      <c r="O46" s="164">
        <f t="array" ref="O46">INDEX('Best Lifts'!E$1:E$279,MATCH(1,($D46='Best Lifts'!$A:$A)*($E46='Best Lifts'!$B:$B),0))</f>
        <v>152.5</v>
      </c>
      <c r="P46" s="164">
        <f t="array" ref="P46">INDEX('Best Lifts'!F$1:F$279,MATCH(1,($D46='Best Lifts'!$A:$A)*($E46='Best Lifts'!$B:$B),0))</f>
        <v>85</v>
      </c>
      <c r="Q46" s="164">
        <f t="array" ref="Q46">INDEX('Best Lifts'!G$1:G$279,MATCH(1,($D46='Best Lifts'!$A:$A)*($E46='Best Lifts'!$B:$B),0))</f>
        <v>150</v>
      </c>
      <c r="R46" s="164">
        <f t="array" ref="R46">INDEX('Best Lifts'!H$1:H$279,MATCH(1,($D46='Best Lifts'!$A:$A)*($E46='Best Lifts'!$B:$B),0))</f>
        <v>387.5</v>
      </c>
      <c r="S46" s="164">
        <f t="array" ref="S46">INDEX('Best Lifts'!I$1:I$279,MATCH(1,($D46='Best Lifts'!$A:$A)*($E46='Best Lifts'!$B:$B),0))</f>
        <v>210</v>
      </c>
      <c r="T46" s="164">
        <f t="array" ref="T46">INDEX('Best Lifts'!J$1:J$279,MATCH(1,($D46='Best Lifts'!$A:$A)*($E46='Best Lifts'!$B:$B),0))</f>
        <v>112.5</v>
      </c>
      <c r="U46" s="164">
        <f t="array" ref="U46">INDEX('Best Lifts'!K$1:K$279,MATCH(1,($D46='Best Lifts'!$A:$A)*($E46='Best Lifts'!$B:$B),0))</f>
        <v>182.5</v>
      </c>
      <c r="V46" s="164">
        <f t="array" ref="V46">INDEX('Best Lifts'!L$1:L$279,MATCH(1,($D46='Best Lifts'!$A:$A)*($E46='Best Lifts'!$B:$B),0))</f>
        <v>505</v>
      </c>
      <c r="W46" s="164">
        <f t="shared" si="15"/>
        <v>505</v>
      </c>
      <c r="X46" s="165" t="str">
        <f t="array" ref="X46">INDEX('Best Lifts'!M$1:M$279,MATCH(1,($D46='Best Lifts'!$A:$A)*($E46='Best Lifts'!$B:$B),0))</f>
        <v/>
      </c>
    </row>
    <row r="47">
      <c r="A47" s="163">
        <f t="shared" si="13"/>
        <v>3</v>
      </c>
      <c r="B47" s="163" t="str">
        <f t="shared" si="14"/>
        <v>Loading...</v>
      </c>
      <c r="C47" s="163"/>
      <c r="D47" s="163" t="str">
        <f>IFERROR(__xludf.DUMMYFUNCTION("""COMPUTED_VALUE"""),"McCarthy")</f>
        <v>McCarthy</v>
      </c>
      <c r="E47" s="163" t="str">
        <f>IFERROR(__xludf.DUMMYFUNCTION("""COMPUTED_VALUE"""),"Alexis")</f>
        <v>Alexis</v>
      </c>
      <c r="F47" s="163" t="str">
        <f>IFERROR(__xludf.DUMMYFUNCTION("""COMPUTED_VALUE"""),"2 - Fri")</f>
        <v>2 - Fri</v>
      </c>
      <c r="G47" s="163"/>
      <c r="H47" s="163"/>
      <c r="I47" s="163"/>
      <c r="J47" s="163" t="str">
        <f>IFERROR(__xludf.DUMMYFUNCTION("""COMPUTED_VALUE"""),"F")</f>
        <v>F</v>
      </c>
      <c r="K47" s="163" t="str">
        <f>IFERROR(__xludf.DUMMYFUNCTION("""COMPUTED_VALUE"""),"E")</f>
        <v>E</v>
      </c>
      <c r="L47" s="163">
        <f>IFERROR(__xludf.DUMMYFUNCTION("""COMPUTED_VALUE"""),60.0)</f>
        <v>60</v>
      </c>
      <c r="M47" s="163">
        <f>IFERROR(__xludf.DUMMYFUNCTION("""COMPUTED_VALUE"""),490.0)</f>
        <v>490</v>
      </c>
      <c r="N47" s="163"/>
      <c r="O47" s="164">
        <f t="array" ref="O47">INDEX('Best Lifts'!E$1:E$279,MATCH(1,($D47='Best Lifts'!$A:$A)*($E47='Best Lifts'!$B:$B),0))</f>
        <v>145</v>
      </c>
      <c r="P47" s="164">
        <f t="array" ref="P47">INDEX('Best Lifts'!F$1:F$279,MATCH(1,($D47='Best Lifts'!$A:$A)*($E47='Best Lifts'!$B:$B),0))</f>
        <v>80</v>
      </c>
      <c r="Q47" s="164">
        <f t="array" ref="Q47">INDEX('Best Lifts'!G$1:G$279,MATCH(1,($D47='Best Lifts'!$A:$A)*($E47='Best Lifts'!$B:$B),0))</f>
        <v>157.5</v>
      </c>
      <c r="R47" s="164">
        <f t="array" ref="R47">INDEX('Best Lifts'!H$1:H$279,MATCH(1,($D47='Best Lifts'!$A:$A)*($E47='Best Lifts'!$B:$B),0))</f>
        <v>382.5</v>
      </c>
      <c r="S47" s="164">
        <f t="array" ref="S47">INDEX('Best Lifts'!I$1:I$279,MATCH(1,($D47='Best Lifts'!$A:$A)*($E47='Best Lifts'!$B:$B),0))</f>
        <v>205</v>
      </c>
      <c r="T47" s="164">
        <f t="array" ref="T47">INDEX('Best Lifts'!J$1:J$279,MATCH(1,($D47='Best Lifts'!$A:$A)*($E47='Best Lifts'!$B:$B),0))</f>
        <v>115</v>
      </c>
      <c r="U47" s="164">
        <f t="array" ref="U47">INDEX('Best Lifts'!K$1:K$279,MATCH(1,($D47='Best Lifts'!$A:$A)*($E47='Best Lifts'!$B:$B),0))</f>
        <v>175</v>
      </c>
      <c r="V47" s="164">
        <f t="array" ref="V47">INDEX('Best Lifts'!L$1:L$279,MATCH(1,($D47='Best Lifts'!$A:$A)*($E47='Best Lifts'!$B:$B),0))</f>
        <v>490</v>
      </c>
      <c r="W47" s="164">
        <f t="shared" si="15"/>
        <v>495</v>
      </c>
      <c r="X47" s="165" t="str">
        <f t="array" ref="X47">INDEX('Best Lifts'!M$1:M$279,MATCH(1,($D47='Best Lifts'!$A:$A)*($E47='Best Lifts'!$B:$B),0))</f>
        <v/>
      </c>
    </row>
    <row r="48">
      <c r="A48" s="163">
        <f t="shared" si="13"/>
        <v>4</v>
      </c>
      <c r="B48" s="163" t="str">
        <f t="shared" si="14"/>
        <v>Loading...</v>
      </c>
      <c r="C48" s="163"/>
      <c r="D48" s="163" t="str">
        <f>IFERROR(__xludf.DUMMYFUNCTION("""COMPUTED_VALUE"""),"Clark")</f>
        <v>Clark</v>
      </c>
      <c r="E48" s="163" t="str">
        <f>IFERROR(__xludf.DUMMYFUNCTION("""COMPUTED_VALUE"""),"Xacaria")</f>
        <v>Xacaria</v>
      </c>
      <c r="F48" s="163" t="str">
        <f>IFERROR(__xludf.DUMMYFUNCTION("""COMPUTED_VALUE"""),"2 - Fri")</f>
        <v>2 - Fri</v>
      </c>
      <c r="G48" s="163"/>
      <c r="H48" s="163"/>
      <c r="I48" s="163"/>
      <c r="J48" s="163" t="str">
        <f>IFERROR(__xludf.DUMMYFUNCTION("""COMPUTED_VALUE"""),"F")</f>
        <v>F</v>
      </c>
      <c r="K48" s="163" t="str">
        <f>IFERROR(__xludf.DUMMYFUNCTION("""COMPUTED_VALUE"""),"E")</f>
        <v>E</v>
      </c>
      <c r="L48" s="163">
        <f>IFERROR(__xludf.DUMMYFUNCTION("""COMPUTED_VALUE"""),60.0)</f>
        <v>60</v>
      </c>
      <c r="M48" s="163">
        <f>IFERROR(__xludf.DUMMYFUNCTION("""COMPUTED_VALUE"""),440.0)</f>
        <v>440</v>
      </c>
      <c r="N48" s="163"/>
      <c r="O48" s="164">
        <f t="array" ref="O48">INDEX('Best Lifts'!E$1:E$279,MATCH(1,($D48='Best Lifts'!$A:$A)*($E48='Best Lifts'!$B:$B),0))</f>
        <v>135</v>
      </c>
      <c r="P48" s="164">
        <f t="array" ref="P48">INDEX('Best Lifts'!F$1:F$279,MATCH(1,($D48='Best Lifts'!$A:$A)*($E48='Best Lifts'!$B:$B),0))</f>
        <v>72.5</v>
      </c>
      <c r="Q48" s="164">
        <f t="array" ref="Q48">INDEX('Best Lifts'!G$1:G$279,MATCH(1,($D48='Best Lifts'!$A:$A)*($E48='Best Lifts'!$B:$B),0))</f>
        <v>165</v>
      </c>
      <c r="R48" s="164">
        <f t="array" ref="R48">INDEX('Best Lifts'!H$1:H$279,MATCH(1,($D48='Best Lifts'!$A:$A)*($E48='Best Lifts'!$B:$B),0))</f>
        <v>372.5</v>
      </c>
      <c r="S48" s="164">
        <f t="array" ref="S48">INDEX('Best Lifts'!I$1:I$279,MATCH(1,($D48='Best Lifts'!$A:$A)*($E48='Best Lifts'!$B:$B),0))</f>
        <v>170</v>
      </c>
      <c r="T48" s="164">
        <f t="array" ref="T48">INDEX('Best Lifts'!J$1:J$279,MATCH(1,($D48='Best Lifts'!$A:$A)*($E48='Best Lifts'!$B:$B),0))</f>
        <v>87.5</v>
      </c>
      <c r="U48" s="164">
        <f t="array" ref="U48">INDEX('Best Lifts'!K$1:K$279,MATCH(1,($D48='Best Lifts'!$A:$A)*($E48='Best Lifts'!$B:$B),0))</f>
        <v>182.5</v>
      </c>
      <c r="V48" s="164">
        <f t="array" ref="V48">INDEX('Best Lifts'!L$1:L$279,MATCH(1,($D48='Best Lifts'!$A:$A)*($E48='Best Lifts'!$B:$B),0))</f>
        <v>440</v>
      </c>
      <c r="W48" s="164">
        <f t="shared" si="15"/>
        <v>440</v>
      </c>
      <c r="X48" s="165" t="str">
        <f t="array" ref="X48">INDEX('Best Lifts'!M$1:M$279,MATCH(1,($D48='Best Lifts'!$A:$A)*($E48='Best Lifts'!$B:$B),0))</f>
        <v/>
      </c>
    </row>
    <row r="49">
      <c r="A49" s="163">
        <f t="shared" si="13"/>
        <v>5</v>
      </c>
      <c r="B49" s="163" t="str">
        <f t="shared" si="14"/>
        <v>Loading...</v>
      </c>
      <c r="C49" s="163"/>
      <c r="D49" s="163" t="str">
        <f>IFERROR(__xludf.DUMMYFUNCTION("""COMPUTED_VALUE"""),"Hernandez")</f>
        <v>Hernandez</v>
      </c>
      <c r="E49" s="163" t="str">
        <f>IFERROR(__xludf.DUMMYFUNCTION("""COMPUTED_VALUE"""),"Ashlee")</f>
        <v>Ashlee</v>
      </c>
      <c r="F49" s="163" t="str">
        <f>IFERROR(__xludf.DUMMYFUNCTION("""COMPUTED_VALUE"""),"2 - Fri")</f>
        <v>2 - Fri</v>
      </c>
      <c r="G49" s="163"/>
      <c r="H49" s="163"/>
      <c r="I49" s="163"/>
      <c r="J49" s="163" t="str">
        <f>IFERROR(__xludf.DUMMYFUNCTION("""COMPUTED_VALUE"""),"F")</f>
        <v>F</v>
      </c>
      <c r="K49" s="163" t="str">
        <f>IFERROR(__xludf.DUMMYFUNCTION("""COMPUTED_VALUE"""),"E")</f>
        <v>E</v>
      </c>
      <c r="L49" s="163">
        <f>IFERROR(__xludf.DUMMYFUNCTION("""COMPUTED_VALUE"""),60.0)</f>
        <v>60</v>
      </c>
      <c r="M49" s="163">
        <f>IFERROR(__xludf.DUMMYFUNCTION("""COMPUTED_VALUE"""),395.0)</f>
        <v>395</v>
      </c>
      <c r="N49" s="163"/>
      <c r="O49" s="164">
        <f t="array" ref="O49">INDEX('Best Lifts'!E$1:E$279,MATCH(1,($D49='Best Lifts'!$A:$A)*($E49='Best Lifts'!$B:$B),0))</f>
        <v>102.5</v>
      </c>
      <c r="P49" s="164">
        <f t="array" ref="P49">INDEX('Best Lifts'!F$1:F$279,MATCH(1,($D49='Best Lifts'!$A:$A)*($E49='Best Lifts'!$B:$B),0))</f>
        <v>52.5</v>
      </c>
      <c r="Q49" s="164">
        <f t="array" ref="Q49">INDEX('Best Lifts'!G$1:G$279,MATCH(1,($D49='Best Lifts'!$A:$A)*($E49='Best Lifts'!$B:$B),0))</f>
        <v>115</v>
      </c>
      <c r="R49" s="164">
        <f t="array" ref="R49">INDEX('Best Lifts'!H$1:H$279,MATCH(1,($D49='Best Lifts'!$A:$A)*($E49='Best Lifts'!$B:$B),0))</f>
        <v>270</v>
      </c>
      <c r="S49" s="164">
        <f t="array" ref="S49">INDEX('Best Lifts'!I$1:I$279,MATCH(1,($D49='Best Lifts'!$A:$A)*($E49='Best Lifts'!$B:$B),0))</f>
        <v>158.7</v>
      </c>
      <c r="T49" s="164">
        <f t="array" ref="T49">INDEX('Best Lifts'!J$1:J$279,MATCH(1,($D49='Best Lifts'!$A:$A)*($E49='Best Lifts'!$B:$B),0))</f>
        <v>107.5</v>
      </c>
      <c r="U49" s="164">
        <f t="array" ref="U49">INDEX('Best Lifts'!K$1:K$279,MATCH(1,($D49='Best Lifts'!$A:$A)*($E49='Best Lifts'!$B:$B),0))</f>
        <v>137.5</v>
      </c>
      <c r="V49" s="164">
        <f t="array" ref="V49">INDEX('Best Lifts'!L$1:L$279,MATCH(1,($D49='Best Lifts'!$A:$A)*($E49='Best Lifts'!$B:$B),0))</f>
        <v>395</v>
      </c>
      <c r="W49" s="164">
        <f t="shared" si="15"/>
        <v>403.7</v>
      </c>
      <c r="X49" s="165" t="str">
        <f t="array" ref="X49">INDEX('Best Lifts'!M$1:M$279,MATCH(1,($D49='Best Lifts'!$A:$A)*($E49='Best Lifts'!$B:$B),0))</f>
        <v/>
      </c>
    </row>
    <row r="50">
      <c r="A50" s="163">
        <f t="shared" si="13"/>
        <v>6</v>
      </c>
      <c r="B50" s="163" t="str">
        <f t="shared" si="14"/>
        <v>Loading...</v>
      </c>
      <c r="C50" s="163"/>
      <c r="D50" s="163" t="str">
        <f>IFERROR(__xludf.DUMMYFUNCTION("""COMPUTED_VALUE"""),"Carrico")</f>
        <v>Carrico</v>
      </c>
      <c r="E50" s="163" t="str">
        <f>IFERROR(__xludf.DUMMYFUNCTION("""COMPUTED_VALUE"""),"Zoey")</f>
        <v>Zoey</v>
      </c>
      <c r="F50" s="163" t="str">
        <f>IFERROR(__xludf.DUMMYFUNCTION("""COMPUTED_VALUE"""),"2 - Fri")</f>
        <v>2 - Fri</v>
      </c>
      <c r="G50" s="163"/>
      <c r="H50" s="163"/>
      <c r="I50" s="163"/>
      <c r="J50" s="163" t="str">
        <f>IFERROR(__xludf.DUMMYFUNCTION("""COMPUTED_VALUE"""),"F")</f>
        <v>F</v>
      </c>
      <c r="K50" s="163" t="str">
        <f>IFERROR(__xludf.DUMMYFUNCTION("""COMPUTED_VALUE"""),"E")</f>
        <v>E</v>
      </c>
      <c r="L50" s="163">
        <f>IFERROR(__xludf.DUMMYFUNCTION("""COMPUTED_VALUE"""),60.0)</f>
        <v>60</v>
      </c>
      <c r="M50" s="163">
        <f>IFERROR(__xludf.DUMMYFUNCTION("""COMPUTED_VALUE"""),385.0)</f>
        <v>385</v>
      </c>
      <c r="N50" s="163"/>
      <c r="O50" s="164">
        <f t="array" ref="O50">INDEX('Best Lifts'!E$1:E$279,MATCH(1,($D50='Best Lifts'!$A:$A)*($E50='Best Lifts'!$B:$B),0))</f>
        <v>125</v>
      </c>
      <c r="P50" s="164">
        <f t="array" ref="P50">INDEX('Best Lifts'!F$1:F$279,MATCH(1,($D50='Best Lifts'!$A:$A)*($E50='Best Lifts'!$B:$B),0))</f>
        <v>65</v>
      </c>
      <c r="Q50" s="164">
        <f t="array" ref="Q50">INDEX('Best Lifts'!G$1:G$279,MATCH(1,($D50='Best Lifts'!$A:$A)*($E50='Best Lifts'!$B:$B),0))</f>
        <v>125</v>
      </c>
      <c r="R50" s="164">
        <f t="array" ref="R50">INDEX('Best Lifts'!H$1:H$279,MATCH(1,($D50='Best Lifts'!$A:$A)*($E50='Best Lifts'!$B:$B),0))</f>
        <v>315</v>
      </c>
      <c r="S50" s="164">
        <f t="array" ref="S50">INDEX('Best Lifts'!I$1:I$279,MATCH(1,($D50='Best Lifts'!$A:$A)*($E50='Best Lifts'!$B:$B),0))</f>
        <v>162.5</v>
      </c>
      <c r="T50" s="164">
        <f t="array" ref="T50">INDEX('Best Lifts'!J$1:J$279,MATCH(1,($D50='Best Lifts'!$A:$A)*($E50='Best Lifts'!$B:$B),0))</f>
        <v>80</v>
      </c>
      <c r="U50" s="164">
        <f t="array" ref="U50">INDEX('Best Lifts'!K$1:K$279,MATCH(1,($D50='Best Lifts'!$A:$A)*($E50='Best Lifts'!$B:$B),0))</f>
        <v>152.5</v>
      </c>
      <c r="V50" s="164">
        <f t="array" ref="V50">INDEX('Best Lifts'!L$1:L$279,MATCH(1,($D50='Best Lifts'!$A:$A)*($E50='Best Lifts'!$B:$B),0))</f>
        <v>392.5</v>
      </c>
      <c r="W50" s="164">
        <f t="shared" si="15"/>
        <v>395</v>
      </c>
      <c r="X50" s="165" t="str">
        <f t="array" ref="X50">INDEX('Best Lifts'!M$1:M$279,MATCH(1,($D50='Best Lifts'!$A:$A)*($E50='Best Lifts'!$B:$B),0))</f>
        <v/>
      </c>
    </row>
    <row r="51">
      <c r="A51" s="163">
        <f t="shared" si="13"/>
        <v>7</v>
      </c>
      <c r="B51" s="163" t="str">
        <f t="shared" si="14"/>
        <v>Loading...</v>
      </c>
      <c r="C51" s="163"/>
      <c r="D51" s="163" t="str">
        <f>IFERROR(__xludf.DUMMYFUNCTION("""COMPUTED_VALUE"""),"Valdez")</f>
        <v>Valdez</v>
      </c>
      <c r="E51" s="163" t="str">
        <f>IFERROR(__xludf.DUMMYFUNCTION("""COMPUTED_VALUE"""),"Daniela")</f>
        <v>Daniela</v>
      </c>
      <c r="F51" s="163" t="str">
        <f>IFERROR(__xludf.DUMMYFUNCTION("""COMPUTED_VALUE"""),"2 - Fri")</f>
        <v>2 - Fri</v>
      </c>
      <c r="G51" s="163"/>
      <c r="H51" s="163"/>
      <c r="I51" s="163"/>
      <c r="J51" s="163" t="str">
        <f>IFERROR(__xludf.DUMMYFUNCTION("""COMPUTED_VALUE"""),"F")</f>
        <v>F</v>
      </c>
      <c r="K51" s="163" t="str">
        <f>IFERROR(__xludf.DUMMYFUNCTION("""COMPUTED_VALUE"""),"E")</f>
        <v>E</v>
      </c>
      <c r="L51" s="163">
        <f>IFERROR(__xludf.DUMMYFUNCTION("""COMPUTED_VALUE"""),60.0)</f>
        <v>60</v>
      </c>
      <c r="M51" s="163">
        <f>IFERROR(__xludf.DUMMYFUNCTION("""COMPUTED_VALUE"""),372.5)</f>
        <v>372.5</v>
      </c>
      <c r="N51" s="163"/>
      <c r="O51" s="164">
        <f t="array" ref="O51">INDEX('Best Lifts'!E$1:E$279,MATCH(1,($D51='Best Lifts'!$A:$A)*($E51='Best Lifts'!$B:$B),0))</f>
        <v>132.5</v>
      </c>
      <c r="P51" s="164">
        <f t="array" ref="P51">INDEX('Best Lifts'!F$1:F$279,MATCH(1,($D51='Best Lifts'!$A:$A)*($E51='Best Lifts'!$B:$B),0))</f>
        <v>77.5</v>
      </c>
      <c r="Q51" s="164">
        <f t="array" ref="Q51">INDEX('Best Lifts'!G$1:G$279,MATCH(1,($D51='Best Lifts'!$A:$A)*($E51='Best Lifts'!$B:$B),0))</f>
        <v>145</v>
      </c>
      <c r="R51" s="164">
        <f t="array" ref="R51">INDEX('Best Lifts'!H$1:H$279,MATCH(1,($D51='Best Lifts'!$A:$A)*($E51='Best Lifts'!$B:$B),0))</f>
        <v>347.5</v>
      </c>
      <c r="S51" s="164">
        <f t="array" ref="S51">INDEX('Best Lifts'!I$1:I$279,MATCH(1,($D51='Best Lifts'!$A:$A)*($E51='Best Lifts'!$B:$B),0))</f>
        <v>160</v>
      </c>
      <c r="T51" s="164">
        <f t="array" ref="T51">INDEX('Best Lifts'!J$1:J$279,MATCH(1,($D51='Best Lifts'!$A:$A)*($E51='Best Lifts'!$B:$B),0))</f>
        <v>70</v>
      </c>
      <c r="U51" s="164">
        <f t="array" ref="U51">INDEX('Best Lifts'!K$1:K$279,MATCH(1,($D51='Best Lifts'!$A:$A)*($E51='Best Lifts'!$B:$B),0))</f>
        <v>142.5</v>
      </c>
      <c r="V51" s="164">
        <f t="array" ref="V51">INDEX('Best Lifts'!L$1:L$279,MATCH(1,($D51='Best Lifts'!$A:$A)*($E51='Best Lifts'!$B:$B),0))</f>
        <v>372.5</v>
      </c>
      <c r="W51" s="164">
        <f t="shared" si="15"/>
        <v>372.5</v>
      </c>
      <c r="X51" s="165" t="str">
        <f t="array" ref="X51">INDEX('Best Lifts'!M$1:M$279,MATCH(1,($D51='Best Lifts'!$A:$A)*($E51='Best Lifts'!$B:$B),0))</f>
        <v/>
      </c>
    </row>
    <row r="52">
      <c r="A52" s="163">
        <f t="shared" si="13"/>
        <v>8</v>
      </c>
      <c r="B52" s="163" t="str">
        <f t="shared" si="14"/>
        <v>Loading...</v>
      </c>
      <c r="C52" s="163"/>
      <c r="D52" s="163" t="str">
        <f>IFERROR(__xludf.DUMMYFUNCTION("""COMPUTED_VALUE"""),"Hou")</f>
        <v>Hou</v>
      </c>
      <c r="E52" s="163" t="str">
        <f>IFERROR(__xludf.DUMMYFUNCTION("""COMPUTED_VALUE"""),"Isabelle")</f>
        <v>Isabelle</v>
      </c>
      <c r="F52" s="163" t="str">
        <f>IFERROR(__xludf.DUMMYFUNCTION("""COMPUTED_VALUE"""),"2 - Fri")</f>
        <v>2 - Fri</v>
      </c>
      <c r="G52" s="163"/>
      <c r="H52" s="163"/>
      <c r="I52" s="163"/>
      <c r="J52" s="163" t="str">
        <f>IFERROR(__xludf.DUMMYFUNCTION("""COMPUTED_VALUE"""),"F")</f>
        <v>F</v>
      </c>
      <c r="K52" s="163" t="str">
        <f>IFERROR(__xludf.DUMMYFUNCTION("""COMPUTED_VALUE"""),"E")</f>
        <v>E</v>
      </c>
      <c r="L52" s="163">
        <f>IFERROR(__xludf.DUMMYFUNCTION("""COMPUTED_VALUE"""),60.0)</f>
        <v>60</v>
      </c>
      <c r="M52" s="163">
        <f>IFERROR(__xludf.DUMMYFUNCTION("""COMPUTED_VALUE"""),367.5)</f>
        <v>367.5</v>
      </c>
      <c r="N52" s="163"/>
      <c r="O52" s="164">
        <f t="array" ref="O52">INDEX('Best Lifts'!E$1:E$279,MATCH(1,($D52='Best Lifts'!$A:$A)*($E52='Best Lifts'!$B:$B),0))</f>
        <v>112.5</v>
      </c>
      <c r="P52" s="164">
        <f t="array" ref="P52">INDEX('Best Lifts'!F$1:F$279,MATCH(1,($D52='Best Lifts'!$A:$A)*($E52='Best Lifts'!$B:$B),0))</f>
        <v>70</v>
      </c>
      <c r="Q52" s="164">
        <f t="array" ref="Q52">INDEX('Best Lifts'!G$1:G$279,MATCH(1,($D52='Best Lifts'!$A:$A)*($E52='Best Lifts'!$B:$B),0))</f>
        <v>117.5</v>
      </c>
      <c r="R52" s="164">
        <f t="array" ref="R52">INDEX('Best Lifts'!H$1:H$279,MATCH(1,($D52='Best Lifts'!$A:$A)*($E52='Best Lifts'!$B:$B),0))</f>
        <v>297.5</v>
      </c>
      <c r="S52" s="164">
        <f t="array" ref="S52">INDEX('Best Lifts'!I$1:I$279,MATCH(1,($D52='Best Lifts'!$A:$A)*($E52='Best Lifts'!$B:$B),0))</f>
        <v>142.5</v>
      </c>
      <c r="T52" s="164">
        <f t="array" ref="T52">INDEX('Best Lifts'!J$1:J$279,MATCH(1,($D52='Best Lifts'!$A:$A)*($E52='Best Lifts'!$B:$B),0))</f>
        <v>87.5</v>
      </c>
      <c r="U52" s="164">
        <f t="array" ref="U52">INDEX('Best Lifts'!K$1:K$279,MATCH(1,($D52='Best Lifts'!$A:$A)*($E52='Best Lifts'!$B:$B),0))</f>
        <v>137.5</v>
      </c>
      <c r="V52" s="164">
        <f t="array" ref="V52">INDEX('Best Lifts'!L$1:L$279,MATCH(1,($D52='Best Lifts'!$A:$A)*($E52='Best Lifts'!$B:$B),0))</f>
        <v>367.5</v>
      </c>
      <c r="W52" s="164">
        <f t="shared" si="15"/>
        <v>367.5</v>
      </c>
      <c r="X52" s="165" t="str">
        <f t="array" ref="X52">INDEX('Best Lifts'!M$1:M$279,MATCH(1,($D52='Best Lifts'!$A:$A)*($E52='Best Lifts'!$B:$B),0))</f>
        <v/>
      </c>
    </row>
    <row r="53">
      <c r="A53" s="163">
        <f t="shared" si="13"/>
        <v>9</v>
      </c>
      <c r="B53" s="163" t="str">
        <f t="shared" si="14"/>
        <v>Loading...</v>
      </c>
      <c r="C53" s="163"/>
      <c r="D53" s="163" t="str">
        <f>IFERROR(__xludf.DUMMYFUNCTION("""COMPUTED_VALUE"""),"Tafolla")</f>
        <v>Tafolla</v>
      </c>
      <c r="E53" s="163" t="str">
        <f>IFERROR(__xludf.DUMMYFUNCTION("""COMPUTED_VALUE"""),"Geraldine")</f>
        <v>Geraldine</v>
      </c>
      <c r="F53" s="163" t="str">
        <f>IFERROR(__xludf.DUMMYFUNCTION("""COMPUTED_VALUE"""),"2 - Fri")</f>
        <v>2 - Fri</v>
      </c>
      <c r="G53" s="163"/>
      <c r="H53" s="163"/>
      <c r="I53" s="163"/>
      <c r="J53" s="163" t="str">
        <f>IFERROR(__xludf.DUMMYFUNCTION("""COMPUTED_VALUE"""),"F")</f>
        <v>F</v>
      </c>
      <c r="K53" s="163" t="str">
        <f>IFERROR(__xludf.DUMMYFUNCTION("""COMPUTED_VALUE"""),"E")</f>
        <v>E</v>
      </c>
      <c r="L53" s="163">
        <f>IFERROR(__xludf.DUMMYFUNCTION("""COMPUTED_VALUE"""),60.0)</f>
        <v>60</v>
      </c>
      <c r="M53" s="163">
        <f>IFERROR(__xludf.DUMMYFUNCTION("""COMPUTED_VALUE"""),362.5)</f>
        <v>362.5</v>
      </c>
      <c r="N53" s="163"/>
      <c r="O53" s="164" t="str">
        <f t="array" ref="O53">INDEX('Best Lifts'!E$1:E$279,MATCH(1,($D53='Best Lifts'!$A:$A)*($E53='Best Lifts'!$B:$B),0))</f>
        <v>#N/A</v>
      </c>
      <c r="P53" s="164" t="str">
        <f t="array" ref="P53">INDEX('Best Lifts'!F$1:F$279,MATCH(1,($D53='Best Lifts'!$A:$A)*($E53='Best Lifts'!$B:$B),0))</f>
        <v/>
      </c>
      <c r="Q53" s="164" t="str">
        <f t="array" ref="Q53">INDEX('Best Lifts'!G$1:G$279,MATCH(1,($D53='Best Lifts'!$A:$A)*($E53='Best Lifts'!$B:$B),0))</f>
        <v/>
      </c>
      <c r="R53" s="164" t="str">
        <f t="array" ref="R53">INDEX('Best Lifts'!H$1:H$279,MATCH(1,($D53='Best Lifts'!$A:$A)*($E53='Best Lifts'!$B:$B),0))</f>
        <v/>
      </c>
      <c r="S53" s="164">
        <f t="array" ref="S53">INDEX('Best Lifts'!I$1:I$279,MATCH(1,($D53='Best Lifts'!$A:$A)*($E53='Best Lifts'!$B:$B),0))</f>
        <v>152.5</v>
      </c>
      <c r="T53" s="164">
        <f t="array" ref="T53">INDEX('Best Lifts'!J$1:J$279,MATCH(1,($D53='Best Lifts'!$A:$A)*($E53='Best Lifts'!$B:$B),0))</f>
        <v>77.5</v>
      </c>
      <c r="U53" s="164">
        <f t="array" ref="U53">INDEX('Best Lifts'!K$1:K$279,MATCH(1,($D53='Best Lifts'!$A:$A)*($E53='Best Lifts'!$B:$B),0))</f>
        <v>149.6</v>
      </c>
      <c r="V53" s="164">
        <f t="array" ref="V53">INDEX('Best Lifts'!L$1:L$279,MATCH(1,($D53='Best Lifts'!$A:$A)*($E53='Best Lifts'!$B:$B),0))</f>
        <v>362.8</v>
      </c>
      <c r="W53" s="164">
        <f t="shared" si="15"/>
        <v>379.6</v>
      </c>
      <c r="X53" s="165" t="str">
        <f t="array" ref="X53">INDEX('Best Lifts'!M$1:M$279,MATCH(1,($D53='Best Lifts'!$A:$A)*($E53='Best Lifts'!$B:$B),0))</f>
        <v/>
      </c>
    </row>
    <row r="54">
      <c r="A54" s="163">
        <f t="shared" si="13"/>
        <v>10</v>
      </c>
      <c r="B54" s="163" t="str">
        <f t="shared" si="14"/>
        <v>Loading...</v>
      </c>
      <c r="C54" s="163"/>
      <c r="D54" s="163" t="str">
        <f>IFERROR(__xludf.DUMMYFUNCTION("""COMPUTED_VALUE"""),"Davenport")</f>
        <v>Davenport</v>
      </c>
      <c r="E54" s="163" t="str">
        <f>IFERROR(__xludf.DUMMYFUNCTION("""COMPUTED_VALUE"""),"Brooke")</f>
        <v>Brooke</v>
      </c>
      <c r="F54" s="163" t="str">
        <f>IFERROR(__xludf.DUMMYFUNCTION("""COMPUTED_VALUE"""),"2 - Fri")</f>
        <v>2 - Fri</v>
      </c>
      <c r="G54" s="163"/>
      <c r="H54" s="163"/>
      <c r="I54" s="163"/>
      <c r="J54" s="163" t="str">
        <f>IFERROR(__xludf.DUMMYFUNCTION("""COMPUTED_VALUE"""),"F")</f>
        <v>F</v>
      </c>
      <c r="K54" s="163" t="str">
        <f>IFERROR(__xludf.DUMMYFUNCTION("""COMPUTED_VALUE"""),"E")</f>
        <v>E</v>
      </c>
      <c r="L54" s="163">
        <f>IFERROR(__xludf.DUMMYFUNCTION("""COMPUTED_VALUE"""),60.0)</f>
        <v>60</v>
      </c>
      <c r="M54" s="163">
        <f>IFERROR(__xludf.DUMMYFUNCTION("""COMPUTED_VALUE"""),352.5)</f>
        <v>352.5</v>
      </c>
      <c r="N54" s="163"/>
      <c r="O54" s="164" t="str">
        <f t="array" ref="O54">INDEX('Best Lifts'!E$1:E$279,MATCH(1,($D54='Best Lifts'!$A:$A)*($E54='Best Lifts'!$B:$B),0))</f>
        <v>#N/A</v>
      </c>
      <c r="P54" s="164" t="str">
        <f t="array" ref="P54">INDEX('Best Lifts'!F$1:F$279,MATCH(1,($D54='Best Lifts'!$A:$A)*($E54='Best Lifts'!$B:$B),0))</f>
        <v/>
      </c>
      <c r="Q54" s="164" t="str">
        <f t="array" ref="Q54">INDEX('Best Lifts'!G$1:G$279,MATCH(1,($D54='Best Lifts'!$A:$A)*($E54='Best Lifts'!$B:$B),0))</f>
        <v/>
      </c>
      <c r="R54" s="164" t="str">
        <f t="array" ref="R54">INDEX('Best Lifts'!H$1:H$279,MATCH(1,($D54='Best Lifts'!$A:$A)*($E54='Best Lifts'!$B:$B),0))</f>
        <v/>
      </c>
      <c r="S54" s="164">
        <f t="array" ref="S54">INDEX('Best Lifts'!I$1:I$279,MATCH(1,($D54='Best Lifts'!$A:$A)*($E54='Best Lifts'!$B:$B),0))</f>
        <v>170.1</v>
      </c>
      <c r="T54" s="164">
        <f t="array" ref="T54">INDEX('Best Lifts'!J$1:J$279,MATCH(1,($D54='Best Lifts'!$A:$A)*($E54='Best Lifts'!$B:$B),0))</f>
        <v>86.1</v>
      </c>
      <c r="U54" s="164">
        <f t="array" ref="U54">INDEX('Best Lifts'!K$1:K$279,MATCH(1,($D54='Best Lifts'!$A:$A)*($E54='Best Lifts'!$B:$B),0))</f>
        <v>140.6</v>
      </c>
      <c r="V54" s="164">
        <f t="array" ref="V54">INDEX('Best Lifts'!L$1:L$279,MATCH(1,($D54='Best Lifts'!$A:$A)*($E54='Best Lifts'!$B:$B),0))</f>
        <v>396.8</v>
      </c>
      <c r="W54" s="164">
        <f t="shared" si="15"/>
        <v>396.8</v>
      </c>
      <c r="X54" s="165" t="str">
        <f t="array" ref="X54">INDEX('Best Lifts'!M$1:M$279,MATCH(1,($D54='Best Lifts'!$A:$A)*($E54='Best Lifts'!$B:$B),0))</f>
        <v/>
      </c>
    </row>
    <row r="55">
      <c r="A55" s="163">
        <f t="shared" si="13"/>
        <v>11</v>
      </c>
      <c r="B55" s="163" t="str">
        <f t="shared" si="14"/>
        <v>Loading...</v>
      </c>
      <c r="C55" s="163"/>
      <c r="D55" s="163" t="str">
        <f>IFERROR(__xludf.DUMMYFUNCTION("""COMPUTED_VALUE"""),"O'Brien")</f>
        <v>O'Brien</v>
      </c>
      <c r="E55" s="163" t="str">
        <f>IFERROR(__xludf.DUMMYFUNCTION("""COMPUTED_VALUE"""),"Amanda")</f>
        <v>Amanda</v>
      </c>
      <c r="F55" s="163" t="str">
        <f>IFERROR(__xludf.DUMMYFUNCTION("""COMPUTED_VALUE"""),"2 - Fri")</f>
        <v>2 - Fri</v>
      </c>
      <c r="G55" s="163"/>
      <c r="H55" s="163"/>
      <c r="I55" s="163"/>
      <c r="J55" s="163" t="str">
        <f>IFERROR(__xludf.DUMMYFUNCTION("""COMPUTED_VALUE"""),"F")</f>
        <v>F</v>
      </c>
      <c r="K55" s="163" t="str">
        <f>IFERROR(__xludf.DUMMYFUNCTION("""COMPUTED_VALUE"""),"E")</f>
        <v>E</v>
      </c>
      <c r="L55" s="163">
        <f>IFERROR(__xludf.DUMMYFUNCTION("""COMPUTED_VALUE"""),60.0)</f>
        <v>60</v>
      </c>
      <c r="M55" s="163">
        <f>IFERROR(__xludf.DUMMYFUNCTION("""COMPUTED_VALUE"""),347.5)</f>
        <v>347.5</v>
      </c>
      <c r="N55" s="163"/>
      <c r="O55" s="164" t="str">
        <f t="array" ref="O55">INDEX('Best Lifts'!E$1:E$279,MATCH(1,($D55='Best Lifts'!$A:$A)*($E55='Best Lifts'!$B:$B),0))</f>
        <v>Loading...</v>
      </c>
      <c r="P55" s="164" t="str">
        <f t="array" ref="P55">INDEX('Best Lifts'!F$1:F$279,MATCH(1,($D55='Best Lifts'!$A:$A)*($E55='Best Lifts'!$B:$B),0))</f>
        <v/>
      </c>
      <c r="Q55" s="164" t="str">
        <f t="array" ref="Q55">INDEX('Best Lifts'!G$1:G$279,MATCH(1,($D55='Best Lifts'!$A:$A)*($E55='Best Lifts'!$B:$B),0))</f>
        <v/>
      </c>
      <c r="R55" s="164" t="str">
        <f t="array" ref="R55">INDEX('Best Lifts'!H$1:H$279,MATCH(1,($D55='Best Lifts'!$A:$A)*($E55='Best Lifts'!$B:$B),0))</f>
        <v/>
      </c>
      <c r="S55" s="164" t="str">
        <f t="array" ref="S55">INDEX('Best Lifts'!I$1:I$279,MATCH(1,($D55='Best Lifts'!$A:$A)*($E55='Best Lifts'!$B:$B),0))</f>
        <v>Loading...</v>
      </c>
      <c r="T55" s="164" t="str">
        <f t="array" ref="T55">INDEX('Best Lifts'!J$1:J$279,MATCH(1,($D55='Best Lifts'!$A:$A)*($E55='Best Lifts'!$B:$B),0))</f>
        <v/>
      </c>
      <c r="U55" s="164" t="str">
        <f t="array" ref="U55">INDEX('Best Lifts'!K$1:K$279,MATCH(1,($D55='Best Lifts'!$A:$A)*($E55='Best Lifts'!$B:$B),0))</f>
        <v/>
      </c>
      <c r="V55" s="164" t="str">
        <f t="array" ref="V55">INDEX('Best Lifts'!L$1:L$279,MATCH(1,($D55='Best Lifts'!$A:$A)*($E55='Best Lifts'!$B:$B),0))</f>
        <v/>
      </c>
      <c r="W55" s="164" t="str">
        <f t="shared" si="15"/>
        <v>Loading...</v>
      </c>
      <c r="X55" s="165" t="str">
        <f t="array" ref="X55">INDEX('Best Lifts'!M$1:M$279,MATCH(1,($D55='Best Lifts'!$A:$A)*($E55='Best Lifts'!$B:$B),0))</f>
        <v/>
      </c>
    </row>
    <row r="56">
      <c r="A56" s="163">
        <f t="shared" si="13"/>
        <v>12</v>
      </c>
      <c r="B56" s="163" t="str">
        <f t="shared" si="14"/>
        <v>Loading...</v>
      </c>
      <c r="C56" s="163"/>
      <c r="D56" s="163" t="str">
        <f>IFERROR(__xludf.DUMMYFUNCTION("""COMPUTED_VALUE"""),"Longoria")</f>
        <v>Longoria</v>
      </c>
      <c r="E56" s="163" t="str">
        <f>IFERROR(__xludf.DUMMYFUNCTION("""COMPUTED_VALUE"""),"Kaylee")</f>
        <v>Kaylee</v>
      </c>
      <c r="F56" s="163" t="str">
        <f>IFERROR(__xludf.DUMMYFUNCTION("""COMPUTED_VALUE"""),"2 - Fri")</f>
        <v>2 - Fri</v>
      </c>
      <c r="G56" s="163"/>
      <c r="H56" s="163"/>
      <c r="I56" s="163"/>
      <c r="J56" s="163" t="str">
        <f>IFERROR(__xludf.DUMMYFUNCTION("""COMPUTED_VALUE"""),"F")</f>
        <v>F</v>
      </c>
      <c r="K56" s="163" t="str">
        <f>IFERROR(__xludf.DUMMYFUNCTION("""COMPUTED_VALUE"""),"E")</f>
        <v>E</v>
      </c>
      <c r="L56" s="163">
        <f>IFERROR(__xludf.DUMMYFUNCTION("""COMPUTED_VALUE"""),60.0)</f>
        <v>60</v>
      </c>
      <c r="M56" s="163">
        <f>IFERROR(__xludf.DUMMYFUNCTION("""COMPUTED_VALUE"""),345.0)</f>
        <v>345</v>
      </c>
      <c r="N56" s="163"/>
      <c r="O56" s="164" t="str">
        <f t="array" ref="O56">INDEX('Best Lifts'!E$1:E$279,MATCH(1,($D56='Best Lifts'!$A:$A)*($E56='Best Lifts'!$B:$B),0))</f>
        <v>#N/A</v>
      </c>
      <c r="P56" s="164" t="str">
        <f t="array" ref="P56">INDEX('Best Lifts'!F$1:F$279,MATCH(1,($D56='Best Lifts'!$A:$A)*($E56='Best Lifts'!$B:$B),0))</f>
        <v/>
      </c>
      <c r="Q56" s="164" t="str">
        <f t="array" ref="Q56">INDEX('Best Lifts'!G$1:G$279,MATCH(1,($D56='Best Lifts'!$A:$A)*($E56='Best Lifts'!$B:$B),0))</f>
        <v/>
      </c>
      <c r="R56" s="164" t="str">
        <f t="array" ref="R56">INDEX('Best Lifts'!H$1:H$279,MATCH(1,($D56='Best Lifts'!$A:$A)*($E56='Best Lifts'!$B:$B),0))</f>
        <v/>
      </c>
      <c r="S56" s="164">
        <f t="array" ref="S56">INDEX('Best Lifts'!I$1:I$279,MATCH(1,($D56='Best Lifts'!$A:$A)*($E56='Best Lifts'!$B:$B),0))</f>
        <v>135</v>
      </c>
      <c r="T56" s="164">
        <f t="array" ref="T56">INDEX('Best Lifts'!J$1:J$279,MATCH(1,($D56='Best Lifts'!$A:$A)*($E56='Best Lifts'!$B:$B),0))</f>
        <v>77.5</v>
      </c>
      <c r="U56" s="164">
        <f t="array" ref="U56">INDEX('Best Lifts'!K$1:K$279,MATCH(1,($D56='Best Lifts'!$A:$A)*($E56='Best Lifts'!$B:$B),0))</f>
        <v>132.5</v>
      </c>
      <c r="V56" s="164">
        <f t="array" ref="V56">INDEX('Best Lifts'!L$1:L$279,MATCH(1,($D56='Best Lifts'!$A:$A)*($E56='Best Lifts'!$B:$B),0))</f>
        <v>345</v>
      </c>
      <c r="W56" s="164">
        <f t="shared" si="15"/>
        <v>345</v>
      </c>
      <c r="X56" s="165" t="str">
        <f t="array" ref="X56">INDEX('Best Lifts'!M$1:M$279,MATCH(1,($D56='Best Lifts'!$A:$A)*($E56='Best Lifts'!$B:$B),0))</f>
        <v/>
      </c>
    </row>
    <row r="57">
      <c r="A57" s="163">
        <f t="shared" si="13"/>
        <v>13</v>
      </c>
      <c r="B57" s="163" t="str">
        <f t="shared" si="14"/>
        <v>Loading...</v>
      </c>
      <c r="C57" s="163"/>
      <c r="D57" s="163" t="str">
        <f>IFERROR(__xludf.DUMMYFUNCTION("""COMPUTED_VALUE"""),"Steinmann")</f>
        <v>Steinmann</v>
      </c>
      <c r="E57" s="163" t="str">
        <f>IFERROR(__xludf.DUMMYFUNCTION("""COMPUTED_VALUE"""),"Lexi")</f>
        <v>Lexi</v>
      </c>
      <c r="F57" s="163" t="str">
        <f>IFERROR(__xludf.DUMMYFUNCTION("""COMPUTED_VALUE"""),"2 - Fri")</f>
        <v>2 - Fri</v>
      </c>
      <c r="G57" s="163"/>
      <c r="H57" s="163"/>
      <c r="I57" s="163"/>
      <c r="J57" s="163" t="str">
        <f>IFERROR(__xludf.DUMMYFUNCTION("""COMPUTED_VALUE"""),"F")</f>
        <v>F</v>
      </c>
      <c r="K57" s="163" t="str">
        <f>IFERROR(__xludf.DUMMYFUNCTION("""COMPUTED_VALUE"""),"E")</f>
        <v>E</v>
      </c>
      <c r="L57" s="163">
        <f>IFERROR(__xludf.DUMMYFUNCTION("""COMPUTED_VALUE"""),60.0)</f>
        <v>60</v>
      </c>
      <c r="M57" s="163">
        <f>IFERROR(__xludf.DUMMYFUNCTION("""COMPUTED_VALUE"""),315.0)</f>
        <v>315</v>
      </c>
      <c r="N57" s="163"/>
      <c r="O57" s="164" t="str">
        <f t="array" ref="O57">INDEX('Best Lifts'!E$1:E$279,MATCH(1,($D57='Best Lifts'!$A:$A)*($E57='Best Lifts'!$B:$B),0))</f>
        <v>#N/A</v>
      </c>
      <c r="P57" s="164" t="str">
        <f t="array" ref="P57">INDEX('Best Lifts'!F$1:F$279,MATCH(1,($D57='Best Lifts'!$A:$A)*($E57='Best Lifts'!$B:$B),0))</f>
        <v/>
      </c>
      <c r="Q57" s="164" t="str">
        <f t="array" ref="Q57">INDEX('Best Lifts'!G$1:G$279,MATCH(1,($D57='Best Lifts'!$A:$A)*($E57='Best Lifts'!$B:$B),0))</f>
        <v/>
      </c>
      <c r="R57" s="164" t="str">
        <f t="array" ref="R57">INDEX('Best Lifts'!H$1:H$279,MATCH(1,($D57='Best Lifts'!$A:$A)*($E57='Best Lifts'!$B:$B),0))</f>
        <v/>
      </c>
      <c r="S57" s="164">
        <f t="array" ref="S57">INDEX('Best Lifts'!I$1:I$279,MATCH(1,($D57='Best Lifts'!$A:$A)*($E57='Best Lifts'!$B:$B),0))</f>
        <v>127.5</v>
      </c>
      <c r="T57" s="164">
        <f t="array" ref="T57">INDEX('Best Lifts'!J$1:J$279,MATCH(1,($D57='Best Lifts'!$A:$A)*($E57='Best Lifts'!$B:$B),0))</f>
        <v>72.5</v>
      </c>
      <c r="U57" s="164">
        <f t="array" ref="U57">INDEX('Best Lifts'!K$1:K$279,MATCH(1,($D57='Best Lifts'!$A:$A)*($E57='Best Lifts'!$B:$B),0))</f>
        <v>140</v>
      </c>
      <c r="V57" s="164">
        <f t="array" ref="V57">INDEX('Best Lifts'!L$1:L$279,MATCH(1,($D57='Best Lifts'!$A:$A)*($E57='Best Lifts'!$B:$B),0))</f>
        <v>340</v>
      </c>
      <c r="W57" s="164">
        <f t="shared" si="15"/>
        <v>340</v>
      </c>
      <c r="X57" s="165" t="str">
        <f t="array" ref="X57">INDEX('Best Lifts'!M$1:M$279,MATCH(1,($D57='Best Lifts'!$A:$A)*($E57='Best Lifts'!$B:$B),0))</f>
        <v/>
      </c>
    </row>
    <row r="58">
      <c r="A58" s="163">
        <f t="shared" si="13"/>
        <v>14</v>
      </c>
      <c r="B58" s="163" t="str">
        <f t="shared" si="14"/>
        <v>Loading...</v>
      </c>
      <c r="C58" s="163"/>
      <c r="D58" s="163" t="str">
        <f>IFERROR(__xludf.DUMMYFUNCTION("""COMPUTED_VALUE"""),"Boyett")</f>
        <v>Boyett</v>
      </c>
      <c r="E58" s="163" t="str">
        <f>IFERROR(__xludf.DUMMYFUNCTION("""COMPUTED_VALUE"""),"Bailee")</f>
        <v>Bailee</v>
      </c>
      <c r="F58" s="163" t="str">
        <f>IFERROR(__xludf.DUMMYFUNCTION("""COMPUTED_VALUE"""),"2 - Fri")</f>
        <v>2 - Fri</v>
      </c>
      <c r="G58" s="163"/>
      <c r="H58" s="163"/>
      <c r="I58" s="163"/>
      <c r="J58" s="163" t="str">
        <f>IFERROR(__xludf.DUMMYFUNCTION("""COMPUTED_VALUE"""),"F")</f>
        <v>F</v>
      </c>
      <c r="K58" s="163" t="str">
        <f>IFERROR(__xludf.DUMMYFUNCTION("""COMPUTED_VALUE"""),"E")</f>
        <v>E</v>
      </c>
      <c r="L58" s="163">
        <f>IFERROR(__xludf.DUMMYFUNCTION("""COMPUTED_VALUE"""),60.0)</f>
        <v>60</v>
      </c>
      <c r="M58" s="163">
        <f>IFERROR(__xludf.DUMMYFUNCTION("""COMPUTED_VALUE"""),300.0)</f>
        <v>300</v>
      </c>
      <c r="N58" s="163"/>
      <c r="O58" s="164" t="str">
        <f t="array" ref="O58">INDEX('Best Lifts'!E$1:E$279,MATCH(1,($D58='Best Lifts'!$A:$A)*($E58='Best Lifts'!$B:$B),0))</f>
        <v>#N/A</v>
      </c>
      <c r="P58" s="164" t="str">
        <f t="array" ref="P58">INDEX('Best Lifts'!F$1:F$279,MATCH(1,($D58='Best Lifts'!$A:$A)*($E58='Best Lifts'!$B:$B),0))</f>
        <v/>
      </c>
      <c r="Q58" s="164" t="str">
        <f t="array" ref="Q58">INDEX('Best Lifts'!G$1:G$279,MATCH(1,($D58='Best Lifts'!$A:$A)*($E58='Best Lifts'!$B:$B),0))</f>
        <v/>
      </c>
      <c r="R58" s="164" t="str">
        <f t="array" ref="R58">INDEX('Best Lifts'!H$1:H$279,MATCH(1,($D58='Best Lifts'!$A:$A)*($E58='Best Lifts'!$B:$B),0))</f>
        <v/>
      </c>
      <c r="S58" s="164">
        <f t="array" ref="S58">INDEX('Best Lifts'!I$1:I$279,MATCH(1,($D58='Best Lifts'!$A:$A)*($E58='Best Lifts'!$B:$B),0))</f>
        <v>115</v>
      </c>
      <c r="T58" s="164">
        <f t="array" ref="T58">INDEX('Best Lifts'!J$1:J$279,MATCH(1,($D58='Best Lifts'!$A:$A)*($E58='Best Lifts'!$B:$B),0))</f>
        <v>50</v>
      </c>
      <c r="U58" s="164">
        <f t="array" ref="U58">INDEX('Best Lifts'!K$1:K$279,MATCH(1,($D58='Best Lifts'!$A:$A)*($E58='Best Lifts'!$B:$B),0))</f>
        <v>135</v>
      </c>
      <c r="V58" s="164">
        <f t="array" ref="V58">INDEX('Best Lifts'!L$1:L$279,MATCH(1,($D58='Best Lifts'!$A:$A)*($E58='Best Lifts'!$B:$B),0))</f>
        <v>300</v>
      </c>
      <c r="W58" s="164">
        <f t="shared" si="15"/>
        <v>300</v>
      </c>
      <c r="X58" s="165" t="str">
        <f t="array" ref="X58">INDEX('Best Lifts'!M$1:M$279,MATCH(1,($D58='Best Lifts'!$A:$A)*($E58='Best Lifts'!$B:$B),0))</f>
        <v/>
      </c>
    </row>
    <row r="59">
      <c r="A59" s="163">
        <f t="shared" si="13"/>
        <v>15</v>
      </c>
      <c r="B59" s="163" t="str">
        <f t="shared" si="14"/>
        <v>Loading...</v>
      </c>
      <c r="C59" s="163"/>
      <c r="D59" s="163" t="str">
        <f>IFERROR(__xludf.DUMMYFUNCTION("""COMPUTED_VALUE"""),"Moore")</f>
        <v>Moore</v>
      </c>
      <c r="E59" s="163" t="str">
        <f>IFERROR(__xludf.DUMMYFUNCTION("""COMPUTED_VALUE"""),"Kamren")</f>
        <v>Kamren</v>
      </c>
      <c r="F59" s="163" t="str">
        <f>IFERROR(__xludf.DUMMYFUNCTION("""COMPUTED_VALUE"""),"2 - Fri")</f>
        <v>2 - Fri</v>
      </c>
      <c r="G59" s="163"/>
      <c r="H59" s="163"/>
      <c r="I59" s="163"/>
      <c r="J59" s="163" t="str">
        <f>IFERROR(__xludf.DUMMYFUNCTION("""COMPUTED_VALUE"""),"F")</f>
        <v>F</v>
      </c>
      <c r="K59" s="163" t="str">
        <f>IFERROR(__xludf.DUMMYFUNCTION("""COMPUTED_VALUE"""),"E")</f>
        <v>E</v>
      </c>
      <c r="L59" s="163">
        <f>IFERROR(__xludf.DUMMYFUNCTION("""COMPUTED_VALUE"""),60.0)</f>
        <v>60</v>
      </c>
      <c r="M59" s="163">
        <f>IFERROR(__xludf.DUMMYFUNCTION("""COMPUTED_VALUE"""),295.0)</f>
        <v>295</v>
      </c>
      <c r="N59" s="163"/>
      <c r="O59" s="164" t="str">
        <f t="array" ref="O59">INDEX('Best Lifts'!E$1:E$279,MATCH(1,($D59='Best Lifts'!$A:$A)*($E59='Best Lifts'!$B:$B),0))</f>
        <v>#N/A</v>
      </c>
      <c r="P59" s="164" t="str">
        <f t="array" ref="P59">INDEX('Best Lifts'!F$1:F$279,MATCH(1,($D59='Best Lifts'!$A:$A)*($E59='Best Lifts'!$B:$B),0))</f>
        <v/>
      </c>
      <c r="Q59" s="164" t="str">
        <f t="array" ref="Q59">INDEX('Best Lifts'!G$1:G$279,MATCH(1,($D59='Best Lifts'!$A:$A)*($E59='Best Lifts'!$B:$B),0))</f>
        <v/>
      </c>
      <c r="R59" s="164" t="str">
        <f t="array" ref="R59">INDEX('Best Lifts'!H$1:H$279,MATCH(1,($D59='Best Lifts'!$A:$A)*($E59='Best Lifts'!$B:$B),0))</f>
        <v/>
      </c>
      <c r="S59" s="164">
        <f t="array" ref="S59">INDEX('Best Lifts'!I$1:I$279,MATCH(1,($D59='Best Lifts'!$A:$A)*($E59='Best Lifts'!$B:$B),0))</f>
        <v>133.8</v>
      </c>
      <c r="T59" s="164">
        <f t="array" ref="T59">INDEX('Best Lifts'!J$1:J$279,MATCH(1,($D59='Best Lifts'!$A:$A)*($E59='Best Lifts'!$B:$B),0))</f>
        <v>68</v>
      </c>
      <c r="U59" s="164">
        <f t="array" ref="U59">INDEX('Best Lifts'!K$1:K$279,MATCH(1,($D59='Best Lifts'!$A:$A)*($E59='Best Lifts'!$B:$B),0))</f>
        <v>138.3</v>
      </c>
      <c r="V59" s="164">
        <f t="array" ref="V59">INDEX('Best Lifts'!L$1:L$279,MATCH(1,($D59='Best Lifts'!$A:$A)*($E59='Best Lifts'!$B:$B),0))</f>
        <v>335.6</v>
      </c>
      <c r="W59" s="164">
        <f t="shared" si="15"/>
        <v>340.1</v>
      </c>
      <c r="X59" s="165" t="str">
        <f t="array" ref="X59">INDEX('Best Lifts'!M$1:M$279,MATCH(1,($D59='Best Lifts'!$A:$A)*($E59='Best Lifts'!$B:$B),0))</f>
        <v/>
      </c>
    </row>
    <row r="60">
      <c r="A60" s="163" t="str">
        <f t="shared" si="13"/>
        <v>#N/A</v>
      </c>
      <c r="B60" s="163" t="str">
        <f t="shared" si="14"/>
        <v>Loading...</v>
      </c>
      <c r="C60" s="163"/>
      <c r="D60" s="163" t="str">
        <f>IFERROR(__xludf.DUMMYFUNCTION("""COMPUTED_VALUE"""),"Ha")</f>
        <v>Ha</v>
      </c>
      <c r="E60" s="163" t="str">
        <f>IFERROR(__xludf.DUMMYFUNCTION("""COMPUTED_VALUE"""),"Renee")</f>
        <v>Renee</v>
      </c>
      <c r="F60" s="163" t="str">
        <f>IFERROR(__xludf.DUMMYFUNCTION("""COMPUTED_VALUE"""),"2 - Fri")</f>
        <v>2 - Fri</v>
      </c>
      <c r="G60" s="163"/>
      <c r="H60" s="163"/>
      <c r="I60" s="163"/>
      <c r="J60" s="163" t="str">
        <f>IFERROR(__xludf.DUMMYFUNCTION("""COMPUTED_VALUE"""),"F")</f>
        <v>F</v>
      </c>
      <c r="K60" s="163" t="str">
        <f>IFERROR(__xludf.DUMMYFUNCTION("""COMPUTED_VALUE"""),"E")</f>
        <v>E</v>
      </c>
      <c r="L60" s="163">
        <f>IFERROR(__xludf.DUMMYFUNCTION("""COMPUTED_VALUE"""),60.0)</f>
        <v>60</v>
      </c>
      <c r="M60" s="163"/>
      <c r="N60" s="163"/>
      <c r="O60" s="164" t="str">
        <f t="array" ref="O60">INDEX('Best Lifts'!E$1:E$279,MATCH(1,($D60='Best Lifts'!$A:$A)*($E60='Best Lifts'!$B:$B),0))</f>
        <v>#N/A</v>
      </c>
      <c r="P60" s="164" t="str">
        <f t="array" ref="P60">INDEX('Best Lifts'!F$1:F$279,MATCH(1,($D60='Best Lifts'!$A:$A)*($E60='Best Lifts'!$B:$B),0))</f>
        <v/>
      </c>
      <c r="Q60" s="164" t="str">
        <f t="array" ref="Q60">INDEX('Best Lifts'!G$1:G$279,MATCH(1,($D60='Best Lifts'!$A:$A)*($E60='Best Lifts'!$B:$B),0))</f>
        <v/>
      </c>
      <c r="R60" s="164" t="str">
        <f t="array" ref="R60">INDEX('Best Lifts'!H$1:H$279,MATCH(1,($D60='Best Lifts'!$A:$A)*($E60='Best Lifts'!$B:$B),0))</f>
        <v/>
      </c>
      <c r="S60" s="164" t="str">
        <f t="array" ref="S60">INDEX('Best Lifts'!I$1:I$279,MATCH(1,($D60='Best Lifts'!$A:$A)*($E60='Best Lifts'!$B:$B),0))</f>
        <v>#N/A</v>
      </c>
      <c r="T60" s="164" t="str">
        <f t="array" ref="T60">INDEX('Best Lifts'!J$1:J$279,MATCH(1,($D60='Best Lifts'!$A:$A)*($E60='Best Lifts'!$B:$B),0))</f>
        <v/>
      </c>
      <c r="U60" s="164" t="str">
        <f t="array" ref="U60">INDEX('Best Lifts'!K$1:K$279,MATCH(1,($D60='Best Lifts'!$A:$A)*($E60='Best Lifts'!$B:$B),0))</f>
        <v/>
      </c>
      <c r="V60" s="164" t="str">
        <f t="array" ref="V60">INDEX('Best Lifts'!L$1:L$279,MATCH(1,($D60='Best Lifts'!$A:$A)*($E60='Best Lifts'!$B:$B),0))</f>
        <v/>
      </c>
      <c r="W60" s="164">
        <f t="shared" si="15"/>
        <v>0</v>
      </c>
      <c r="X60" s="165" t="str">
        <f t="array" ref="X60">INDEX('Best Lifts'!M$1:M$279,MATCH(1,($D60='Best Lifts'!$A:$A)*($E60='Best Lifts'!$B:$B),0))</f>
        <v/>
      </c>
    </row>
    <row r="61">
      <c r="A61" s="154"/>
      <c r="B61" s="154"/>
      <c r="C61" s="154"/>
      <c r="D61" s="154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8"/>
      <c r="Q61" s="158"/>
      <c r="R61" s="159"/>
      <c r="S61" s="160"/>
      <c r="T61" s="158"/>
      <c r="U61" s="158"/>
      <c r="V61" s="159"/>
      <c r="W61" s="159"/>
      <c r="X61" s="159"/>
    </row>
    <row r="62">
      <c r="A62" s="154"/>
      <c r="B62" s="154"/>
      <c r="C62" s="154"/>
      <c r="D62" s="155">
        <v>67.5</v>
      </c>
      <c r="E62" s="156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8"/>
      <c r="Q62" s="158"/>
      <c r="R62" s="159"/>
      <c r="S62" s="160"/>
      <c r="T62" s="158"/>
      <c r="U62" s="158"/>
      <c r="V62" s="159"/>
      <c r="W62" s="159"/>
      <c r="X62" s="159"/>
    </row>
    <row r="63">
      <c r="A63" s="161" t="s">
        <v>746</v>
      </c>
      <c r="B63" s="161" t="s">
        <v>747</v>
      </c>
      <c r="C63" s="161" t="s">
        <v>748</v>
      </c>
      <c r="D63" s="161" t="s">
        <v>253</v>
      </c>
      <c r="E63" s="161" t="s">
        <v>254</v>
      </c>
      <c r="F63" s="161" t="s">
        <v>31</v>
      </c>
      <c r="G63" s="161" t="s">
        <v>32</v>
      </c>
      <c r="H63" s="161" t="s">
        <v>33</v>
      </c>
      <c r="I63" s="161" t="s">
        <v>34</v>
      </c>
      <c r="J63" s="161" t="s">
        <v>749</v>
      </c>
      <c r="K63" s="161" t="s">
        <v>257</v>
      </c>
      <c r="L63" s="161" t="s">
        <v>750</v>
      </c>
      <c r="M63" s="161" t="s">
        <v>36</v>
      </c>
      <c r="N63" s="161" t="s">
        <v>261</v>
      </c>
      <c r="O63" s="161" t="s">
        <v>751</v>
      </c>
      <c r="P63" s="162" t="s">
        <v>752</v>
      </c>
      <c r="Q63" s="162" t="s">
        <v>753</v>
      </c>
      <c r="R63" s="162" t="s">
        <v>754</v>
      </c>
      <c r="S63" s="161" t="s">
        <v>755</v>
      </c>
      <c r="T63" s="162" t="s">
        <v>756</v>
      </c>
      <c r="U63" s="162" t="s">
        <v>757</v>
      </c>
      <c r="V63" s="162" t="s">
        <v>758</v>
      </c>
      <c r="W63" s="162" t="s">
        <v>759</v>
      </c>
      <c r="X63" s="162" t="s">
        <v>703</v>
      </c>
    </row>
    <row r="64">
      <c r="A64" s="163">
        <f t="shared" ref="A64:A91" si="16">RANK(M64,$M$64:$M$91)</f>
        <v>1</v>
      </c>
      <c r="B64" s="163">
        <f t="shared" ref="B64:B91" si="17">RANK(W64,W$64:W$91)</f>
        <v>1</v>
      </c>
      <c r="C64" s="163"/>
      <c r="D64" s="163" t="str">
        <f>IFERROR(__xludf.DUMMYFUNCTION("FILTER(Roster!A$2:A176,Roster!$H$2:$H176=""F"",Roster!$J$2:$J176=$D62)"),"Weaver")</f>
        <v>Weaver</v>
      </c>
      <c r="E64" s="163" t="str">
        <f>IFERROR(__xludf.DUMMYFUNCTION("FILTER(Roster!B$2:B176,Roster!$H$2:$H176=""F"",Roster!$J$2:$J176=$D62)"),"Mackenzie")</f>
        <v>Mackenzie</v>
      </c>
      <c r="F64" s="163" t="str">
        <f>IFERROR(__xludf.DUMMYFUNCTION("FILTER(Roster!D$2:D176,Roster!$H$2:$H176=""F"",Roster!$J$2:$J176=$D62)"),"2 - Fri")</f>
        <v>2 - Fri</v>
      </c>
      <c r="G64" s="163" t="str">
        <f>IFERROR(__xludf.DUMMYFUNCTION("FILTER(Roster!E$2:E176,Roster!$H$2:$H176=""F"",Roster!$J$2:$J176=$D62)"),"")</f>
        <v/>
      </c>
      <c r="H64" s="163" t="str">
        <f>IFERROR(__xludf.DUMMYFUNCTION("FILTER(Roster!F$2:F176,Roster!$H$2:$H176=""F"",Roster!$J$2:$J176=$D62)"),"")</f>
        <v/>
      </c>
      <c r="I64" s="163" t="str">
        <f>IFERROR(__xludf.DUMMYFUNCTION("FILTER(Roster!G$2:G176,Roster!$H$2:$H176=""F"",Roster!$J$2:$J176=$D62)"),"")</f>
        <v/>
      </c>
      <c r="J64" s="163" t="str">
        <f>IFERROR(__xludf.DUMMYFUNCTION("FILTER(Roster!H$2:H176,Roster!$H$2:$H176=""F"",Roster!$J$2:$J176=$D62)"),"F")</f>
        <v>F</v>
      </c>
      <c r="K64" s="163" t="str">
        <f>IFERROR(__xludf.DUMMYFUNCTION("FILTER(Roster!I$2:I176,Roster!$H$2:$H176=""F"",Roster!$J$2:$J176=$D62)"),"E")</f>
        <v>E</v>
      </c>
      <c r="L64" s="163">
        <f>IFERROR(__xludf.DUMMYFUNCTION("FILTER(Roster!J$2:J176,Roster!$H$2:$H176=""F"",Roster!$J$2:$J176=$D62)"),67.5)</f>
        <v>67.5</v>
      </c>
      <c r="M64" s="163">
        <f>IFERROR(__xludf.DUMMYFUNCTION("FILTER(Roster!M$2:M176,Roster!$H$2:$H176=""F"",Roster!$J$2:$J176=$D62)"),502.5)</f>
        <v>502.5</v>
      </c>
      <c r="N64" s="163" t="str">
        <f>IFERROR(__xludf.DUMMYFUNCTION("FILTER(Roster!N$2:N176,Roster!$H$2:$H176=""F"",Roster!$J$2:$J176=$D62)"),"")</f>
        <v/>
      </c>
      <c r="O64" s="164">
        <f t="array" ref="O64">INDEX('Best Lifts'!E$1:E$279,MATCH(1,($D64='Best Lifts'!$A:$A)*($E64='Best Lifts'!$B:$B),0))</f>
        <v>147.5</v>
      </c>
      <c r="P64" s="164">
        <f t="array" ref="P64">INDEX('Best Lifts'!F$1:F$279,MATCH(1,($D64='Best Lifts'!$A:$A)*($E64='Best Lifts'!$B:$B),0))</f>
        <v>95</v>
      </c>
      <c r="Q64" s="164">
        <f t="array" ref="Q64">INDEX('Best Lifts'!G$1:G$279,MATCH(1,($D64='Best Lifts'!$A:$A)*($E64='Best Lifts'!$B:$B),0))</f>
        <v>165</v>
      </c>
      <c r="R64" s="164">
        <f t="array" ref="R64">INDEX('Best Lifts'!H$1:H$279,MATCH(1,($D64='Best Lifts'!$A:$A)*($E64='Best Lifts'!$B:$B),0))</f>
        <v>407.5</v>
      </c>
      <c r="S64" s="164">
        <f t="array" ref="S64">INDEX('Best Lifts'!I$1:I$279,MATCH(1,($D64='Best Lifts'!$A:$A)*($E64='Best Lifts'!$B:$B),0))</f>
        <v>202.5</v>
      </c>
      <c r="T64" s="164">
        <f t="array" ref="T64">INDEX('Best Lifts'!J$1:J$279,MATCH(1,($D64='Best Lifts'!$A:$A)*($E64='Best Lifts'!$B:$B),0))</f>
        <v>120</v>
      </c>
      <c r="U64" s="164">
        <f t="array" ref="U64">INDEX('Best Lifts'!K$1:K$279,MATCH(1,($D64='Best Lifts'!$A:$A)*($E64='Best Lifts'!$B:$B),0))</f>
        <v>180</v>
      </c>
      <c r="V64" s="164">
        <f t="array" ref="V64">INDEX('Best Lifts'!L$1:L$279,MATCH(1,($D64='Best Lifts'!$A:$A)*($E64='Best Lifts'!$B:$B),0))</f>
        <v>502.5</v>
      </c>
      <c r="W64" s="164">
        <f t="shared" ref="W64:W66" si="18">IF(ISNA(SUM(S64:U64)),0,SUM(S64:U64))</f>
        <v>502.5</v>
      </c>
      <c r="X64" s="165" t="str">
        <f t="array" ref="X64">INDEX('Best Lifts'!M$1:M$279,MATCH(1,($D64='Best Lifts'!$A:$A)*($E64='Best Lifts'!$B:$B),0))</f>
        <v/>
      </c>
    </row>
    <row r="65">
      <c r="A65" s="163">
        <f t="shared" si="16"/>
        <v>2</v>
      </c>
      <c r="B65" s="163">
        <f t="shared" si="17"/>
        <v>2</v>
      </c>
      <c r="C65" s="163"/>
      <c r="D65" s="163" t="str">
        <f>IFERROR(__xludf.DUMMYFUNCTION("""COMPUTED_VALUE"""),"Benavidez")</f>
        <v>Benavidez</v>
      </c>
      <c r="E65" s="163" t="str">
        <f>IFERROR(__xludf.DUMMYFUNCTION("""COMPUTED_VALUE"""),"Jennifer")</f>
        <v>Jennifer</v>
      </c>
      <c r="F65" s="163" t="str">
        <f>IFERROR(__xludf.DUMMYFUNCTION("""COMPUTED_VALUE"""),"2 - Fri")</f>
        <v>2 - Fri</v>
      </c>
      <c r="G65" s="163"/>
      <c r="H65" s="163"/>
      <c r="I65" s="163"/>
      <c r="J65" s="163" t="str">
        <f>IFERROR(__xludf.DUMMYFUNCTION("""COMPUTED_VALUE"""),"F")</f>
        <v>F</v>
      </c>
      <c r="K65" s="163" t="str">
        <f>IFERROR(__xludf.DUMMYFUNCTION("""COMPUTED_VALUE"""),"E")</f>
        <v>E</v>
      </c>
      <c r="L65" s="163">
        <f>IFERROR(__xludf.DUMMYFUNCTION("""COMPUTED_VALUE"""),67.5)</f>
        <v>67.5</v>
      </c>
      <c r="M65" s="163">
        <f>IFERROR(__xludf.DUMMYFUNCTION("""COMPUTED_VALUE"""),490.0)</f>
        <v>490</v>
      </c>
      <c r="N65" s="163"/>
      <c r="O65" s="164">
        <f t="array" ref="O65">INDEX('Best Lifts'!E$1:E$279,MATCH(1,($D65='Best Lifts'!$A:$A)*($E65='Best Lifts'!$B:$B),0))</f>
        <v>167.5</v>
      </c>
      <c r="P65" s="164">
        <f t="array" ref="P65">INDEX('Best Lifts'!F$1:F$279,MATCH(1,($D65='Best Lifts'!$A:$A)*($E65='Best Lifts'!$B:$B),0))</f>
        <v>75</v>
      </c>
      <c r="Q65" s="164">
        <f t="array" ref="Q65">INDEX('Best Lifts'!G$1:G$279,MATCH(1,($D65='Best Lifts'!$A:$A)*($E65='Best Lifts'!$B:$B),0))</f>
        <v>190</v>
      </c>
      <c r="R65" s="164">
        <f t="array" ref="R65">INDEX('Best Lifts'!H$1:H$279,MATCH(1,($D65='Best Lifts'!$A:$A)*($E65='Best Lifts'!$B:$B),0))</f>
        <v>432.5</v>
      </c>
      <c r="S65" s="164">
        <f t="array" ref="S65">INDEX('Best Lifts'!I$1:I$279,MATCH(1,($D65='Best Lifts'!$A:$A)*($E65='Best Lifts'!$B:$B),0))</f>
        <v>205</v>
      </c>
      <c r="T65" s="164">
        <f t="array" ref="T65">INDEX('Best Lifts'!J$1:J$279,MATCH(1,($D65='Best Lifts'!$A:$A)*($E65='Best Lifts'!$B:$B),0))</f>
        <v>92.9</v>
      </c>
      <c r="U65" s="164">
        <f t="array" ref="U65">INDEX('Best Lifts'!K$1:K$279,MATCH(1,($D65='Best Lifts'!$A:$A)*($E65='Best Lifts'!$B:$B),0))</f>
        <v>192.5</v>
      </c>
      <c r="V65" s="164">
        <f t="array" ref="V65">INDEX('Best Lifts'!L$1:L$279,MATCH(1,($D65='Best Lifts'!$A:$A)*($E65='Best Lifts'!$B:$B),0))</f>
        <v>490</v>
      </c>
      <c r="W65" s="164">
        <f t="shared" si="18"/>
        <v>490.4</v>
      </c>
      <c r="X65" s="165" t="str">
        <f t="array" ref="X65">INDEX('Best Lifts'!M$1:M$279,MATCH(1,($D65='Best Lifts'!$A:$A)*($E65='Best Lifts'!$B:$B),0))</f>
        <v/>
      </c>
    </row>
    <row r="66">
      <c r="A66" s="163">
        <f t="shared" si="16"/>
        <v>3</v>
      </c>
      <c r="B66" s="163">
        <f t="shared" si="17"/>
        <v>5</v>
      </c>
      <c r="C66" s="163"/>
      <c r="D66" s="163" t="str">
        <f>IFERROR(__xludf.DUMMYFUNCTION("""COMPUTED_VALUE"""),"Olvera")</f>
        <v>Olvera</v>
      </c>
      <c r="E66" s="163" t="str">
        <f>IFERROR(__xludf.DUMMYFUNCTION("""COMPUTED_VALUE"""),"Marissa")</f>
        <v>Marissa</v>
      </c>
      <c r="F66" s="163" t="str">
        <f>IFERROR(__xludf.DUMMYFUNCTION("""COMPUTED_VALUE"""),"2 - Fri")</f>
        <v>2 - Fri</v>
      </c>
      <c r="G66" s="163"/>
      <c r="H66" s="163"/>
      <c r="I66" s="163"/>
      <c r="J66" s="163" t="str">
        <f>IFERROR(__xludf.DUMMYFUNCTION("""COMPUTED_VALUE"""),"F")</f>
        <v>F</v>
      </c>
      <c r="K66" s="163" t="str">
        <f>IFERROR(__xludf.DUMMYFUNCTION("""COMPUTED_VALUE"""),"E")</f>
        <v>E</v>
      </c>
      <c r="L66" s="163">
        <f>IFERROR(__xludf.DUMMYFUNCTION("""COMPUTED_VALUE"""),67.5)</f>
        <v>67.5</v>
      </c>
      <c r="M66" s="163">
        <f>IFERROR(__xludf.DUMMYFUNCTION("""COMPUTED_VALUE"""),442.5)</f>
        <v>442.5</v>
      </c>
      <c r="N66" s="163"/>
      <c r="O66" s="164">
        <f t="array" ref="O66">INDEX('Best Lifts'!E$1:E$279,MATCH(1,($D66='Best Lifts'!$A:$A)*($E66='Best Lifts'!$B:$B),0))</f>
        <v>137.5</v>
      </c>
      <c r="P66" s="164">
        <f t="array" ref="P66">INDEX('Best Lifts'!F$1:F$279,MATCH(1,($D66='Best Lifts'!$A:$A)*($E66='Best Lifts'!$B:$B),0))</f>
        <v>77.5</v>
      </c>
      <c r="Q66" s="164">
        <f t="array" ref="Q66">INDEX('Best Lifts'!G$1:G$279,MATCH(1,($D66='Best Lifts'!$A:$A)*($E66='Best Lifts'!$B:$B),0))</f>
        <v>150</v>
      </c>
      <c r="R66" s="164">
        <f t="array" ref="R66">INDEX('Best Lifts'!H$1:H$279,MATCH(1,($D66='Best Lifts'!$A:$A)*($E66='Best Lifts'!$B:$B),0))</f>
        <v>360</v>
      </c>
      <c r="S66" s="164">
        <f t="array" ref="S66">INDEX('Best Lifts'!I$1:I$279,MATCH(1,($D66='Best Lifts'!$A:$A)*($E66='Best Lifts'!$B:$B),0))</f>
        <v>185</v>
      </c>
      <c r="T66" s="164">
        <f t="array" ref="T66">INDEX('Best Lifts'!J$1:J$279,MATCH(1,($D66='Best Lifts'!$A:$A)*($E66='Best Lifts'!$B:$B),0))</f>
        <v>105</v>
      </c>
      <c r="U66" s="164">
        <f t="array" ref="U66">INDEX('Best Lifts'!K$1:K$279,MATCH(1,($D66='Best Lifts'!$A:$A)*($E66='Best Lifts'!$B:$B),0))</f>
        <v>152.5</v>
      </c>
      <c r="V66" s="164">
        <f t="array" ref="V66">INDEX('Best Lifts'!L$1:L$279,MATCH(1,($D66='Best Lifts'!$A:$A)*($E66='Best Lifts'!$B:$B),0))</f>
        <v>442.5</v>
      </c>
      <c r="W66" s="164">
        <f t="shared" si="18"/>
        <v>442.5</v>
      </c>
      <c r="X66" s="165" t="str">
        <f t="array" ref="X66">INDEX('Best Lifts'!M$1:M$279,MATCH(1,($D66='Best Lifts'!$A:$A)*($E66='Best Lifts'!$B:$B),0))</f>
        <v/>
      </c>
    </row>
    <row r="67">
      <c r="A67" s="163">
        <f t="shared" si="16"/>
        <v>4</v>
      </c>
      <c r="B67" s="163">
        <f t="shared" si="17"/>
        <v>18</v>
      </c>
      <c r="C67" s="163"/>
      <c r="D67" s="163" t="str">
        <f>IFERROR(__xludf.DUMMYFUNCTION("""COMPUTED_VALUE"""),"Alford")</f>
        <v>Alford</v>
      </c>
      <c r="E67" s="163" t="str">
        <f>IFERROR(__xludf.DUMMYFUNCTION("""COMPUTED_VALUE"""),"Alexis")</f>
        <v>Alexis</v>
      </c>
      <c r="F67" s="163" t="str">
        <f>IFERROR(__xludf.DUMMYFUNCTION("""COMPUTED_VALUE"""),"2 - Fri")</f>
        <v>2 - Fri</v>
      </c>
      <c r="G67" s="163"/>
      <c r="H67" s="163"/>
      <c r="I67" s="163"/>
      <c r="J67" s="163" t="str">
        <f>IFERROR(__xludf.DUMMYFUNCTION("""COMPUTED_VALUE"""),"F")</f>
        <v>F</v>
      </c>
      <c r="K67" s="163" t="str">
        <f>IFERROR(__xludf.DUMMYFUNCTION("""COMPUTED_VALUE"""),"E")</f>
        <v>E</v>
      </c>
      <c r="L67" s="163">
        <f>IFERROR(__xludf.DUMMYFUNCTION("""COMPUTED_VALUE"""),67.5)</f>
        <v>67.5</v>
      </c>
      <c r="M67" s="163">
        <f>IFERROR(__xludf.DUMMYFUNCTION("""COMPUTED_VALUE"""),432.5)</f>
        <v>432.5</v>
      </c>
      <c r="N67" s="163"/>
      <c r="O67" s="164" t="str">
        <f t="array" ref="O67">INDEX('Best Lifts'!E$1:E$279,MATCH(1,($D67='Best Lifts'!$A:$A)*($E67='Best Lifts'!$B:$B),0))</f>
        <v>#N/A</v>
      </c>
      <c r="P67" s="164" t="str">
        <f t="array" ref="P67">INDEX('Best Lifts'!F$1:F$279,MATCH(1,($D67='Best Lifts'!$A:$A)*($E67='Best Lifts'!$B:$B),0))</f>
        <v/>
      </c>
      <c r="Q67" s="164" t="str">
        <f t="array" ref="Q67">INDEX('Best Lifts'!G$1:G$279,MATCH(1,($D67='Best Lifts'!$A:$A)*($E67='Best Lifts'!$B:$B),0))</f>
        <v/>
      </c>
      <c r="R67" s="164" t="str">
        <f t="array" ref="R67">INDEX('Best Lifts'!H$1:H$279,MATCH(1,($D67='Best Lifts'!$A:$A)*($E67='Best Lifts'!$B:$B),0))</f>
        <v/>
      </c>
      <c r="S67" s="164">
        <f t="array" ref="S67">INDEX('Best Lifts'!I$1:I$279,MATCH(1,($D67='Best Lifts'!$A:$A)*($E67='Best Lifts'!$B:$B),0))</f>
        <v>165</v>
      </c>
      <c r="T67" s="164">
        <f t="array" ref="T67">INDEX('Best Lifts'!J$1:J$279,MATCH(1,($D67='Best Lifts'!$A:$A)*($E67='Best Lifts'!$B:$B),0))</f>
        <v>97.5</v>
      </c>
      <c r="U67" s="164">
        <f t="array" ref="U67">INDEX('Best Lifts'!K$1:K$279,MATCH(1,($D67='Best Lifts'!$A:$A)*($E67='Best Lifts'!$B:$B),0))</f>
        <v>170</v>
      </c>
      <c r="V67" s="164">
        <f t="array" ref="V67">INDEX('Best Lifts'!L$1:L$279,MATCH(1,($D67='Best Lifts'!$A:$A)*($E67='Best Lifts'!$B:$B),0))</f>
        <v>432.5</v>
      </c>
      <c r="W67" s="39"/>
      <c r="X67" s="167"/>
    </row>
    <row r="68">
      <c r="A68" s="163">
        <f t="shared" si="16"/>
        <v>4</v>
      </c>
      <c r="B68" s="163">
        <f t="shared" si="17"/>
        <v>4</v>
      </c>
      <c r="C68" s="163"/>
      <c r="D68" s="163" t="str">
        <f>IFERROR(__xludf.DUMMYFUNCTION("""COMPUTED_VALUE"""),"Kovacs")</f>
        <v>Kovacs</v>
      </c>
      <c r="E68" s="163" t="str">
        <f>IFERROR(__xludf.DUMMYFUNCTION("""COMPUTED_VALUE"""),"Janee")</f>
        <v>Janee</v>
      </c>
      <c r="F68" s="163" t="str">
        <f>IFERROR(__xludf.DUMMYFUNCTION("""COMPUTED_VALUE"""),"2 - Fri")</f>
        <v>2 - Fri</v>
      </c>
      <c r="G68" s="163"/>
      <c r="H68" s="163"/>
      <c r="I68" s="163"/>
      <c r="J68" s="163" t="str">
        <f>IFERROR(__xludf.DUMMYFUNCTION("""COMPUTED_VALUE"""),"F")</f>
        <v>F</v>
      </c>
      <c r="K68" s="163" t="str">
        <f>IFERROR(__xludf.DUMMYFUNCTION("""COMPUTED_VALUE"""),"E")</f>
        <v>E</v>
      </c>
      <c r="L68" s="163">
        <f>IFERROR(__xludf.DUMMYFUNCTION("""COMPUTED_VALUE"""),67.5)</f>
        <v>67.5</v>
      </c>
      <c r="M68" s="163">
        <f>IFERROR(__xludf.DUMMYFUNCTION("""COMPUTED_VALUE"""),432.5)</f>
        <v>432.5</v>
      </c>
      <c r="N68" s="163"/>
      <c r="O68" s="164">
        <f t="array" ref="O68">INDEX('Best Lifts'!E$1:E$279,MATCH(1,($D68='Best Lifts'!$A:$A)*($E68='Best Lifts'!$B:$B),0))</f>
        <v>147.5</v>
      </c>
      <c r="P68" s="164">
        <f t="array" ref="P68">INDEX('Best Lifts'!F$1:F$279,MATCH(1,($D68='Best Lifts'!$A:$A)*($E68='Best Lifts'!$B:$B),0))</f>
        <v>87.5</v>
      </c>
      <c r="Q68" s="164">
        <f t="array" ref="Q68">INDEX('Best Lifts'!G$1:G$279,MATCH(1,($D68='Best Lifts'!$A:$A)*($E68='Best Lifts'!$B:$B),0))</f>
        <v>197.5</v>
      </c>
      <c r="R68" s="164">
        <f t="array" ref="R68">INDEX('Best Lifts'!H$1:H$279,MATCH(1,($D68='Best Lifts'!$A:$A)*($E68='Best Lifts'!$B:$B),0))</f>
        <v>432.5</v>
      </c>
      <c r="S68" s="164">
        <f t="array" ref="S68">INDEX('Best Lifts'!I$1:I$279,MATCH(1,($D68='Best Lifts'!$A:$A)*($E68='Best Lifts'!$B:$B),0))</f>
        <v>182.5</v>
      </c>
      <c r="T68" s="164">
        <f t="array" ref="T68">INDEX('Best Lifts'!J$1:J$279,MATCH(1,($D68='Best Lifts'!$A:$A)*($E68='Best Lifts'!$B:$B),0))</f>
        <v>85</v>
      </c>
      <c r="U68" s="164">
        <f t="array" ref="U68">INDEX('Best Lifts'!K$1:K$279,MATCH(1,($D68='Best Lifts'!$A:$A)*($E68='Best Lifts'!$B:$B),0))</f>
        <v>180</v>
      </c>
      <c r="V68" s="164">
        <f t="array" ref="V68">INDEX('Best Lifts'!L$1:L$279,MATCH(1,($D68='Best Lifts'!$A:$A)*($E68='Best Lifts'!$B:$B),0))</f>
        <v>447.5</v>
      </c>
      <c r="W68" s="164">
        <f t="shared" ref="W68:W91" si="19">IF(ISNA(SUM(S68:U68)),0,SUM(S68:U68))</f>
        <v>447.5</v>
      </c>
      <c r="X68" s="165" t="str">
        <f t="array" ref="X68">INDEX('Best Lifts'!M$1:M$279,MATCH(1,($D68='Best Lifts'!$A:$A)*($E68='Best Lifts'!$B:$B),0))</f>
        <v/>
      </c>
    </row>
    <row r="69">
      <c r="A69" s="163">
        <f t="shared" si="16"/>
        <v>6</v>
      </c>
      <c r="B69" s="163">
        <f t="shared" si="17"/>
        <v>7</v>
      </c>
      <c r="C69" s="163"/>
      <c r="D69" s="163" t="str">
        <f>IFERROR(__xludf.DUMMYFUNCTION("""COMPUTED_VALUE"""),"York")</f>
        <v>York</v>
      </c>
      <c r="E69" s="163" t="str">
        <f>IFERROR(__xludf.DUMMYFUNCTION("""COMPUTED_VALUE"""),"Savannah")</f>
        <v>Savannah</v>
      </c>
      <c r="F69" s="163" t="str">
        <f>IFERROR(__xludf.DUMMYFUNCTION("""COMPUTED_VALUE"""),"2 - Fri")</f>
        <v>2 - Fri</v>
      </c>
      <c r="G69" s="163"/>
      <c r="H69" s="163"/>
      <c r="I69" s="163"/>
      <c r="J69" s="163" t="str">
        <f>IFERROR(__xludf.DUMMYFUNCTION("""COMPUTED_VALUE"""),"F")</f>
        <v>F</v>
      </c>
      <c r="K69" s="163" t="str">
        <f>IFERROR(__xludf.DUMMYFUNCTION("""COMPUTED_VALUE"""),"E")</f>
        <v>E</v>
      </c>
      <c r="L69" s="163">
        <f>IFERROR(__xludf.DUMMYFUNCTION("""COMPUTED_VALUE"""),67.5)</f>
        <v>67.5</v>
      </c>
      <c r="M69" s="163">
        <f>IFERROR(__xludf.DUMMYFUNCTION("""COMPUTED_VALUE"""),422.5)</f>
        <v>422.5</v>
      </c>
      <c r="N69" s="163"/>
      <c r="O69" s="164">
        <f t="array" ref="O69">INDEX('Best Lifts'!E$1:E$279,MATCH(1,($D69='Best Lifts'!$A:$A)*($E69='Best Lifts'!$B:$B),0))</f>
        <v>142.5</v>
      </c>
      <c r="P69" s="164">
        <f t="array" ref="P69">INDEX('Best Lifts'!F$1:F$279,MATCH(1,($D69='Best Lifts'!$A:$A)*($E69='Best Lifts'!$B:$B),0))</f>
        <v>90</v>
      </c>
      <c r="Q69" s="164">
        <f t="array" ref="Q69">INDEX('Best Lifts'!G$1:G$279,MATCH(1,($D69='Best Lifts'!$A:$A)*($E69='Best Lifts'!$B:$B),0))</f>
        <v>155</v>
      </c>
      <c r="R69" s="164">
        <f t="array" ref="R69">INDEX('Best Lifts'!H$1:H$279,MATCH(1,($D69='Best Lifts'!$A:$A)*($E69='Best Lifts'!$B:$B),0))</f>
        <v>387.5</v>
      </c>
      <c r="S69" s="164">
        <f t="array" ref="S69">INDEX('Best Lifts'!I$1:I$279,MATCH(1,($D69='Best Lifts'!$A:$A)*($E69='Best Lifts'!$B:$B),0))</f>
        <v>170</v>
      </c>
      <c r="T69" s="164">
        <f t="array" ref="T69">INDEX('Best Lifts'!J$1:J$279,MATCH(1,($D69='Best Lifts'!$A:$A)*($E69='Best Lifts'!$B:$B),0))</f>
        <v>97.5</v>
      </c>
      <c r="U69" s="164">
        <f t="array" ref="U69">INDEX('Best Lifts'!K$1:K$279,MATCH(1,($D69='Best Lifts'!$A:$A)*($E69='Best Lifts'!$B:$B),0))</f>
        <v>155</v>
      </c>
      <c r="V69" s="164">
        <f t="array" ref="V69">INDEX('Best Lifts'!L$1:L$279,MATCH(1,($D69='Best Lifts'!$A:$A)*($E69='Best Lifts'!$B:$B),0))</f>
        <v>422.5</v>
      </c>
      <c r="W69" s="164">
        <f t="shared" si="19"/>
        <v>422.5</v>
      </c>
      <c r="X69" s="165" t="str">
        <f t="array" ref="X69">INDEX('Best Lifts'!M$1:M$279,MATCH(1,($D69='Best Lifts'!$A:$A)*($E69='Best Lifts'!$B:$B),0))</f>
        <v/>
      </c>
    </row>
    <row r="70">
      <c r="A70" s="163">
        <f t="shared" si="16"/>
        <v>7</v>
      </c>
      <c r="B70" s="163">
        <f t="shared" si="17"/>
        <v>6</v>
      </c>
      <c r="C70" s="163"/>
      <c r="D70" s="163" t="str">
        <f>IFERROR(__xludf.DUMMYFUNCTION("""COMPUTED_VALUE"""),"McDougall")</f>
        <v>McDougall</v>
      </c>
      <c r="E70" s="163" t="str">
        <f>IFERROR(__xludf.DUMMYFUNCTION("""COMPUTED_VALUE"""),"Savannah")</f>
        <v>Savannah</v>
      </c>
      <c r="F70" s="163" t="str">
        <f>IFERROR(__xludf.DUMMYFUNCTION("""COMPUTED_VALUE"""),"2 - Fri")</f>
        <v>2 - Fri</v>
      </c>
      <c r="G70" s="163"/>
      <c r="H70" s="163"/>
      <c r="I70" s="163"/>
      <c r="J70" s="163" t="str">
        <f>IFERROR(__xludf.DUMMYFUNCTION("""COMPUTED_VALUE"""),"F")</f>
        <v>F</v>
      </c>
      <c r="K70" s="163" t="str">
        <f>IFERROR(__xludf.DUMMYFUNCTION("""COMPUTED_VALUE"""),"E")</f>
        <v>E</v>
      </c>
      <c r="L70" s="163">
        <f>IFERROR(__xludf.DUMMYFUNCTION("""COMPUTED_VALUE"""),67.5)</f>
        <v>67.5</v>
      </c>
      <c r="M70" s="163">
        <f>IFERROR(__xludf.DUMMYFUNCTION("""COMPUTED_VALUE"""),415.0)</f>
        <v>415</v>
      </c>
      <c r="N70" s="163"/>
      <c r="O70" s="164">
        <f t="array" ref="O70">INDEX('Best Lifts'!E$1:E$279,MATCH(1,($D70='Best Lifts'!$A:$A)*($E70='Best Lifts'!$B:$B),0))</f>
        <v>122.5</v>
      </c>
      <c r="P70" s="164">
        <f t="array" ref="P70">INDEX('Best Lifts'!F$1:F$279,MATCH(1,($D70='Best Lifts'!$A:$A)*($E70='Best Lifts'!$B:$B),0))</f>
        <v>57.5</v>
      </c>
      <c r="Q70" s="164">
        <f t="array" ref="Q70">INDEX('Best Lifts'!G$1:G$279,MATCH(1,($D70='Best Lifts'!$A:$A)*($E70='Best Lifts'!$B:$B),0))</f>
        <v>157.5</v>
      </c>
      <c r="R70" s="164">
        <f t="array" ref="R70">INDEX('Best Lifts'!H$1:H$279,MATCH(1,($D70='Best Lifts'!$A:$A)*($E70='Best Lifts'!$B:$B),0))</f>
        <v>337.5</v>
      </c>
      <c r="S70" s="164">
        <f t="array" ref="S70">INDEX('Best Lifts'!I$1:I$279,MATCH(1,($D70='Best Lifts'!$A:$A)*($E70='Best Lifts'!$B:$B),0))</f>
        <v>180</v>
      </c>
      <c r="T70" s="164">
        <f t="array" ref="T70">INDEX('Best Lifts'!J$1:J$279,MATCH(1,($D70='Best Lifts'!$A:$A)*($E70='Best Lifts'!$B:$B),0))</f>
        <v>74.8</v>
      </c>
      <c r="U70" s="164">
        <f t="array" ref="U70">INDEX('Best Lifts'!K$1:K$279,MATCH(1,($D70='Best Lifts'!$A:$A)*($E70='Best Lifts'!$B:$B),0))</f>
        <v>182.5</v>
      </c>
      <c r="V70" s="164">
        <f t="array" ref="V70">INDEX('Best Lifts'!L$1:L$279,MATCH(1,($D70='Best Lifts'!$A:$A)*($E70='Best Lifts'!$B:$B),0))</f>
        <v>427.5</v>
      </c>
      <c r="W70" s="164">
        <f t="shared" si="19"/>
        <v>437.3</v>
      </c>
      <c r="X70" s="165" t="str">
        <f t="array" ref="X70">INDEX('Best Lifts'!M$1:M$279,MATCH(1,($D70='Best Lifts'!$A:$A)*($E70='Best Lifts'!$B:$B),0))</f>
        <v/>
      </c>
    </row>
    <row r="71">
      <c r="A71" s="163">
        <f t="shared" si="16"/>
        <v>8</v>
      </c>
      <c r="B71" s="163">
        <f t="shared" si="17"/>
        <v>9</v>
      </c>
      <c r="C71" s="163"/>
      <c r="D71" s="163" t="str">
        <f>IFERROR(__xludf.DUMMYFUNCTION("""COMPUTED_VALUE"""),"Sabril")</f>
        <v>Sabril</v>
      </c>
      <c r="E71" s="163" t="str">
        <f>IFERROR(__xludf.DUMMYFUNCTION("""COMPUTED_VALUE"""),"Stephanny")</f>
        <v>Stephanny</v>
      </c>
      <c r="F71" s="163" t="str">
        <f>IFERROR(__xludf.DUMMYFUNCTION("""COMPUTED_VALUE"""),"2 - Fri")</f>
        <v>2 - Fri</v>
      </c>
      <c r="G71" s="163"/>
      <c r="H71" s="163"/>
      <c r="I71" s="163"/>
      <c r="J71" s="163" t="str">
        <f>IFERROR(__xludf.DUMMYFUNCTION("""COMPUTED_VALUE"""),"F")</f>
        <v>F</v>
      </c>
      <c r="K71" s="163" t="str">
        <f>IFERROR(__xludf.DUMMYFUNCTION("""COMPUTED_VALUE"""),"E")</f>
        <v>E</v>
      </c>
      <c r="L71" s="163">
        <f>IFERROR(__xludf.DUMMYFUNCTION("""COMPUTED_VALUE"""),67.5)</f>
        <v>67.5</v>
      </c>
      <c r="M71" s="163">
        <f>IFERROR(__xludf.DUMMYFUNCTION("""COMPUTED_VALUE"""),410.0)</f>
        <v>410</v>
      </c>
      <c r="N71" s="163"/>
      <c r="O71" s="164">
        <f t="array" ref="O71">INDEX('Best Lifts'!E$1:E$279,MATCH(1,($D71='Best Lifts'!$A:$A)*($E71='Best Lifts'!$B:$B),0))</f>
        <v>112.5</v>
      </c>
      <c r="P71" s="164">
        <f t="array" ref="P71">INDEX('Best Lifts'!F$1:F$279,MATCH(1,($D71='Best Lifts'!$A:$A)*($E71='Best Lifts'!$B:$B),0))</f>
        <v>67.5</v>
      </c>
      <c r="Q71" s="164">
        <f t="array" ref="Q71">INDEX('Best Lifts'!G$1:G$279,MATCH(1,($D71='Best Lifts'!$A:$A)*($E71='Best Lifts'!$B:$B),0))</f>
        <v>140</v>
      </c>
      <c r="R71" s="164">
        <f t="array" ref="R71">INDEX('Best Lifts'!H$1:H$279,MATCH(1,($D71='Best Lifts'!$A:$A)*($E71='Best Lifts'!$B:$B),0))</f>
        <v>320</v>
      </c>
      <c r="S71" s="164">
        <f t="array" ref="S71">INDEX('Best Lifts'!I$1:I$279,MATCH(1,($D71='Best Lifts'!$A:$A)*($E71='Best Lifts'!$B:$B),0))</f>
        <v>170</v>
      </c>
      <c r="T71" s="164">
        <f t="array" ref="T71">INDEX('Best Lifts'!J$1:J$279,MATCH(1,($D71='Best Lifts'!$A:$A)*($E71='Best Lifts'!$B:$B),0))</f>
        <v>82.5</v>
      </c>
      <c r="U71" s="164">
        <f t="array" ref="U71">INDEX('Best Lifts'!K$1:K$279,MATCH(1,($D71='Best Lifts'!$A:$A)*($E71='Best Lifts'!$B:$B),0))</f>
        <v>157.5</v>
      </c>
      <c r="V71" s="164">
        <f t="array" ref="V71">INDEX('Best Lifts'!L$1:L$279,MATCH(1,($D71='Best Lifts'!$A:$A)*($E71='Best Lifts'!$B:$B),0))</f>
        <v>410</v>
      </c>
      <c r="W71" s="164">
        <f t="shared" si="19"/>
        <v>410</v>
      </c>
      <c r="X71" s="165" t="str">
        <f t="array" ref="X71">INDEX('Best Lifts'!M$1:M$279,MATCH(1,($D71='Best Lifts'!$A:$A)*($E71='Best Lifts'!$B:$B),0))</f>
        <v/>
      </c>
    </row>
    <row r="72">
      <c r="A72" s="163">
        <f t="shared" si="16"/>
        <v>9</v>
      </c>
      <c r="B72" s="163">
        <f t="shared" si="17"/>
        <v>8</v>
      </c>
      <c r="C72" s="163"/>
      <c r="D72" s="163" t="str">
        <f>IFERROR(__xludf.DUMMYFUNCTION("""COMPUTED_VALUE"""),"Fuentes")</f>
        <v>Fuentes</v>
      </c>
      <c r="E72" s="163" t="str">
        <f>IFERROR(__xludf.DUMMYFUNCTION("""COMPUTED_VALUE"""),"Jessilyn")</f>
        <v>Jessilyn</v>
      </c>
      <c r="F72" s="163" t="str">
        <f>IFERROR(__xludf.DUMMYFUNCTION("""COMPUTED_VALUE"""),"2 - Fri")</f>
        <v>2 - Fri</v>
      </c>
      <c r="G72" s="163"/>
      <c r="H72" s="163"/>
      <c r="I72" s="163"/>
      <c r="J72" s="163" t="str">
        <f>IFERROR(__xludf.DUMMYFUNCTION("""COMPUTED_VALUE"""),"F")</f>
        <v>F</v>
      </c>
      <c r="K72" s="163" t="str">
        <f>IFERROR(__xludf.DUMMYFUNCTION("""COMPUTED_VALUE"""),"E")</f>
        <v>E</v>
      </c>
      <c r="L72" s="163">
        <f>IFERROR(__xludf.DUMMYFUNCTION("""COMPUTED_VALUE"""),67.5)</f>
        <v>67.5</v>
      </c>
      <c r="M72" s="163">
        <f>IFERROR(__xludf.DUMMYFUNCTION("""COMPUTED_VALUE"""),407.5)</f>
        <v>407.5</v>
      </c>
      <c r="N72" s="163"/>
      <c r="O72" s="164" t="str">
        <f t="array" ref="O72">INDEX('Best Lifts'!E$1:E$279,MATCH(1,($D72='Best Lifts'!$A:$A)*($E72='Best Lifts'!$B:$B),0))</f>
        <v>#N/A</v>
      </c>
      <c r="P72" s="164" t="str">
        <f t="array" ref="P72">INDEX('Best Lifts'!F$1:F$279,MATCH(1,($D72='Best Lifts'!$A:$A)*($E72='Best Lifts'!$B:$B),0))</f>
        <v/>
      </c>
      <c r="Q72" s="164" t="str">
        <f t="array" ref="Q72">INDEX('Best Lifts'!G$1:G$279,MATCH(1,($D72='Best Lifts'!$A:$A)*($E72='Best Lifts'!$B:$B),0))</f>
        <v/>
      </c>
      <c r="R72" s="164" t="str">
        <f t="array" ref="R72">INDEX('Best Lifts'!H$1:H$279,MATCH(1,($D72='Best Lifts'!$A:$A)*($E72='Best Lifts'!$B:$B),0))</f>
        <v/>
      </c>
      <c r="S72" s="164">
        <f t="array" ref="S72">INDEX('Best Lifts'!I$1:I$279,MATCH(1,($D72='Best Lifts'!$A:$A)*($E72='Best Lifts'!$B:$B),0))</f>
        <v>167.5</v>
      </c>
      <c r="T72" s="164">
        <f t="array" ref="T72">INDEX('Best Lifts'!J$1:J$279,MATCH(1,($D72='Best Lifts'!$A:$A)*($E72='Best Lifts'!$B:$B),0))</f>
        <v>90</v>
      </c>
      <c r="U72" s="164">
        <f t="array" ref="U72">INDEX('Best Lifts'!K$1:K$279,MATCH(1,($D72='Best Lifts'!$A:$A)*($E72='Best Lifts'!$B:$B),0))</f>
        <v>155</v>
      </c>
      <c r="V72" s="164">
        <f t="array" ref="V72">INDEX('Best Lifts'!L$1:L$279,MATCH(1,($D72='Best Lifts'!$A:$A)*($E72='Best Lifts'!$B:$B),0))</f>
        <v>407.5</v>
      </c>
      <c r="W72" s="164">
        <f t="shared" si="19"/>
        <v>412.5</v>
      </c>
      <c r="X72" s="165" t="str">
        <f t="array" ref="X72">INDEX('Best Lifts'!M$1:M$279,MATCH(1,($D72='Best Lifts'!$A:$A)*($E72='Best Lifts'!$B:$B),0))</f>
        <v/>
      </c>
    </row>
    <row r="73">
      <c r="A73" s="163">
        <f t="shared" si="16"/>
        <v>10</v>
      </c>
      <c r="B73" s="163">
        <f t="shared" si="17"/>
        <v>10</v>
      </c>
      <c r="C73" s="163"/>
      <c r="D73" s="163" t="str">
        <f>IFERROR(__xludf.DUMMYFUNCTION("""COMPUTED_VALUE"""),"Johnson")</f>
        <v>Johnson</v>
      </c>
      <c r="E73" s="163" t="str">
        <f>IFERROR(__xludf.DUMMYFUNCTION("""COMPUTED_VALUE"""),"Mackenzie")</f>
        <v>Mackenzie</v>
      </c>
      <c r="F73" s="163" t="str">
        <f>IFERROR(__xludf.DUMMYFUNCTION("""COMPUTED_VALUE"""),"2 - Fri")</f>
        <v>2 - Fri</v>
      </c>
      <c r="G73" s="163"/>
      <c r="H73" s="163"/>
      <c r="I73" s="163"/>
      <c r="J73" s="163" t="str">
        <f>IFERROR(__xludf.DUMMYFUNCTION("""COMPUTED_VALUE"""),"F")</f>
        <v>F</v>
      </c>
      <c r="K73" s="163" t="str">
        <f>IFERROR(__xludf.DUMMYFUNCTION("""COMPUTED_VALUE"""),"E")</f>
        <v>E</v>
      </c>
      <c r="L73" s="163">
        <f>IFERROR(__xludf.DUMMYFUNCTION("""COMPUTED_VALUE"""),67.5)</f>
        <v>67.5</v>
      </c>
      <c r="M73" s="163">
        <f>IFERROR(__xludf.DUMMYFUNCTION("""COMPUTED_VALUE"""),390.0)</f>
        <v>390</v>
      </c>
      <c r="N73" s="163"/>
      <c r="O73" s="164">
        <f t="array" ref="O73">INDEX('Best Lifts'!E$1:E$279,MATCH(1,($D73='Best Lifts'!$A:$A)*($E73='Best Lifts'!$B:$B),0))</f>
        <v>127.5</v>
      </c>
      <c r="P73" s="164">
        <f t="array" ref="P73">INDEX('Best Lifts'!F$1:F$279,MATCH(1,($D73='Best Lifts'!$A:$A)*($E73='Best Lifts'!$B:$B),0))</f>
        <v>67.5</v>
      </c>
      <c r="Q73" s="164">
        <f t="array" ref="Q73">INDEX('Best Lifts'!G$1:G$279,MATCH(1,($D73='Best Lifts'!$A:$A)*($E73='Best Lifts'!$B:$B),0))</f>
        <v>150</v>
      </c>
      <c r="R73" s="164">
        <f t="array" ref="R73">INDEX('Best Lifts'!H$1:H$279,MATCH(1,($D73='Best Lifts'!$A:$A)*($E73='Best Lifts'!$B:$B),0))</f>
        <v>345</v>
      </c>
      <c r="S73" s="164">
        <f t="array" ref="S73">INDEX('Best Lifts'!I$1:I$279,MATCH(1,($D73='Best Lifts'!$A:$A)*($E73='Best Lifts'!$B:$B),0))</f>
        <v>157.5</v>
      </c>
      <c r="T73" s="164">
        <f t="array" ref="T73">INDEX('Best Lifts'!J$1:J$279,MATCH(1,($D73='Best Lifts'!$A:$A)*($E73='Best Lifts'!$B:$B),0))</f>
        <v>72.5</v>
      </c>
      <c r="U73" s="164">
        <f t="array" ref="U73">INDEX('Best Lifts'!K$1:K$279,MATCH(1,($D73='Best Lifts'!$A:$A)*($E73='Best Lifts'!$B:$B),0))</f>
        <v>160</v>
      </c>
      <c r="V73" s="164">
        <f t="array" ref="V73">INDEX('Best Lifts'!L$1:L$279,MATCH(1,($D73='Best Lifts'!$A:$A)*($E73='Best Lifts'!$B:$B),0))</f>
        <v>390</v>
      </c>
      <c r="W73" s="164">
        <f t="shared" si="19"/>
        <v>390</v>
      </c>
      <c r="X73" s="165" t="str">
        <f t="array" ref="X73">INDEX('Best Lifts'!M$1:M$279,MATCH(1,($D73='Best Lifts'!$A:$A)*($E73='Best Lifts'!$B:$B),0))</f>
        <v/>
      </c>
    </row>
    <row r="74">
      <c r="A74" s="163">
        <f t="shared" si="16"/>
        <v>11</v>
      </c>
      <c r="B74" s="163">
        <f t="shared" si="17"/>
        <v>3</v>
      </c>
      <c r="C74" s="163"/>
      <c r="D74" s="163" t="str">
        <f>IFERROR(__xludf.DUMMYFUNCTION("""COMPUTED_VALUE"""),"Pender")</f>
        <v>Pender</v>
      </c>
      <c r="E74" s="163" t="str">
        <f>IFERROR(__xludf.DUMMYFUNCTION("""COMPUTED_VALUE"""),"Lacey")</f>
        <v>Lacey</v>
      </c>
      <c r="F74" s="163" t="str">
        <f>IFERROR(__xludf.DUMMYFUNCTION("""COMPUTED_VALUE"""),"2 - Fri")</f>
        <v>2 - Fri</v>
      </c>
      <c r="G74" s="163"/>
      <c r="H74" s="163"/>
      <c r="I74" s="163"/>
      <c r="J74" s="163" t="str">
        <f>IFERROR(__xludf.DUMMYFUNCTION("""COMPUTED_VALUE"""),"F")</f>
        <v>F</v>
      </c>
      <c r="K74" s="163" t="str">
        <f>IFERROR(__xludf.DUMMYFUNCTION("""COMPUTED_VALUE"""),"E")</f>
        <v>E</v>
      </c>
      <c r="L74" s="163">
        <f>IFERROR(__xludf.DUMMYFUNCTION("""COMPUTED_VALUE"""),67.5)</f>
        <v>67.5</v>
      </c>
      <c r="M74" s="163">
        <f>IFERROR(__xludf.DUMMYFUNCTION("""COMPUTED_VALUE"""),382.5)</f>
        <v>382.5</v>
      </c>
      <c r="N74" s="163"/>
      <c r="O74" s="164">
        <f t="array" ref="O74">INDEX('Best Lifts'!E$1:E$279,MATCH(1,($D74='Best Lifts'!$A:$A)*($E74='Best Lifts'!$B:$B),0))</f>
        <v>147.5</v>
      </c>
      <c r="P74" s="164">
        <f t="array" ref="P74">INDEX('Best Lifts'!F$1:F$279,MATCH(1,($D74='Best Lifts'!$A:$A)*($E74='Best Lifts'!$B:$B),0))</f>
        <v>87.5</v>
      </c>
      <c r="Q74" s="164">
        <f t="array" ref="Q74">INDEX('Best Lifts'!G$1:G$279,MATCH(1,($D74='Best Lifts'!$A:$A)*($E74='Best Lifts'!$B:$B),0))</f>
        <v>147.5</v>
      </c>
      <c r="R74" s="164">
        <f t="array" ref="R74">INDEX('Best Lifts'!H$1:H$279,MATCH(1,($D74='Best Lifts'!$A:$A)*($E74='Best Lifts'!$B:$B),0))</f>
        <v>382.5</v>
      </c>
      <c r="S74" s="164">
        <f t="array" ref="S74">INDEX('Best Lifts'!I$1:I$279,MATCH(1,($D74='Best Lifts'!$A:$A)*($E74='Best Lifts'!$B:$B),0))</f>
        <v>192.5</v>
      </c>
      <c r="T74" s="164">
        <f t="array" ref="T74">INDEX('Best Lifts'!J$1:J$279,MATCH(1,($D74='Best Lifts'!$A:$A)*($E74='Best Lifts'!$B:$B),0))</f>
        <v>100</v>
      </c>
      <c r="U74" s="164">
        <f t="array" ref="U74">INDEX('Best Lifts'!K$1:K$279,MATCH(1,($D74='Best Lifts'!$A:$A)*($E74='Best Lifts'!$B:$B),0))</f>
        <v>180</v>
      </c>
      <c r="V74" s="164">
        <f t="array" ref="V74">INDEX('Best Lifts'!L$1:L$279,MATCH(1,($D74='Best Lifts'!$A:$A)*($E74='Best Lifts'!$B:$B),0))</f>
        <v>472.5</v>
      </c>
      <c r="W74" s="164">
        <f t="shared" si="19"/>
        <v>472.5</v>
      </c>
      <c r="X74" s="165" t="str">
        <f t="array" ref="X74">INDEX('Best Lifts'!M$1:M$279,MATCH(1,($D74='Best Lifts'!$A:$A)*($E74='Best Lifts'!$B:$B),0))</f>
        <v/>
      </c>
    </row>
    <row r="75">
      <c r="A75" s="163">
        <f t="shared" si="16"/>
        <v>12</v>
      </c>
      <c r="B75" s="163">
        <f t="shared" si="17"/>
        <v>12</v>
      </c>
      <c r="C75" s="163"/>
      <c r="D75" s="163" t="str">
        <f>IFERROR(__xludf.DUMMYFUNCTION("""COMPUTED_VALUE"""),"Ledesma")</f>
        <v>Ledesma</v>
      </c>
      <c r="E75" s="163" t="str">
        <f>IFERROR(__xludf.DUMMYFUNCTION("""COMPUTED_VALUE"""),"Kristal")</f>
        <v>Kristal</v>
      </c>
      <c r="F75" s="163" t="str">
        <f>IFERROR(__xludf.DUMMYFUNCTION("""COMPUTED_VALUE"""),"2 - Fri")</f>
        <v>2 - Fri</v>
      </c>
      <c r="G75" s="163"/>
      <c r="H75" s="163"/>
      <c r="I75" s="163"/>
      <c r="J75" s="163" t="str">
        <f>IFERROR(__xludf.DUMMYFUNCTION("""COMPUTED_VALUE"""),"F")</f>
        <v>F</v>
      </c>
      <c r="K75" s="163" t="str">
        <f>IFERROR(__xludf.DUMMYFUNCTION("""COMPUTED_VALUE"""),"E")</f>
        <v>E</v>
      </c>
      <c r="L75" s="163">
        <f>IFERROR(__xludf.DUMMYFUNCTION("""COMPUTED_VALUE"""),67.5)</f>
        <v>67.5</v>
      </c>
      <c r="M75" s="163">
        <f>IFERROR(__xludf.DUMMYFUNCTION("""COMPUTED_VALUE"""),365.0)</f>
        <v>365</v>
      </c>
      <c r="N75" s="163"/>
      <c r="O75" s="164" t="str">
        <f t="array" ref="O75">INDEX('Best Lifts'!E$1:E$279,MATCH(1,($D75='Best Lifts'!$A:$A)*($E75='Best Lifts'!$B:$B),0))</f>
        <v>#N/A</v>
      </c>
      <c r="P75" s="164" t="str">
        <f t="array" ref="P75">INDEX('Best Lifts'!F$1:F$279,MATCH(1,($D75='Best Lifts'!$A:$A)*($E75='Best Lifts'!$B:$B),0))</f>
        <v/>
      </c>
      <c r="Q75" s="164" t="str">
        <f t="array" ref="Q75">INDEX('Best Lifts'!G$1:G$279,MATCH(1,($D75='Best Lifts'!$A:$A)*($E75='Best Lifts'!$B:$B),0))</f>
        <v/>
      </c>
      <c r="R75" s="164" t="str">
        <f t="array" ref="R75">INDEX('Best Lifts'!H$1:H$279,MATCH(1,($D75='Best Lifts'!$A:$A)*($E75='Best Lifts'!$B:$B),0))</f>
        <v/>
      </c>
      <c r="S75" s="164">
        <f t="array" ref="S75">INDEX('Best Lifts'!I$1:I$279,MATCH(1,($D75='Best Lifts'!$A:$A)*($E75='Best Lifts'!$B:$B),0))</f>
        <v>147.5</v>
      </c>
      <c r="T75" s="164">
        <f t="array" ref="T75">INDEX('Best Lifts'!J$1:J$279,MATCH(1,($D75='Best Lifts'!$A:$A)*($E75='Best Lifts'!$B:$B),0))</f>
        <v>65</v>
      </c>
      <c r="U75" s="164">
        <f t="array" ref="U75">INDEX('Best Lifts'!K$1:K$279,MATCH(1,($D75='Best Lifts'!$A:$A)*($E75='Best Lifts'!$B:$B),0))</f>
        <v>152.5</v>
      </c>
      <c r="V75" s="164">
        <f t="array" ref="V75">INDEX('Best Lifts'!L$1:L$279,MATCH(1,($D75='Best Lifts'!$A:$A)*($E75='Best Lifts'!$B:$B),0))</f>
        <v>365</v>
      </c>
      <c r="W75" s="164">
        <f t="shared" si="19"/>
        <v>365</v>
      </c>
      <c r="X75" s="165" t="str">
        <f t="array" ref="X75">INDEX('Best Lifts'!M$1:M$279,MATCH(1,($D75='Best Lifts'!$A:$A)*($E75='Best Lifts'!$B:$B),0))</f>
        <v/>
      </c>
    </row>
    <row r="76">
      <c r="A76" s="163">
        <f t="shared" si="16"/>
        <v>12</v>
      </c>
      <c r="B76" s="163">
        <f t="shared" si="17"/>
        <v>12</v>
      </c>
      <c r="C76" s="163"/>
      <c r="D76" s="163" t="str">
        <f>IFERROR(__xludf.DUMMYFUNCTION("""COMPUTED_VALUE"""),"Shupp")</f>
        <v>Shupp</v>
      </c>
      <c r="E76" s="163" t="str">
        <f>IFERROR(__xludf.DUMMYFUNCTION("""COMPUTED_VALUE"""),"Allison")</f>
        <v>Allison</v>
      </c>
      <c r="F76" s="163" t="str">
        <f>IFERROR(__xludf.DUMMYFUNCTION("""COMPUTED_VALUE"""),"2 - Fri")</f>
        <v>2 - Fri</v>
      </c>
      <c r="G76" s="163"/>
      <c r="H76" s="163"/>
      <c r="I76" s="163"/>
      <c r="J76" s="163" t="str">
        <f>IFERROR(__xludf.DUMMYFUNCTION("""COMPUTED_VALUE"""),"F")</f>
        <v>F</v>
      </c>
      <c r="K76" s="163" t="str">
        <f>IFERROR(__xludf.DUMMYFUNCTION("""COMPUTED_VALUE"""),"E")</f>
        <v>E</v>
      </c>
      <c r="L76" s="163">
        <f>IFERROR(__xludf.DUMMYFUNCTION("""COMPUTED_VALUE"""),67.5)</f>
        <v>67.5</v>
      </c>
      <c r="M76" s="163">
        <f>IFERROR(__xludf.DUMMYFUNCTION("""COMPUTED_VALUE"""),365.0)</f>
        <v>365</v>
      </c>
      <c r="N76" s="163"/>
      <c r="O76" s="164">
        <f t="array" ref="O76">INDEX('Best Lifts'!E$1:E$279,MATCH(1,($D76='Best Lifts'!$A:$A)*($E76='Best Lifts'!$B:$B),0))</f>
        <v>117.5</v>
      </c>
      <c r="P76" s="164">
        <f t="array" ref="P76">INDEX('Best Lifts'!F$1:F$279,MATCH(1,($D76='Best Lifts'!$A:$A)*($E76='Best Lifts'!$B:$B),0))</f>
        <v>72.5</v>
      </c>
      <c r="Q76" s="164">
        <f t="array" ref="Q76">INDEX('Best Lifts'!G$1:G$279,MATCH(1,($D76='Best Lifts'!$A:$A)*($E76='Best Lifts'!$B:$B),0))</f>
        <v>115</v>
      </c>
      <c r="R76" s="164">
        <f t="array" ref="R76">INDEX('Best Lifts'!H$1:H$279,MATCH(1,($D76='Best Lifts'!$A:$A)*($E76='Best Lifts'!$B:$B),0))</f>
        <v>305</v>
      </c>
      <c r="S76" s="164">
        <f t="array" ref="S76">INDEX('Best Lifts'!I$1:I$279,MATCH(1,($D76='Best Lifts'!$A:$A)*($E76='Best Lifts'!$B:$B),0))</f>
        <v>152.5</v>
      </c>
      <c r="T76" s="164">
        <f t="array" ref="T76">INDEX('Best Lifts'!J$1:J$279,MATCH(1,($D76='Best Lifts'!$A:$A)*($E76='Best Lifts'!$B:$B),0))</f>
        <v>82.5</v>
      </c>
      <c r="U76" s="164">
        <f t="array" ref="U76">INDEX('Best Lifts'!K$1:K$279,MATCH(1,($D76='Best Lifts'!$A:$A)*($E76='Best Lifts'!$B:$B),0))</f>
        <v>130</v>
      </c>
      <c r="V76" s="164">
        <f t="array" ref="V76">INDEX('Best Lifts'!L$1:L$279,MATCH(1,($D76='Best Lifts'!$A:$A)*($E76='Best Lifts'!$B:$B),0))</f>
        <v>365</v>
      </c>
      <c r="W76" s="164">
        <f t="shared" si="19"/>
        <v>365</v>
      </c>
      <c r="X76" s="165" t="str">
        <f t="array" ref="X76">INDEX('Best Lifts'!M$1:M$279,MATCH(1,($D76='Best Lifts'!$A:$A)*($E76='Best Lifts'!$B:$B),0))</f>
        <v/>
      </c>
    </row>
    <row r="77">
      <c r="A77" s="163">
        <f t="shared" si="16"/>
        <v>14</v>
      </c>
      <c r="B77" s="163">
        <f t="shared" si="17"/>
        <v>11</v>
      </c>
      <c r="C77" s="163"/>
      <c r="D77" s="163" t="str">
        <f>IFERROR(__xludf.DUMMYFUNCTION("""COMPUTED_VALUE"""),"Frazier")</f>
        <v>Frazier</v>
      </c>
      <c r="E77" s="163" t="str">
        <f>IFERROR(__xludf.DUMMYFUNCTION("""COMPUTED_VALUE"""),"Kendal")</f>
        <v>Kendal</v>
      </c>
      <c r="F77" s="163" t="str">
        <f>IFERROR(__xludf.DUMMYFUNCTION("""COMPUTED_VALUE"""),"2 - Fri")</f>
        <v>2 - Fri</v>
      </c>
      <c r="G77" s="163"/>
      <c r="H77" s="163"/>
      <c r="I77" s="163"/>
      <c r="J77" s="163" t="str">
        <f>IFERROR(__xludf.DUMMYFUNCTION("""COMPUTED_VALUE"""),"F")</f>
        <v>F</v>
      </c>
      <c r="K77" s="163" t="str">
        <f>IFERROR(__xludf.DUMMYFUNCTION("""COMPUTED_VALUE"""),"E")</f>
        <v>E</v>
      </c>
      <c r="L77" s="163">
        <f>IFERROR(__xludf.DUMMYFUNCTION("""COMPUTED_VALUE"""),67.5)</f>
        <v>67.5</v>
      </c>
      <c r="M77" s="163">
        <f>IFERROR(__xludf.DUMMYFUNCTION("""COMPUTED_VALUE"""),362.5)</f>
        <v>362.5</v>
      </c>
      <c r="N77" s="163"/>
      <c r="O77" s="164" t="str">
        <f t="array" ref="O77">INDEX('Best Lifts'!E$1:E$279,MATCH(1,($D77='Best Lifts'!$A:$A)*($E77='Best Lifts'!$B:$B),0))</f>
        <v>#N/A</v>
      </c>
      <c r="P77" s="164" t="str">
        <f t="array" ref="P77">INDEX('Best Lifts'!F$1:F$279,MATCH(1,($D77='Best Lifts'!$A:$A)*($E77='Best Lifts'!$B:$B),0))</f>
        <v/>
      </c>
      <c r="Q77" s="164" t="str">
        <f t="array" ref="Q77">INDEX('Best Lifts'!G$1:G$279,MATCH(1,($D77='Best Lifts'!$A:$A)*($E77='Best Lifts'!$B:$B),0))</f>
        <v/>
      </c>
      <c r="R77" s="164" t="str">
        <f t="array" ref="R77">INDEX('Best Lifts'!H$1:H$279,MATCH(1,($D77='Best Lifts'!$A:$A)*($E77='Best Lifts'!$B:$B),0))</f>
        <v/>
      </c>
      <c r="S77" s="164">
        <f t="array" ref="S77">INDEX('Best Lifts'!I$1:I$279,MATCH(1,($D77='Best Lifts'!$A:$A)*($E77='Best Lifts'!$B:$B),0))</f>
        <v>157.5</v>
      </c>
      <c r="T77" s="164">
        <f t="array" ref="T77">INDEX('Best Lifts'!J$1:J$279,MATCH(1,($D77='Best Lifts'!$A:$A)*($E77='Best Lifts'!$B:$B),0))</f>
        <v>72.5</v>
      </c>
      <c r="U77" s="164">
        <f t="array" ref="U77">INDEX('Best Lifts'!K$1:K$279,MATCH(1,($D77='Best Lifts'!$A:$A)*($E77='Best Lifts'!$B:$B),0))</f>
        <v>137.5</v>
      </c>
      <c r="V77" s="164">
        <f t="array" ref="V77">INDEX('Best Lifts'!L$1:L$279,MATCH(1,($D77='Best Lifts'!$A:$A)*($E77='Best Lifts'!$B:$B),0))</f>
        <v>362.5</v>
      </c>
      <c r="W77" s="164">
        <f t="shared" si="19"/>
        <v>367.5</v>
      </c>
      <c r="X77" s="165" t="str">
        <f t="array" ref="X77">INDEX('Best Lifts'!M$1:M$279,MATCH(1,($D77='Best Lifts'!$A:$A)*($E77='Best Lifts'!$B:$B),0))</f>
        <v/>
      </c>
    </row>
    <row r="78">
      <c r="A78" s="163">
        <f t="shared" si="16"/>
        <v>14</v>
      </c>
      <c r="B78" s="163">
        <f t="shared" si="17"/>
        <v>18</v>
      </c>
      <c r="C78" s="163"/>
      <c r="D78" s="163" t="str">
        <f>IFERROR(__xludf.DUMMYFUNCTION("""COMPUTED_VALUE"""),"Mandala")</f>
        <v>Mandala</v>
      </c>
      <c r="E78" s="163" t="str">
        <f>IFERROR(__xludf.DUMMYFUNCTION("""COMPUTED_VALUE"""),"Jaya")</f>
        <v>Jaya</v>
      </c>
      <c r="F78" s="163" t="str">
        <f>IFERROR(__xludf.DUMMYFUNCTION("""COMPUTED_VALUE"""),"2 - Fri")</f>
        <v>2 - Fri</v>
      </c>
      <c r="G78" s="163"/>
      <c r="H78" s="163"/>
      <c r="I78" s="163"/>
      <c r="J78" s="163" t="str">
        <f>IFERROR(__xludf.DUMMYFUNCTION("""COMPUTED_VALUE"""),"F")</f>
        <v>F</v>
      </c>
      <c r="K78" s="163" t="str">
        <f>IFERROR(__xludf.DUMMYFUNCTION("""COMPUTED_VALUE"""),"E")</f>
        <v>E</v>
      </c>
      <c r="L78" s="163">
        <f>IFERROR(__xludf.DUMMYFUNCTION("""COMPUTED_VALUE"""),67.5)</f>
        <v>67.5</v>
      </c>
      <c r="M78" s="163">
        <f>IFERROR(__xludf.DUMMYFUNCTION("""COMPUTED_VALUE"""),362.5)</f>
        <v>362.5</v>
      </c>
      <c r="N78" s="163"/>
      <c r="O78" s="164">
        <f t="array" ref="O78">INDEX('Best Lifts'!E$1:E$279,MATCH(1,($D78='Best Lifts'!$A:$A)*($E78='Best Lifts'!$B:$B),0))</f>
        <v>115</v>
      </c>
      <c r="P78" s="164">
        <f t="array" ref="P78">INDEX('Best Lifts'!F$1:F$279,MATCH(1,($D78='Best Lifts'!$A:$A)*($E78='Best Lifts'!$B:$B),0))</f>
        <v>72.5</v>
      </c>
      <c r="Q78" s="164">
        <f t="array" ref="Q78">INDEX('Best Lifts'!G$1:G$279,MATCH(1,($D78='Best Lifts'!$A:$A)*($E78='Best Lifts'!$B:$B),0))</f>
        <v>175</v>
      </c>
      <c r="R78" s="164">
        <f t="array" ref="R78">INDEX('Best Lifts'!H$1:H$279,MATCH(1,($D78='Best Lifts'!$A:$A)*($E78='Best Lifts'!$B:$B),0))</f>
        <v>362.5</v>
      </c>
      <c r="S78" s="164" t="str">
        <f t="array" ref="S78">INDEX('Best Lifts'!I$1:I$279,MATCH(1,($D78='Best Lifts'!$A:$A)*($E78='Best Lifts'!$B:$B),0))</f>
        <v>#N/A</v>
      </c>
      <c r="T78" s="164" t="str">
        <f t="array" ref="T78">INDEX('Best Lifts'!J$1:J$279,MATCH(1,($D78='Best Lifts'!$A:$A)*($E78='Best Lifts'!$B:$B),0))</f>
        <v/>
      </c>
      <c r="U78" s="164" t="str">
        <f t="array" ref="U78">INDEX('Best Lifts'!K$1:K$279,MATCH(1,($D78='Best Lifts'!$A:$A)*($E78='Best Lifts'!$B:$B),0))</f>
        <v/>
      </c>
      <c r="V78" s="164" t="str">
        <f t="array" ref="V78">INDEX('Best Lifts'!L$1:L$279,MATCH(1,($D78='Best Lifts'!$A:$A)*($E78='Best Lifts'!$B:$B),0))</f>
        <v/>
      </c>
      <c r="W78" s="164">
        <f t="shared" si="19"/>
        <v>0</v>
      </c>
      <c r="X78" s="165" t="str">
        <f t="array" ref="X78">INDEX('Best Lifts'!M$1:M$279,MATCH(1,($D78='Best Lifts'!$A:$A)*($E78='Best Lifts'!$B:$B),0))</f>
        <v/>
      </c>
    </row>
    <row r="79">
      <c r="A79" s="163">
        <f t="shared" si="16"/>
        <v>16</v>
      </c>
      <c r="B79" s="163">
        <f t="shared" si="17"/>
        <v>14</v>
      </c>
      <c r="C79" s="163"/>
      <c r="D79" s="163" t="str">
        <f>IFERROR(__xludf.DUMMYFUNCTION("""COMPUTED_VALUE"""),"Quintanilla")</f>
        <v>Quintanilla</v>
      </c>
      <c r="E79" s="163" t="str">
        <f>IFERROR(__xludf.DUMMYFUNCTION("""COMPUTED_VALUE"""),"Karli")</f>
        <v>Karli</v>
      </c>
      <c r="F79" s="163" t="str">
        <f>IFERROR(__xludf.DUMMYFUNCTION("""COMPUTED_VALUE"""),"2 - Fri")</f>
        <v>2 - Fri</v>
      </c>
      <c r="G79" s="163"/>
      <c r="H79" s="163"/>
      <c r="I79" s="163"/>
      <c r="J79" s="163" t="str">
        <f>IFERROR(__xludf.DUMMYFUNCTION("""COMPUTED_VALUE"""),"F")</f>
        <v>F</v>
      </c>
      <c r="K79" s="163" t="str">
        <f>IFERROR(__xludf.DUMMYFUNCTION("""COMPUTED_VALUE"""),"E")</f>
        <v>E</v>
      </c>
      <c r="L79" s="163">
        <f>IFERROR(__xludf.DUMMYFUNCTION("""COMPUTED_VALUE"""),67.5)</f>
        <v>67.5</v>
      </c>
      <c r="M79" s="163">
        <f>IFERROR(__xludf.DUMMYFUNCTION("""COMPUTED_VALUE"""),360.0)</f>
        <v>360</v>
      </c>
      <c r="N79" s="163"/>
      <c r="O79" s="164" t="str">
        <f t="array" ref="O79">INDEX('Best Lifts'!E$1:E$279,MATCH(1,($D79='Best Lifts'!$A:$A)*($E79='Best Lifts'!$B:$B),0))</f>
        <v>#N/A</v>
      </c>
      <c r="P79" s="164" t="str">
        <f t="array" ref="P79">INDEX('Best Lifts'!F$1:F$279,MATCH(1,($D79='Best Lifts'!$A:$A)*($E79='Best Lifts'!$B:$B),0))</f>
        <v/>
      </c>
      <c r="Q79" s="164" t="str">
        <f t="array" ref="Q79">INDEX('Best Lifts'!G$1:G$279,MATCH(1,($D79='Best Lifts'!$A:$A)*($E79='Best Lifts'!$B:$B),0))</f>
        <v/>
      </c>
      <c r="R79" s="164" t="str">
        <f t="array" ref="R79">INDEX('Best Lifts'!H$1:H$279,MATCH(1,($D79='Best Lifts'!$A:$A)*($E79='Best Lifts'!$B:$B),0))</f>
        <v/>
      </c>
      <c r="S79" s="164">
        <f t="array" ref="S79">INDEX('Best Lifts'!I$1:I$279,MATCH(1,($D79='Best Lifts'!$A:$A)*($E79='Best Lifts'!$B:$B),0))</f>
        <v>145</v>
      </c>
      <c r="T79" s="164">
        <f t="array" ref="T79">INDEX('Best Lifts'!J$1:J$279,MATCH(1,($D79='Best Lifts'!$A:$A)*($E79='Best Lifts'!$B:$B),0))</f>
        <v>77.5</v>
      </c>
      <c r="U79" s="164">
        <f t="array" ref="U79">INDEX('Best Lifts'!K$1:K$279,MATCH(1,($D79='Best Lifts'!$A:$A)*($E79='Best Lifts'!$B:$B),0))</f>
        <v>137.5</v>
      </c>
      <c r="V79" s="164">
        <f t="array" ref="V79">INDEX('Best Lifts'!L$1:L$279,MATCH(1,($D79='Best Lifts'!$A:$A)*($E79='Best Lifts'!$B:$B),0))</f>
        <v>360</v>
      </c>
      <c r="W79" s="164">
        <f t="shared" si="19"/>
        <v>360</v>
      </c>
      <c r="X79" s="165" t="str">
        <f t="array" ref="X79">INDEX('Best Lifts'!M$1:M$279,MATCH(1,($D79='Best Lifts'!$A:$A)*($E79='Best Lifts'!$B:$B),0))</f>
        <v/>
      </c>
    </row>
    <row r="80">
      <c r="A80" s="163">
        <f t="shared" si="16"/>
        <v>17</v>
      </c>
      <c r="B80" s="163">
        <f t="shared" si="17"/>
        <v>18</v>
      </c>
      <c r="C80" s="163"/>
      <c r="D80" s="163" t="str">
        <f>IFERROR(__xludf.DUMMYFUNCTION("""COMPUTED_VALUE"""),"Delarosa")</f>
        <v>Delarosa</v>
      </c>
      <c r="E80" s="163" t="str">
        <f>IFERROR(__xludf.DUMMYFUNCTION("""COMPUTED_VALUE"""),"Dominique")</f>
        <v>Dominique</v>
      </c>
      <c r="F80" s="163" t="str">
        <f>IFERROR(__xludf.DUMMYFUNCTION("""COMPUTED_VALUE"""),"2 - Fri")</f>
        <v>2 - Fri</v>
      </c>
      <c r="G80" s="163"/>
      <c r="H80" s="163"/>
      <c r="I80" s="163"/>
      <c r="J80" s="163" t="str">
        <f>IFERROR(__xludf.DUMMYFUNCTION("""COMPUTED_VALUE"""),"F")</f>
        <v>F</v>
      </c>
      <c r="K80" s="163" t="str">
        <f>IFERROR(__xludf.DUMMYFUNCTION("""COMPUTED_VALUE"""),"E")</f>
        <v>E</v>
      </c>
      <c r="L80" s="163">
        <f>IFERROR(__xludf.DUMMYFUNCTION("""COMPUTED_VALUE"""),67.5)</f>
        <v>67.5</v>
      </c>
      <c r="M80" s="163">
        <f>IFERROR(__xludf.DUMMYFUNCTION("""COMPUTED_VALUE"""),352.5)</f>
        <v>352.5</v>
      </c>
      <c r="N80" s="163"/>
      <c r="O80" s="164" t="str">
        <f t="array" ref="O80">INDEX('Best Lifts'!E$1:E$279,MATCH(1,($D80='Best Lifts'!$A:$A)*($E80='Best Lifts'!$B:$B),0))</f>
        <v>#N/A</v>
      </c>
      <c r="P80" s="164" t="str">
        <f t="array" ref="P80">INDEX('Best Lifts'!F$1:F$279,MATCH(1,($D80='Best Lifts'!$A:$A)*($E80='Best Lifts'!$B:$B),0))</f>
        <v/>
      </c>
      <c r="Q80" s="164" t="str">
        <f t="array" ref="Q80">INDEX('Best Lifts'!G$1:G$279,MATCH(1,($D80='Best Lifts'!$A:$A)*($E80='Best Lifts'!$B:$B),0))</f>
        <v/>
      </c>
      <c r="R80" s="164" t="str">
        <f t="array" ref="R80">INDEX('Best Lifts'!H$1:H$279,MATCH(1,($D80='Best Lifts'!$A:$A)*($E80='Best Lifts'!$B:$B),0))</f>
        <v/>
      </c>
      <c r="S80" s="164" t="str">
        <f t="array" ref="S80">INDEX('Best Lifts'!I$1:I$279,MATCH(1,($D80='Best Lifts'!$A:$A)*($E80='Best Lifts'!$B:$B),0))</f>
        <v>#N/A</v>
      </c>
      <c r="T80" s="164" t="str">
        <f t="array" ref="T80">INDEX('Best Lifts'!J$1:J$279,MATCH(1,($D80='Best Lifts'!$A:$A)*($E80='Best Lifts'!$B:$B),0))</f>
        <v/>
      </c>
      <c r="U80" s="164" t="str">
        <f t="array" ref="U80">INDEX('Best Lifts'!K$1:K$279,MATCH(1,($D80='Best Lifts'!$A:$A)*($E80='Best Lifts'!$B:$B),0))</f>
        <v/>
      </c>
      <c r="V80" s="164" t="str">
        <f t="array" ref="V80">INDEX('Best Lifts'!L$1:L$279,MATCH(1,($D80='Best Lifts'!$A:$A)*($E80='Best Lifts'!$B:$B),0))</f>
        <v/>
      </c>
      <c r="W80" s="164">
        <f t="shared" si="19"/>
        <v>0</v>
      </c>
      <c r="X80" s="165" t="str">
        <f t="array" ref="X80">INDEX('Best Lifts'!M$1:M$279,MATCH(1,($D80='Best Lifts'!$A:$A)*($E80='Best Lifts'!$B:$B),0))</f>
        <v/>
      </c>
    </row>
    <row r="81">
      <c r="A81" s="163">
        <f t="shared" si="16"/>
        <v>18</v>
      </c>
      <c r="B81" s="163">
        <f t="shared" si="17"/>
        <v>18</v>
      </c>
      <c r="C81" s="163"/>
      <c r="D81" s="163" t="str">
        <f>IFERROR(__xludf.DUMMYFUNCTION("""COMPUTED_VALUE"""),"Gomez")</f>
        <v>Gomez</v>
      </c>
      <c r="E81" s="163" t="str">
        <f>IFERROR(__xludf.DUMMYFUNCTION("""COMPUTED_VALUE"""),"Lauren")</f>
        <v>Lauren</v>
      </c>
      <c r="F81" s="163" t="str">
        <f>IFERROR(__xludf.DUMMYFUNCTION("""COMPUTED_VALUE"""),"2 - Fri")</f>
        <v>2 - Fri</v>
      </c>
      <c r="G81" s="163"/>
      <c r="H81" s="163"/>
      <c r="I81" s="163"/>
      <c r="J81" s="163" t="str">
        <f>IFERROR(__xludf.DUMMYFUNCTION("""COMPUTED_VALUE"""),"F")</f>
        <v>F</v>
      </c>
      <c r="K81" s="163" t="str">
        <f>IFERROR(__xludf.DUMMYFUNCTION("""COMPUTED_VALUE"""),"E")</f>
        <v>E</v>
      </c>
      <c r="L81" s="163">
        <f>IFERROR(__xludf.DUMMYFUNCTION("""COMPUTED_VALUE"""),67.5)</f>
        <v>67.5</v>
      </c>
      <c r="M81" s="163">
        <f>IFERROR(__xludf.DUMMYFUNCTION("""COMPUTED_VALUE"""),350.0)</f>
        <v>350</v>
      </c>
      <c r="N81" s="163"/>
      <c r="O81" s="164">
        <f t="array" ref="O81">INDEX('Best Lifts'!E$1:E$279,MATCH(1,($D81='Best Lifts'!$A:$A)*($E81='Best Lifts'!$B:$B),0))</f>
        <v>135</v>
      </c>
      <c r="P81" s="164">
        <f t="array" ref="P81">INDEX('Best Lifts'!F$1:F$279,MATCH(1,($D81='Best Lifts'!$A:$A)*($E81='Best Lifts'!$B:$B),0))</f>
        <v>65</v>
      </c>
      <c r="Q81" s="164">
        <f t="array" ref="Q81">INDEX('Best Lifts'!G$1:G$279,MATCH(1,($D81='Best Lifts'!$A:$A)*($E81='Best Lifts'!$B:$B),0))</f>
        <v>150</v>
      </c>
      <c r="R81" s="164">
        <f t="array" ref="R81">INDEX('Best Lifts'!H$1:H$279,MATCH(1,($D81='Best Lifts'!$A:$A)*($E81='Best Lifts'!$B:$B),0))</f>
        <v>350</v>
      </c>
      <c r="S81" s="164" t="str">
        <f t="array" ref="S81">INDEX('Best Lifts'!I$1:I$279,MATCH(1,($D81='Best Lifts'!$A:$A)*($E81='Best Lifts'!$B:$B),0))</f>
        <v>#N/A</v>
      </c>
      <c r="T81" s="164" t="str">
        <f t="array" ref="T81">INDEX('Best Lifts'!J$1:J$279,MATCH(1,($D81='Best Lifts'!$A:$A)*($E81='Best Lifts'!$B:$B),0))</f>
        <v/>
      </c>
      <c r="U81" s="164" t="str">
        <f t="array" ref="U81">INDEX('Best Lifts'!K$1:K$279,MATCH(1,($D81='Best Lifts'!$A:$A)*($E81='Best Lifts'!$B:$B),0))</f>
        <v/>
      </c>
      <c r="V81" s="164" t="str">
        <f t="array" ref="V81">INDEX('Best Lifts'!L$1:L$279,MATCH(1,($D81='Best Lifts'!$A:$A)*($E81='Best Lifts'!$B:$B),0))</f>
        <v/>
      </c>
      <c r="W81" s="164">
        <f t="shared" si="19"/>
        <v>0</v>
      </c>
      <c r="X81" s="165" t="str">
        <f t="array" ref="X81">INDEX('Best Lifts'!M$1:M$279,MATCH(1,($D81='Best Lifts'!$A:$A)*($E81='Best Lifts'!$B:$B),0))</f>
        <v/>
      </c>
    </row>
    <row r="82">
      <c r="A82" s="163">
        <f t="shared" si="16"/>
        <v>19</v>
      </c>
      <c r="B82" s="163">
        <f t="shared" si="17"/>
        <v>18</v>
      </c>
      <c r="C82" s="163"/>
      <c r="D82" s="163" t="str">
        <f>IFERROR(__xludf.DUMMYFUNCTION("""COMPUTED_VALUE"""),"Wang")</f>
        <v>Wang</v>
      </c>
      <c r="E82" s="163" t="str">
        <f>IFERROR(__xludf.DUMMYFUNCTION("""COMPUTED_VALUE"""),"Jennie")</f>
        <v>Jennie</v>
      </c>
      <c r="F82" s="163" t="str">
        <f>IFERROR(__xludf.DUMMYFUNCTION("""COMPUTED_VALUE"""),"2 - Fri")</f>
        <v>2 - Fri</v>
      </c>
      <c r="G82" s="163"/>
      <c r="H82" s="163"/>
      <c r="I82" s="163"/>
      <c r="J82" s="163" t="str">
        <f>IFERROR(__xludf.DUMMYFUNCTION("""COMPUTED_VALUE"""),"F")</f>
        <v>F</v>
      </c>
      <c r="K82" s="163" t="str">
        <f>IFERROR(__xludf.DUMMYFUNCTION("""COMPUTED_VALUE"""),"E")</f>
        <v>E</v>
      </c>
      <c r="L82" s="163">
        <f>IFERROR(__xludf.DUMMYFUNCTION("""COMPUTED_VALUE"""),67.5)</f>
        <v>67.5</v>
      </c>
      <c r="M82" s="163">
        <f>IFERROR(__xludf.DUMMYFUNCTION("""COMPUTED_VALUE"""),342.5)</f>
        <v>342.5</v>
      </c>
      <c r="N82" s="163"/>
      <c r="O82" s="164">
        <f t="array" ref="O82">INDEX('Best Lifts'!E$1:E$279,MATCH(1,($D82='Best Lifts'!$A:$A)*($E82='Best Lifts'!$B:$B),0))</f>
        <v>112.5</v>
      </c>
      <c r="P82" s="164">
        <f t="array" ref="P82">INDEX('Best Lifts'!F$1:F$279,MATCH(1,($D82='Best Lifts'!$A:$A)*($E82='Best Lifts'!$B:$B),0))</f>
        <v>62.5</v>
      </c>
      <c r="Q82" s="164">
        <f t="array" ref="Q82">INDEX('Best Lifts'!G$1:G$279,MATCH(1,($D82='Best Lifts'!$A:$A)*($E82='Best Lifts'!$B:$B),0))</f>
        <v>167.5</v>
      </c>
      <c r="R82" s="164">
        <f t="array" ref="R82">INDEX('Best Lifts'!H$1:H$279,MATCH(1,($D82='Best Lifts'!$A:$A)*($E82='Best Lifts'!$B:$B),0))</f>
        <v>342.5</v>
      </c>
      <c r="S82" s="164" t="str">
        <f t="array" ref="S82">INDEX('Best Lifts'!I$1:I$279,MATCH(1,($D82='Best Lifts'!$A:$A)*($E82='Best Lifts'!$B:$B),0))</f>
        <v>#N/A</v>
      </c>
      <c r="T82" s="164" t="str">
        <f t="array" ref="T82">INDEX('Best Lifts'!J$1:J$279,MATCH(1,($D82='Best Lifts'!$A:$A)*($E82='Best Lifts'!$B:$B),0))</f>
        <v/>
      </c>
      <c r="U82" s="164" t="str">
        <f t="array" ref="U82">INDEX('Best Lifts'!K$1:K$279,MATCH(1,($D82='Best Lifts'!$A:$A)*($E82='Best Lifts'!$B:$B),0))</f>
        <v/>
      </c>
      <c r="V82" s="164" t="str">
        <f t="array" ref="V82">INDEX('Best Lifts'!L$1:L$279,MATCH(1,($D82='Best Lifts'!$A:$A)*($E82='Best Lifts'!$B:$B),0))</f>
        <v/>
      </c>
      <c r="W82" s="164">
        <f t="shared" si="19"/>
        <v>0</v>
      </c>
      <c r="X82" s="165" t="str">
        <f t="array" ref="X82">INDEX('Best Lifts'!M$1:M$279,MATCH(1,($D82='Best Lifts'!$A:$A)*($E82='Best Lifts'!$B:$B),0))</f>
        <v/>
      </c>
    </row>
    <row r="83">
      <c r="A83" s="163">
        <f t="shared" si="16"/>
        <v>20</v>
      </c>
      <c r="B83" s="163">
        <f t="shared" si="17"/>
        <v>15</v>
      </c>
      <c r="C83" s="163"/>
      <c r="D83" s="163" t="str">
        <f>IFERROR(__xludf.DUMMYFUNCTION("""COMPUTED_VALUE"""),"Licea")</f>
        <v>Licea</v>
      </c>
      <c r="E83" s="163" t="str">
        <f>IFERROR(__xludf.DUMMYFUNCTION("""COMPUTED_VALUE"""),"Alexandria")</f>
        <v>Alexandria</v>
      </c>
      <c r="F83" s="163" t="str">
        <f>IFERROR(__xludf.DUMMYFUNCTION("""COMPUTED_VALUE"""),"2 - Fri")</f>
        <v>2 - Fri</v>
      </c>
      <c r="G83" s="163"/>
      <c r="H83" s="163"/>
      <c r="I83" s="163"/>
      <c r="J83" s="163" t="str">
        <f>IFERROR(__xludf.DUMMYFUNCTION("""COMPUTED_VALUE"""),"F")</f>
        <v>F</v>
      </c>
      <c r="K83" s="163" t="str">
        <f>IFERROR(__xludf.DUMMYFUNCTION("""COMPUTED_VALUE"""),"E")</f>
        <v>E</v>
      </c>
      <c r="L83" s="163">
        <f>IFERROR(__xludf.DUMMYFUNCTION("""COMPUTED_VALUE"""),67.5)</f>
        <v>67.5</v>
      </c>
      <c r="M83" s="163">
        <f>IFERROR(__xludf.DUMMYFUNCTION("""COMPUTED_VALUE"""),340.0)</f>
        <v>340</v>
      </c>
      <c r="N83" s="163"/>
      <c r="O83" s="164" t="str">
        <f t="array" ref="O83">INDEX('Best Lifts'!E$1:E$279,MATCH(1,($D83='Best Lifts'!$A:$A)*($E83='Best Lifts'!$B:$B),0))</f>
        <v>#N/A</v>
      </c>
      <c r="P83" s="164" t="str">
        <f t="array" ref="P83">INDEX('Best Lifts'!F$1:F$279,MATCH(1,($D83='Best Lifts'!$A:$A)*($E83='Best Lifts'!$B:$B),0))</f>
        <v/>
      </c>
      <c r="Q83" s="164" t="str">
        <f t="array" ref="Q83">INDEX('Best Lifts'!G$1:G$279,MATCH(1,($D83='Best Lifts'!$A:$A)*($E83='Best Lifts'!$B:$B),0))</f>
        <v/>
      </c>
      <c r="R83" s="164" t="str">
        <f t="array" ref="R83">INDEX('Best Lifts'!H$1:H$279,MATCH(1,($D83='Best Lifts'!$A:$A)*($E83='Best Lifts'!$B:$B),0))</f>
        <v/>
      </c>
      <c r="S83" s="164">
        <f t="array" ref="S83">INDEX('Best Lifts'!I$1:I$279,MATCH(1,($D83='Best Lifts'!$A:$A)*($E83='Best Lifts'!$B:$B),0))</f>
        <v>137.5</v>
      </c>
      <c r="T83" s="164">
        <f t="array" ref="T83">INDEX('Best Lifts'!J$1:J$279,MATCH(1,($D83='Best Lifts'!$A:$A)*($E83='Best Lifts'!$B:$B),0))</f>
        <v>77.5</v>
      </c>
      <c r="U83" s="164">
        <f t="array" ref="U83">INDEX('Best Lifts'!K$1:K$279,MATCH(1,($D83='Best Lifts'!$A:$A)*($E83='Best Lifts'!$B:$B),0))</f>
        <v>125</v>
      </c>
      <c r="V83" s="164">
        <f t="array" ref="V83">INDEX('Best Lifts'!L$1:L$279,MATCH(1,($D83='Best Lifts'!$A:$A)*($E83='Best Lifts'!$B:$B),0))</f>
        <v>340</v>
      </c>
      <c r="W83" s="164">
        <f t="shared" si="19"/>
        <v>340</v>
      </c>
      <c r="X83" s="165" t="str">
        <f t="array" ref="X83">INDEX('Best Lifts'!M$1:M$279,MATCH(1,($D83='Best Lifts'!$A:$A)*($E83='Best Lifts'!$B:$B),0))</f>
        <v/>
      </c>
    </row>
    <row r="84">
      <c r="A84" s="163">
        <f t="shared" si="16"/>
        <v>21</v>
      </c>
      <c r="B84" s="163">
        <f t="shared" si="17"/>
        <v>16</v>
      </c>
      <c r="C84" s="163"/>
      <c r="D84" s="163" t="str">
        <f>IFERROR(__xludf.DUMMYFUNCTION("""COMPUTED_VALUE"""),"Lopez")</f>
        <v>Lopez</v>
      </c>
      <c r="E84" s="163" t="str">
        <f>IFERROR(__xludf.DUMMYFUNCTION("""COMPUTED_VALUE"""),"Isabella")</f>
        <v>Isabella</v>
      </c>
      <c r="F84" s="163" t="str">
        <f>IFERROR(__xludf.DUMMYFUNCTION("""COMPUTED_VALUE"""),"2 - Fri")</f>
        <v>2 - Fri</v>
      </c>
      <c r="G84" s="163"/>
      <c r="H84" s="163"/>
      <c r="I84" s="163"/>
      <c r="J84" s="163" t="str">
        <f>IFERROR(__xludf.DUMMYFUNCTION("""COMPUTED_VALUE"""),"F")</f>
        <v>F</v>
      </c>
      <c r="K84" s="163" t="str">
        <f>IFERROR(__xludf.DUMMYFUNCTION("""COMPUTED_VALUE"""),"E")</f>
        <v>E</v>
      </c>
      <c r="L84" s="163">
        <f>IFERROR(__xludf.DUMMYFUNCTION("""COMPUTED_VALUE"""),67.5)</f>
        <v>67.5</v>
      </c>
      <c r="M84" s="163">
        <f>IFERROR(__xludf.DUMMYFUNCTION("""COMPUTED_VALUE"""),317.5)</f>
        <v>317.5</v>
      </c>
      <c r="N84" s="163"/>
      <c r="O84" s="164" t="str">
        <f t="array" ref="O84">INDEX('Best Lifts'!E$1:E$279,MATCH(1,($D84='Best Lifts'!$A:$A)*($E84='Best Lifts'!$B:$B),0))</f>
        <v>#N/A</v>
      </c>
      <c r="P84" s="164" t="str">
        <f t="array" ref="P84">INDEX('Best Lifts'!F$1:F$279,MATCH(1,($D84='Best Lifts'!$A:$A)*($E84='Best Lifts'!$B:$B),0))</f>
        <v/>
      </c>
      <c r="Q84" s="164" t="str">
        <f t="array" ref="Q84">INDEX('Best Lifts'!G$1:G$279,MATCH(1,($D84='Best Lifts'!$A:$A)*($E84='Best Lifts'!$B:$B),0))</f>
        <v/>
      </c>
      <c r="R84" s="164" t="str">
        <f t="array" ref="R84">INDEX('Best Lifts'!H$1:H$279,MATCH(1,($D84='Best Lifts'!$A:$A)*($E84='Best Lifts'!$B:$B),0))</f>
        <v/>
      </c>
      <c r="S84" s="164">
        <f t="array" ref="S84">INDEX('Best Lifts'!I$1:I$279,MATCH(1,($D84='Best Lifts'!$A:$A)*($E84='Best Lifts'!$B:$B),0))</f>
        <v>125</v>
      </c>
      <c r="T84" s="164">
        <f t="array" ref="T84">INDEX('Best Lifts'!J$1:J$279,MATCH(1,($D84='Best Lifts'!$A:$A)*($E84='Best Lifts'!$B:$B),0))</f>
        <v>61.2</v>
      </c>
      <c r="U84" s="164">
        <f t="array" ref="U84">INDEX('Best Lifts'!K$1:K$279,MATCH(1,($D84='Best Lifts'!$A:$A)*($E84='Best Lifts'!$B:$B),0))</f>
        <v>142.8</v>
      </c>
      <c r="V84" s="164">
        <f t="array" ref="V84">INDEX('Best Lifts'!L$1:L$279,MATCH(1,($D84='Best Lifts'!$A:$A)*($E84='Best Lifts'!$B:$B),0))</f>
        <v>319.7</v>
      </c>
      <c r="W84" s="164">
        <f t="shared" si="19"/>
        <v>329</v>
      </c>
      <c r="X84" s="165" t="str">
        <f t="array" ref="X84">INDEX('Best Lifts'!M$1:M$279,MATCH(1,($D84='Best Lifts'!$A:$A)*($E84='Best Lifts'!$B:$B),0))</f>
        <v/>
      </c>
    </row>
    <row r="85">
      <c r="A85" s="163">
        <f t="shared" si="16"/>
        <v>22</v>
      </c>
      <c r="B85" s="163">
        <f t="shared" si="17"/>
        <v>17</v>
      </c>
      <c r="C85" s="163"/>
      <c r="D85" s="163" t="str">
        <f>IFERROR(__xludf.DUMMYFUNCTION("""COMPUTED_VALUE"""),"Buchbinder")</f>
        <v>Buchbinder</v>
      </c>
      <c r="E85" s="163" t="str">
        <f>IFERROR(__xludf.DUMMYFUNCTION("""COMPUTED_VALUE"""),"Julie")</f>
        <v>Julie</v>
      </c>
      <c r="F85" s="163" t="str">
        <f>IFERROR(__xludf.DUMMYFUNCTION("""COMPUTED_VALUE"""),"2 - Fri")</f>
        <v>2 - Fri</v>
      </c>
      <c r="G85" s="163"/>
      <c r="H85" s="163"/>
      <c r="I85" s="163"/>
      <c r="J85" s="163" t="str">
        <f>IFERROR(__xludf.DUMMYFUNCTION("""COMPUTED_VALUE"""),"F")</f>
        <v>F</v>
      </c>
      <c r="K85" s="163" t="str">
        <f>IFERROR(__xludf.DUMMYFUNCTION("""COMPUTED_VALUE"""),"E")</f>
        <v>E</v>
      </c>
      <c r="L85" s="163">
        <f>IFERROR(__xludf.DUMMYFUNCTION("""COMPUTED_VALUE"""),67.5)</f>
        <v>67.5</v>
      </c>
      <c r="M85" s="163">
        <f>IFERROR(__xludf.DUMMYFUNCTION("""COMPUTED_VALUE"""),315.0)</f>
        <v>315</v>
      </c>
      <c r="N85" s="163"/>
      <c r="O85" s="164">
        <f t="array" ref="O85">INDEX('Best Lifts'!E$1:E$279,MATCH(1,($D85='Best Lifts'!$A:$A)*($E85='Best Lifts'!$B:$B),0))</f>
        <v>107.5</v>
      </c>
      <c r="P85" s="164">
        <f t="array" ref="P85">INDEX('Best Lifts'!F$1:F$279,MATCH(1,($D85='Best Lifts'!$A:$A)*($E85='Best Lifts'!$B:$B),0))</f>
        <v>65</v>
      </c>
      <c r="Q85" s="164">
        <f t="array" ref="Q85">INDEX('Best Lifts'!G$1:G$279,MATCH(1,($D85='Best Lifts'!$A:$A)*($E85='Best Lifts'!$B:$B),0))</f>
        <v>105</v>
      </c>
      <c r="R85" s="164">
        <f t="array" ref="R85">INDEX('Best Lifts'!H$1:H$279,MATCH(1,($D85='Best Lifts'!$A:$A)*($E85='Best Lifts'!$B:$B),0))</f>
        <v>277.5</v>
      </c>
      <c r="S85" s="164">
        <f t="array" ref="S85">INDEX('Best Lifts'!I$1:I$279,MATCH(1,($D85='Best Lifts'!$A:$A)*($E85='Best Lifts'!$B:$B),0))</f>
        <v>127.5</v>
      </c>
      <c r="T85" s="164">
        <f t="array" ref="T85">INDEX('Best Lifts'!J$1:J$279,MATCH(1,($D85='Best Lifts'!$A:$A)*($E85='Best Lifts'!$B:$B),0))</f>
        <v>70</v>
      </c>
      <c r="U85" s="164">
        <f t="array" ref="U85">INDEX('Best Lifts'!K$1:K$279,MATCH(1,($D85='Best Lifts'!$A:$A)*($E85='Best Lifts'!$B:$B),0))</f>
        <v>117.5</v>
      </c>
      <c r="V85" s="164">
        <f t="array" ref="V85">INDEX('Best Lifts'!L$1:L$279,MATCH(1,($D85='Best Lifts'!$A:$A)*($E85='Best Lifts'!$B:$B),0))</f>
        <v>315</v>
      </c>
      <c r="W85" s="164">
        <f t="shared" si="19"/>
        <v>315</v>
      </c>
      <c r="X85" s="165" t="str">
        <f t="array" ref="X85">INDEX('Best Lifts'!M$1:M$279,MATCH(1,($D85='Best Lifts'!$A:$A)*($E85='Best Lifts'!$B:$B),0))</f>
        <v/>
      </c>
    </row>
    <row r="86">
      <c r="A86" s="163">
        <f t="shared" si="16"/>
        <v>23</v>
      </c>
      <c r="B86" s="163">
        <f t="shared" si="17"/>
        <v>18</v>
      </c>
      <c r="C86" s="163"/>
      <c r="D86" s="163" t="str">
        <f>IFERROR(__xludf.DUMMYFUNCTION("""COMPUTED_VALUE"""),"Ea")</f>
        <v>Ea</v>
      </c>
      <c r="E86" s="163" t="str">
        <f>IFERROR(__xludf.DUMMYFUNCTION("""COMPUTED_VALUE"""),"Mel")</f>
        <v>Mel</v>
      </c>
      <c r="F86" s="163" t="str">
        <f>IFERROR(__xludf.DUMMYFUNCTION("""COMPUTED_VALUE"""),"2 - Fri")</f>
        <v>2 - Fri</v>
      </c>
      <c r="G86" s="163"/>
      <c r="H86" s="163"/>
      <c r="I86" s="163"/>
      <c r="J86" s="163" t="str">
        <f>IFERROR(__xludf.DUMMYFUNCTION("""COMPUTED_VALUE"""),"F")</f>
        <v>F</v>
      </c>
      <c r="K86" s="163" t="str">
        <f>IFERROR(__xludf.DUMMYFUNCTION("""COMPUTED_VALUE"""),"E")</f>
        <v>E</v>
      </c>
      <c r="L86" s="163">
        <f>IFERROR(__xludf.DUMMYFUNCTION("""COMPUTED_VALUE"""),67.5)</f>
        <v>67.5</v>
      </c>
      <c r="M86" s="163">
        <f>IFERROR(__xludf.DUMMYFUNCTION("""COMPUTED_VALUE"""),302.5)</f>
        <v>302.5</v>
      </c>
      <c r="N86" s="163"/>
      <c r="O86" s="164">
        <f t="array" ref="O86">INDEX('Best Lifts'!E$1:E$279,MATCH(1,($D86='Best Lifts'!$A:$A)*($E86='Best Lifts'!$B:$B),0))</f>
        <v>95</v>
      </c>
      <c r="P86" s="164">
        <f t="array" ref="P86">INDEX('Best Lifts'!F$1:F$279,MATCH(1,($D86='Best Lifts'!$A:$A)*($E86='Best Lifts'!$B:$B),0))</f>
        <v>62.5</v>
      </c>
      <c r="Q86" s="164">
        <f t="array" ref="Q86">INDEX('Best Lifts'!G$1:G$279,MATCH(1,($D86='Best Lifts'!$A:$A)*($E86='Best Lifts'!$B:$B),0))</f>
        <v>145</v>
      </c>
      <c r="R86" s="164">
        <f t="array" ref="R86">INDEX('Best Lifts'!H$1:H$279,MATCH(1,($D86='Best Lifts'!$A:$A)*($E86='Best Lifts'!$B:$B),0))</f>
        <v>302.5</v>
      </c>
      <c r="S86" s="164" t="str">
        <f t="array" ref="S86">INDEX('Best Lifts'!I$1:I$279,MATCH(1,($D86='Best Lifts'!$A:$A)*($E86='Best Lifts'!$B:$B),0))</f>
        <v>#N/A</v>
      </c>
      <c r="T86" s="164" t="str">
        <f t="array" ref="T86">INDEX('Best Lifts'!J$1:J$279,MATCH(1,($D86='Best Lifts'!$A:$A)*($E86='Best Lifts'!$B:$B),0))</f>
        <v/>
      </c>
      <c r="U86" s="164" t="str">
        <f t="array" ref="U86">INDEX('Best Lifts'!K$1:K$279,MATCH(1,($D86='Best Lifts'!$A:$A)*($E86='Best Lifts'!$B:$B),0))</f>
        <v/>
      </c>
      <c r="V86" s="164" t="str">
        <f t="array" ref="V86">INDEX('Best Lifts'!L$1:L$279,MATCH(1,($D86='Best Lifts'!$A:$A)*($E86='Best Lifts'!$B:$B),0))</f>
        <v/>
      </c>
      <c r="W86" s="164">
        <f t="shared" si="19"/>
        <v>0</v>
      </c>
      <c r="X86" s="165" t="str">
        <f t="array" ref="X86">INDEX('Best Lifts'!M$1:M$279,MATCH(1,($D86='Best Lifts'!$A:$A)*($E86='Best Lifts'!$B:$B),0))</f>
        <v/>
      </c>
    </row>
    <row r="87">
      <c r="A87" s="163">
        <f t="shared" si="16"/>
        <v>24</v>
      </c>
      <c r="B87" s="163">
        <f t="shared" si="17"/>
        <v>18</v>
      </c>
      <c r="C87" s="163"/>
      <c r="D87" s="163" t="str">
        <f>IFERROR(__xludf.DUMMYFUNCTION("""COMPUTED_VALUE"""),"Anton")</f>
        <v>Anton</v>
      </c>
      <c r="E87" s="163" t="str">
        <f>IFERROR(__xludf.DUMMYFUNCTION("""COMPUTED_VALUE"""),"Madison")</f>
        <v>Madison</v>
      </c>
      <c r="F87" s="163" t="str">
        <f>IFERROR(__xludf.DUMMYFUNCTION("""COMPUTED_VALUE"""),"2 - Fri")</f>
        <v>2 - Fri</v>
      </c>
      <c r="G87" s="163"/>
      <c r="H87" s="163"/>
      <c r="I87" s="163"/>
      <c r="J87" s="163" t="str">
        <f>IFERROR(__xludf.DUMMYFUNCTION("""COMPUTED_VALUE"""),"F")</f>
        <v>F</v>
      </c>
      <c r="K87" s="163" t="str">
        <f>IFERROR(__xludf.DUMMYFUNCTION("""COMPUTED_VALUE"""),"E")</f>
        <v>E</v>
      </c>
      <c r="L87" s="163">
        <f>IFERROR(__xludf.DUMMYFUNCTION("""COMPUTED_VALUE"""),67.5)</f>
        <v>67.5</v>
      </c>
      <c r="M87" s="163">
        <f>IFERROR(__xludf.DUMMYFUNCTION("""COMPUTED_VALUE"""),295.0)</f>
        <v>295</v>
      </c>
      <c r="N87" s="163"/>
      <c r="O87" s="164">
        <f t="array" ref="O87">INDEX('Best Lifts'!E$1:E$279,MATCH(1,($D87='Best Lifts'!$A:$A)*($E87='Best Lifts'!$B:$B),0))</f>
        <v>107.5</v>
      </c>
      <c r="P87" s="164">
        <f t="array" ref="P87">INDEX('Best Lifts'!F$1:F$279,MATCH(1,($D87='Best Lifts'!$A:$A)*($E87='Best Lifts'!$B:$B),0))</f>
        <v>65</v>
      </c>
      <c r="Q87" s="164">
        <f t="array" ref="Q87">INDEX('Best Lifts'!G$1:G$279,MATCH(1,($D87='Best Lifts'!$A:$A)*($E87='Best Lifts'!$B:$B),0))</f>
        <v>122.5</v>
      </c>
      <c r="R87" s="164">
        <f t="array" ref="R87">INDEX('Best Lifts'!H$1:H$279,MATCH(1,($D87='Best Lifts'!$A:$A)*($E87='Best Lifts'!$B:$B),0))</f>
        <v>295</v>
      </c>
      <c r="S87" s="164" t="str">
        <f t="array" ref="S87">INDEX('Best Lifts'!I$1:I$279,MATCH(1,($D87='Best Lifts'!$A:$A)*($E87='Best Lifts'!$B:$B),0))</f>
        <v>#N/A</v>
      </c>
      <c r="T87" s="164" t="str">
        <f t="array" ref="T87">INDEX('Best Lifts'!J$1:J$279,MATCH(1,($D87='Best Lifts'!$A:$A)*($E87='Best Lifts'!$B:$B),0))</f>
        <v/>
      </c>
      <c r="U87" s="164" t="str">
        <f t="array" ref="U87">INDEX('Best Lifts'!K$1:K$279,MATCH(1,($D87='Best Lifts'!$A:$A)*($E87='Best Lifts'!$B:$B),0))</f>
        <v/>
      </c>
      <c r="V87" s="164" t="str">
        <f t="array" ref="V87">INDEX('Best Lifts'!L$1:L$279,MATCH(1,($D87='Best Lifts'!$A:$A)*($E87='Best Lifts'!$B:$B),0))</f>
        <v/>
      </c>
      <c r="W87" s="164">
        <f t="shared" si="19"/>
        <v>0</v>
      </c>
      <c r="X87" s="165" t="str">
        <f t="array" ref="X87">INDEX('Best Lifts'!M$1:M$279,MATCH(1,($D87='Best Lifts'!$A:$A)*($E87='Best Lifts'!$B:$B),0))</f>
        <v/>
      </c>
    </row>
    <row r="88">
      <c r="A88" s="163">
        <f t="shared" si="16"/>
        <v>25</v>
      </c>
      <c r="B88" s="163">
        <f t="shared" si="17"/>
        <v>18</v>
      </c>
      <c r="C88" s="163"/>
      <c r="D88" s="163" t="str">
        <f>IFERROR(__xludf.DUMMYFUNCTION("""COMPUTED_VALUE"""),"Bloom")</f>
        <v>Bloom</v>
      </c>
      <c r="E88" s="163" t="str">
        <f>IFERROR(__xludf.DUMMYFUNCTION("""COMPUTED_VALUE"""),"Miriam")</f>
        <v>Miriam</v>
      </c>
      <c r="F88" s="163" t="str">
        <f>IFERROR(__xludf.DUMMYFUNCTION("""COMPUTED_VALUE"""),"2 - Fri")</f>
        <v>2 - Fri</v>
      </c>
      <c r="G88" s="163"/>
      <c r="H88" s="163"/>
      <c r="I88" s="163"/>
      <c r="J88" s="163" t="str">
        <f>IFERROR(__xludf.DUMMYFUNCTION("""COMPUTED_VALUE"""),"F")</f>
        <v>F</v>
      </c>
      <c r="K88" s="163" t="str">
        <f>IFERROR(__xludf.DUMMYFUNCTION("""COMPUTED_VALUE"""),"E")</f>
        <v>E</v>
      </c>
      <c r="L88" s="163">
        <f>IFERROR(__xludf.DUMMYFUNCTION("""COMPUTED_VALUE"""),67.5)</f>
        <v>67.5</v>
      </c>
      <c r="M88" s="163">
        <f>IFERROR(__xludf.DUMMYFUNCTION("""COMPUTED_VALUE"""),285.0)</f>
        <v>285</v>
      </c>
      <c r="N88" s="163"/>
      <c r="O88" s="164"/>
      <c r="P88" s="164"/>
      <c r="Q88" s="164"/>
      <c r="R88" s="164"/>
      <c r="S88" s="164" t="str">
        <f t="array" ref="S88">INDEX('Best Lifts'!I$1:I$279,MATCH(1,($D88='Best Lifts'!$A:$A)*($E88='Best Lifts'!$B:$B),0))</f>
        <v>#N/A</v>
      </c>
      <c r="T88" s="164" t="str">
        <f t="array" ref="T88">INDEX('Best Lifts'!J$1:J$279,MATCH(1,($D88='Best Lifts'!$A:$A)*($E88='Best Lifts'!$B:$B),0))</f>
        <v/>
      </c>
      <c r="U88" s="164" t="str">
        <f t="array" ref="U88">INDEX('Best Lifts'!K$1:K$279,MATCH(1,($D88='Best Lifts'!$A:$A)*($E88='Best Lifts'!$B:$B),0))</f>
        <v/>
      </c>
      <c r="V88" s="164" t="str">
        <f t="array" ref="V88">INDEX('Best Lifts'!L$1:L$279,MATCH(1,($D88='Best Lifts'!$A:$A)*($E88='Best Lifts'!$B:$B),0))</f>
        <v/>
      </c>
      <c r="W88" s="164">
        <f t="shared" si="19"/>
        <v>0</v>
      </c>
      <c r="X88" s="165"/>
    </row>
    <row r="89">
      <c r="A89" s="163">
        <f t="shared" si="16"/>
        <v>25</v>
      </c>
      <c r="B89" s="163">
        <f t="shared" si="17"/>
        <v>18</v>
      </c>
      <c r="C89" s="163"/>
      <c r="D89" s="163" t="str">
        <f>IFERROR(__xludf.DUMMYFUNCTION("""COMPUTED_VALUE"""),"Ilangovan")</f>
        <v>Ilangovan</v>
      </c>
      <c r="E89" s="163" t="str">
        <f>IFERROR(__xludf.DUMMYFUNCTION("""COMPUTED_VALUE"""),"Janani")</f>
        <v>Janani</v>
      </c>
      <c r="F89" s="163" t="str">
        <f>IFERROR(__xludf.DUMMYFUNCTION("""COMPUTED_VALUE"""),"2 - Fri")</f>
        <v>2 - Fri</v>
      </c>
      <c r="G89" s="163"/>
      <c r="H89" s="163"/>
      <c r="I89" s="163"/>
      <c r="J89" s="163" t="str">
        <f>IFERROR(__xludf.DUMMYFUNCTION("""COMPUTED_VALUE"""),"F")</f>
        <v>F</v>
      </c>
      <c r="K89" s="163" t="str">
        <f>IFERROR(__xludf.DUMMYFUNCTION("""COMPUTED_VALUE"""),"E")</f>
        <v>E</v>
      </c>
      <c r="L89" s="163">
        <f>IFERROR(__xludf.DUMMYFUNCTION("""COMPUTED_VALUE"""),67.5)</f>
        <v>67.5</v>
      </c>
      <c r="M89" s="163">
        <f>IFERROR(__xludf.DUMMYFUNCTION("""COMPUTED_VALUE"""),285.0)</f>
        <v>285</v>
      </c>
      <c r="N89" s="163"/>
      <c r="O89" s="164"/>
      <c r="P89" s="164"/>
      <c r="Q89" s="164"/>
      <c r="R89" s="164"/>
      <c r="S89" s="164" t="str">
        <f t="array" ref="S89">INDEX('Best Lifts'!I$1:I$279,MATCH(1,($D89='Best Lifts'!$A:$A)*($E89='Best Lifts'!$B:$B),0))</f>
        <v>#N/A</v>
      </c>
      <c r="T89" s="164" t="str">
        <f t="array" ref="T89">INDEX('Best Lifts'!J$1:J$279,MATCH(1,($D89='Best Lifts'!$A:$A)*($E89='Best Lifts'!$B:$B),0))</f>
        <v/>
      </c>
      <c r="U89" s="164" t="str">
        <f t="array" ref="U89">INDEX('Best Lifts'!K$1:K$279,MATCH(1,($D89='Best Lifts'!$A:$A)*($E89='Best Lifts'!$B:$B),0))</f>
        <v/>
      </c>
      <c r="V89" s="164" t="str">
        <f t="array" ref="V89">INDEX('Best Lifts'!L$1:L$279,MATCH(1,($D89='Best Lifts'!$A:$A)*($E89='Best Lifts'!$B:$B),0))</f>
        <v/>
      </c>
      <c r="W89" s="164">
        <f t="shared" si="19"/>
        <v>0</v>
      </c>
      <c r="X89" s="165"/>
    </row>
    <row r="90">
      <c r="A90" s="163" t="str">
        <f t="shared" si="16"/>
        <v>#N/A</v>
      </c>
      <c r="B90" s="163">
        <f t="shared" si="17"/>
        <v>18</v>
      </c>
      <c r="C90" s="163"/>
      <c r="D90" s="163" t="str">
        <f>IFERROR(__xludf.DUMMYFUNCTION("""COMPUTED_VALUE"""),"Amado")</f>
        <v>Amado</v>
      </c>
      <c r="E90" s="163" t="str">
        <f>IFERROR(__xludf.DUMMYFUNCTION("""COMPUTED_VALUE"""),"Penelope")</f>
        <v>Penelope</v>
      </c>
      <c r="F90" s="163" t="str">
        <f>IFERROR(__xludf.DUMMYFUNCTION("""COMPUTED_VALUE"""),"2 - Fri")</f>
        <v>2 - Fri</v>
      </c>
      <c r="G90" s="163"/>
      <c r="H90" s="163"/>
      <c r="I90" s="163"/>
      <c r="J90" s="163" t="str">
        <f>IFERROR(__xludf.DUMMYFUNCTION("""COMPUTED_VALUE"""),"F")</f>
        <v>F</v>
      </c>
      <c r="K90" s="163" t="str">
        <f>IFERROR(__xludf.DUMMYFUNCTION("""COMPUTED_VALUE"""),"E")</f>
        <v>E</v>
      </c>
      <c r="L90" s="163">
        <f>IFERROR(__xludf.DUMMYFUNCTION("""COMPUTED_VALUE"""),67.5)</f>
        <v>67.5</v>
      </c>
      <c r="M90" s="163"/>
      <c r="N90" s="163"/>
      <c r="O90" s="164" t="str">
        <f t="array" ref="O90">INDEX('Best Lifts'!E$1:E$279,MATCH(1,($D90='Best Lifts'!$A:$A)*($E90='Best Lifts'!$B:$B),0))</f>
        <v>#N/A</v>
      </c>
      <c r="P90" s="164" t="str">
        <f t="array" ref="P90">INDEX('Best Lifts'!F$1:F$279,MATCH(1,($D90='Best Lifts'!$A:$A)*($E90='Best Lifts'!$B:$B),0))</f>
        <v/>
      </c>
      <c r="Q90" s="164" t="str">
        <f t="array" ref="Q90">INDEX('Best Lifts'!G$1:G$279,MATCH(1,($D90='Best Lifts'!$A:$A)*($E90='Best Lifts'!$B:$B),0))</f>
        <v/>
      </c>
      <c r="R90" s="164" t="str">
        <f t="array" ref="R90">INDEX('Best Lifts'!H$1:H$279,MATCH(1,($D90='Best Lifts'!$A:$A)*($E90='Best Lifts'!$B:$B),0))</f>
        <v/>
      </c>
      <c r="S90" s="164" t="str">
        <f t="array" ref="S90">INDEX('Best Lifts'!I$1:I$279,MATCH(1,($D90='Best Lifts'!$A:$A)*($E90='Best Lifts'!$B:$B),0))</f>
        <v>#N/A</v>
      </c>
      <c r="T90" s="164" t="str">
        <f t="array" ref="T90">INDEX('Best Lifts'!J$1:J$279,MATCH(1,($D90='Best Lifts'!$A:$A)*($E90='Best Lifts'!$B:$B),0))</f>
        <v/>
      </c>
      <c r="U90" s="164" t="str">
        <f t="array" ref="U90">INDEX('Best Lifts'!K$1:K$279,MATCH(1,($D90='Best Lifts'!$A:$A)*($E90='Best Lifts'!$B:$B),0))</f>
        <v/>
      </c>
      <c r="V90" s="164" t="str">
        <f t="array" ref="V90">INDEX('Best Lifts'!L$1:L$279,MATCH(1,($D90='Best Lifts'!$A:$A)*($E90='Best Lifts'!$B:$B),0))</f>
        <v/>
      </c>
      <c r="W90" s="164">
        <f t="shared" si="19"/>
        <v>0</v>
      </c>
      <c r="X90" s="165" t="str">
        <f t="array" ref="X90">INDEX('Best Lifts'!M$1:M$279,MATCH(1,($D90='Best Lifts'!$A:$A)*($E90='Best Lifts'!$B:$B),0))</f>
        <v/>
      </c>
    </row>
    <row r="91">
      <c r="A91" s="163" t="str">
        <f t="shared" si="16"/>
        <v>#N/A</v>
      </c>
      <c r="B91" s="163">
        <f t="shared" si="17"/>
        <v>18</v>
      </c>
      <c r="C91" s="163"/>
      <c r="D91" s="163" t="str">
        <f>IFERROR(__xludf.DUMMYFUNCTION("""COMPUTED_VALUE"""),"Lauritzen")</f>
        <v>Lauritzen</v>
      </c>
      <c r="E91" s="163" t="str">
        <f>IFERROR(__xludf.DUMMYFUNCTION("""COMPUTED_VALUE"""),"Hanna")</f>
        <v>Hanna</v>
      </c>
      <c r="F91" s="163" t="str">
        <f>IFERROR(__xludf.DUMMYFUNCTION("""COMPUTED_VALUE"""),"2 - Fri")</f>
        <v>2 - Fri</v>
      </c>
      <c r="G91" s="163"/>
      <c r="H91" s="163"/>
      <c r="I91" s="163"/>
      <c r="J91" s="163" t="str">
        <f>IFERROR(__xludf.DUMMYFUNCTION("""COMPUTED_VALUE"""),"F")</f>
        <v>F</v>
      </c>
      <c r="K91" s="163" t="str">
        <f>IFERROR(__xludf.DUMMYFUNCTION("""COMPUTED_VALUE"""),"E")</f>
        <v>E</v>
      </c>
      <c r="L91" s="163">
        <f>IFERROR(__xludf.DUMMYFUNCTION("""COMPUTED_VALUE"""),67.5)</f>
        <v>67.5</v>
      </c>
      <c r="M91" s="163"/>
      <c r="N91" s="163"/>
      <c r="O91" s="164" t="str">
        <f t="array" ref="O91">INDEX('Best Lifts'!E$1:E$279,MATCH(1,($D91='Best Lifts'!$A:$A)*($E91='Best Lifts'!$B:$B),0))</f>
        <v>#N/A</v>
      </c>
      <c r="P91" s="164" t="str">
        <f t="array" ref="P91">INDEX('Best Lifts'!F$1:F$279,MATCH(1,($D91='Best Lifts'!$A:$A)*($E91='Best Lifts'!$B:$B),0))</f>
        <v/>
      </c>
      <c r="Q91" s="164" t="str">
        <f t="array" ref="Q91">INDEX('Best Lifts'!G$1:G$279,MATCH(1,($D91='Best Lifts'!$A:$A)*($E91='Best Lifts'!$B:$B),0))</f>
        <v/>
      </c>
      <c r="R91" s="164" t="str">
        <f t="array" ref="R91">INDEX('Best Lifts'!H$1:H$279,MATCH(1,($D91='Best Lifts'!$A:$A)*($E91='Best Lifts'!$B:$B),0))</f>
        <v/>
      </c>
      <c r="S91" s="164" t="str">
        <f t="array" ref="S91">INDEX('Best Lifts'!I$1:I$279,MATCH(1,($D91='Best Lifts'!$A:$A)*($E91='Best Lifts'!$B:$B),0))</f>
        <v>#N/A</v>
      </c>
      <c r="T91" s="164" t="str">
        <f t="array" ref="T91">INDEX('Best Lifts'!J$1:J$279,MATCH(1,($D91='Best Lifts'!$A:$A)*($E91='Best Lifts'!$B:$B),0))</f>
        <v/>
      </c>
      <c r="U91" s="164" t="str">
        <f t="array" ref="U91">INDEX('Best Lifts'!K$1:K$279,MATCH(1,($D91='Best Lifts'!$A:$A)*($E91='Best Lifts'!$B:$B),0))</f>
        <v/>
      </c>
      <c r="V91" s="164" t="str">
        <f t="array" ref="V91">INDEX('Best Lifts'!L$1:L$279,MATCH(1,($D91='Best Lifts'!$A:$A)*($E91='Best Lifts'!$B:$B),0))</f>
        <v/>
      </c>
      <c r="W91" s="164">
        <f t="shared" si="19"/>
        <v>0</v>
      </c>
      <c r="X91" s="165" t="str">
        <f t="array" ref="X91">INDEX('Best Lifts'!M$1:M$279,MATCH(1,($D91='Best Lifts'!$A:$A)*($E91='Best Lifts'!$B:$B),0))</f>
        <v/>
      </c>
    </row>
    <row r="92">
      <c r="A92" s="154"/>
      <c r="B92" s="154"/>
      <c r="C92" s="154"/>
      <c r="D92" s="154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66"/>
      <c r="P92" s="66"/>
      <c r="Q92" s="66"/>
      <c r="R92" s="66"/>
      <c r="S92" s="160"/>
      <c r="T92" s="158"/>
      <c r="U92" s="158"/>
      <c r="V92" s="159"/>
      <c r="W92" s="159"/>
      <c r="X92" s="159"/>
    </row>
    <row r="93">
      <c r="A93" s="154"/>
      <c r="B93" s="154"/>
      <c r="C93" s="154"/>
      <c r="D93" s="155">
        <v>75.0</v>
      </c>
      <c r="E93" s="156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8"/>
      <c r="Q93" s="158"/>
      <c r="R93" s="159"/>
      <c r="S93" s="160"/>
      <c r="T93" s="158"/>
      <c r="U93" s="158"/>
      <c r="V93" s="159"/>
      <c r="W93" s="159"/>
      <c r="X93" s="159"/>
    </row>
    <row r="94">
      <c r="A94" s="161" t="s">
        <v>746</v>
      </c>
      <c r="B94" s="161" t="s">
        <v>747</v>
      </c>
      <c r="C94" s="161" t="s">
        <v>748</v>
      </c>
      <c r="D94" s="161" t="s">
        <v>253</v>
      </c>
      <c r="E94" s="161" t="s">
        <v>254</v>
      </c>
      <c r="F94" s="161" t="s">
        <v>31</v>
      </c>
      <c r="G94" s="161" t="s">
        <v>32</v>
      </c>
      <c r="H94" s="161" t="s">
        <v>33</v>
      </c>
      <c r="I94" s="161" t="s">
        <v>34</v>
      </c>
      <c r="J94" s="161" t="s">
        <v>749</v>
      </c>
      <c r="K94" s="161" t="s">
        <v>257</v>
      </c>
      <c r="L94" s="161" t="s">
        <v>750</v>
      </c>
      <c r="M94" s="161" t="s">
        <v>36</v>
      </c>
      <c r="N94" s="161" t="s">
        <v>261</v>
      </c>
      <c r="O94" s="161" t="s">
        <v>751</v>
      </c>
      <c r="P94" s="162" t="s">
        <v>752</v>
      </c>
      <c r="Q94" s="162" t="s">
        <v>753</v>
      </c>
      <c r="R94" s="162" t="s">
        <v>754</v>
      </c>
      <c r="S94" s="161" t="s">
        <v>755</v>
      </c>
      <c r="T94" s="162" t="s">
        <v>756</v>
      </c>
      <c r="U94" s="162" t="s">
        <v>757</v>
      </c>
      <c r="V94" s="162" t="s">
        <v>758</v>
      </c>
      <c r="W94" s="162" t="s">
        <v>759</v>
      </c>
      <c r="X94" s="162" t="s">
        <v>703</v>
      </c>
    </row>
    <row r="95">
      <c r="A95" s="163">
        <f t="shared" ref="A95:A113" si="20">RANK(M95,$M$95:$M$112)</f>
        <v>1</v>
      </c>
      <c r="B95" s="163" t="str">
        <f t="shared" ref="B95:B113" si="21">RANK(W95,$W$95:$W$112)</f>
        <v>Loading...</v>
      </c>
      <c r="C95" s="163"/>
      <c r="D95" s="163" t="str">
        <f>IFERROR(__xludf.DUMMYFUNCTION("FILTER(Roster!A$2:A176,Roster!$H$2:$H176=""F"",Roster!$J$2:$J176=$D93)"),"Pimentel")</f>
        <v>Pimentel</v>
      </c>
      <c r="E95" s="163" t="str">
        <f>IFERROR(__xludf.DUMMYFUNCTION("FILTER(Roster!B$2:B176,Roster!$H$2:$H176=""F"",Roster!$J$2:$J176=$D93)"),"Lauren")</f>
        <v>Lauren</v>
      </c>
      <c r="F95" s="163" t="str">
        <f>IFERROR(__xludf.DUMMYFUNCTION("FILTER(Roster!D$2:D176,Roster!$H$2:$H176=""F"",Roster!$J$2:$J176=$D93)"),"2 - Fri")</f>
        <v>2 - Fri</v>
      </c>
      <c r="G95" s="163" t="str">
        <f>IFERROR(__xludf.DUMMYFUNCTION("FILTER(Roster!E$2:E176,Roster!$H$2:$H176=""F"",Roster!$J$2:$J176=$D93)"),"")</f>
        <v/>
      </c>
      <c r="H95" s="163" t="str">
        <f>IFERROR(__xludf.DUMMYFUNCTION("FILTER(Roster!F$2:F176,Roster!$H$2:$H176=""F"",Roster!$J$2:$J176=$D93)"),"")</f>
        <v/>
      </c>
      <c r="I95" s="163" t="str">
        <f>IFERROR(__xludf.DUMMYFUNCTION("FILTER(Roster!G$2:G176,Roster!$H$2:$H176=""F"",Roster!$J$2:$J176=$D93)"),"")</f>
        <v/>
      </c>
      <c r="J95" s="163" t="str">
        <f>IFERROR(__xludf.DUMMYFUNCTION("FILTER(Roster!H$2:H176,Roster!$H$2:$H176=""F"",Roster!$J$2:$J176=$D93)"),"F")</f>
        <v>F</v>
      </c>
      <c r="K95" s="163" t="str">
        <f>IFERROR(__xludf.DUMMYFUNCTION("FILTER(Roster!I$2:I176,Roster!$H$2:$H176=""F"",Roster!$J$2:$J176=$D93)"),"E")</f>
        <v>E</v>
      </c>
      <c r="L95" s="163">
        <f>IFERROR(__xludf.DUMMYFUNCTION("FILTER(Roster!J$2:J176,Roster!$H$2:$H176=""F"",Roster!$J$2:$J176=$D93)"),75.0)</f>
        <v>75</v>
      </c>
      <c r="M95" s="163">
        <f>IFERROR(__xludf.DUMMYFUNCTION("FILTER(Roster!M$2:M176,Roster!$H$2:$H176=""F"",Roster!$J$2:$J176=$D93)"),530.0)</f>
        <v>530</v>
      </c>
      <c r="N95" s="163" t="str">
        <f>IFERROR(__xludf.DUMMYFUNCTION("FILTER(Roster!N$2:N176,Roster!$H$2:$H176=""F"",Roster!$J$2:$J176=$D93)"),"")</f>
        <v/>
      </c>
      <c r="O95" s="164">
        <f t="array" ref="O95">INDEX('Best Lifts'!E$1:E$279,MATCH(1,($D95='Best Lifts'!$A:$A)*($E95='Best Lifts'!$B:$B),0))</f>
        <v>147.5</v>
      </c>
      <c r="P95" s="164">
        <f t="array" ref="P95">INDEX('Best Lifts'!F$1:F$279,MATCH(1,($D95='Best Lifts'!$A:$A)*($E95='Best Lifts'!$B:$B),0))</f>
        <v>87.5</v>
      </c>
      <c r="Q95" s="164">
        <f t="array" ref="Q95">INDEX('Best Lifts'!G$1:G$279,MATCH(1,($D95='Best Lifts'!$A:$A)*($E95='Best Lifts'!$B:$B),0))</f>
        <v>172.5</v>
      </c>
      <c r="R95" s="164">
        <f t="array" ref="R95">INDEX('Best Lifts'!H$1:H$279,MATCH(1,($D95='Best Lifts'!$A:$A)*($E95='Best Lifts'!$B:$B),0))</f>
        <v>407.5</v>
      </c>
      <c r="S95" s="164">
        <f t="array" ref="S95">INDEX('Best Lifts'!I$1:I$279,MATCH(1,($D95='Best Lifts'!$A:$A)*($E95='Best Lifts'!$B:$B),0))</f>
        <v>215</v>
      </c>
      <c r="T95" s="164">
        <f t="array" ref="T95">INDEX('Best Lifts'!J$1:J$279,MATCH(1,($D95='Best Lifts'!$A:$A)*($E95='Best Lifts'!$B:$B),0))</f>
        <v>112.5</v>
      </c>
      <c r="U95" s="164">
        <f t="array" ref="U95">INDEX('Best Lifts'!K$1:K$279,MATCH(1,($D95='Best Lifts'!$A:$A)*($E95='Best Lifts'!$B:$B),0))</f>
        <v>202.5</v>
      </c>
      <c r="V95" s="164">
        <f t="array" ref="V95">INDEX('Best Lifts'!L$1:L$279,MATCH(1,($D95='Best Lifts'!$A:$A)*($E95='Best Lifts'!$B:$B),0))</f>
        <v>530</v>
      </c>
      <c r="W95" s="164">
        <f t="shared" ref="W95:W113" si="22">IF(ISNA(SUM(S95:U95)),0,SUM(S95:U95))</f>
        <v>530</v>
      </c>
      <c r="X95" s="165" t="str">
        <f t="array" ref="X95">INDEX('Best Lifts'!M$1:M$279,MATCH(1,($D95='Best Lifts'!$A:$A)*($E95='Best Lifts'!$B:$B),0))</f>
        <v/>
      </c>
    </row>
    <row r="96">
      <c r="A96" s="163">
        <f t="shared" si="20"/>
        <v>2</v>
      </c>
      <c r="B96" s="163" t="str">
        <f t="shared" si="21"/>
        <v>Loading...</v>
      </c>
      <c r="C96" s="163"/>
      <c r="D96" s="163" t="str">
        <f>IFERROR(__xludf.DUMMYFUNCTION("""COMPUTED_VALUE"""),"Echazarreta")</f>
        <v>Echazarreta</v>
      </c>
      <c r="E96" s="163" t="str">
        <f>IFERROR(__xludf.DUMMYFUNCTION("""COMPUTED_VALUE"""),"Alyssa")</f>
        <v>Alyssa</v>
      </c>
      <c r="F96" s="163" t="str">
        <f>IFERROR(__xludf.DUMMYFUNCTION("""COMPUTED_VALUE"""),"2 - Fri")</f>
        <v>2 - Fri</v>
      </c>
      <c r="G96" s="163"/>
      <c r="H96" s="163"/>
      <c r="I96" s="163"/>
      <c r="J96" s="163" t="str">
        <f>IFERROR(__xludf.DUMMYFUNCTION("""COMPUTED_VALUE"""),"F")</f>
        <v>F</v>
      </c>
      <c r="K96" s="163" t="str">
        <f>IFERROR(__xludf.DUMMYFUNCTION("""COMPUTED_VALUE"""),"E")</f>
        <v>E</v>
      </c>
      <c r="L96" s="163">
        <f>IFERROR(__xludf.DUMMYFUNCTION("""COMPUTED_VALUE"""),75.0)</f>
        <v>75</v>
      </c>
      <c r="M96" s="163">
        <f>IFERROR(__xludf.DUMMYFUNCTION("""COMPUTED_VALUE"""),492.5)</f>
        <v>492.5</v>
      </c>
      <c r="N96" s="163"/>
      <c r="O96" s="164">
        <f t="array" ref="O96">INDEX('Best Lifts'!E$1:E$279,MATCH(1,($D96='Best Lifts'!$A:$A)*($E96='Best Lifts'!$B:$B),0))</f>
        <v>165</v>
      </c>
      <c r="P96" s="164">
        <f t="array" ref="P96">INDEX('Best Lifts'!F$1:F$279,MATCH(1,($D96='Best Lifts'!$A:$A)*($E96='Best Lifts'!$B:$B),0))</f>
        <v>92.5</v>
      </c>
      <c r="Q96" s="164">
        <f t="array" ref="Q96">INDEX('Best Lifts'!G$1:G$279,MATCH(1,($D96='Best Lifts'!$A:$A)*($E96='Best Lifts'!$B:$B),0))</f>
        <v>155</v>
      </c>
      <c r="R96" s="164">
        <f t="array" ref="R96">INDEX('Best Lifts'!H$1:H$279,MATCH(1,($D96='Best Lifts'!$A:$A)*($E96='Best Lifts'!$B:$B),0))</f>
        <v>412.5</v>
      </c>
      <c r="S96" s="164">
        <f t="array" ref="S96">INDEX('Best Lifts'!I$1:I$279,MATCH(1,($D96='Best Lifts'!$A:$A)*($E96='Best Lifts'!$B:$B),0))</f>
        <v>207.5</v>
      </c>
      <c r="T96" s="164">
        <f t="array" ref="T96">INDEX('Best Lifts'!J$1:J$279,MATCH(1,($D96='Best Lifts'!$A:$A)*($E96='Best Lifts'!$B:$B),0))</f>
        <v>122.5</v>
      </c>
      <c r="U96" s="164">
        <f t="array" ref="U96">INDEX('Best Lifts'!K$1:K$279,MATCH(1,($D96='Best Lifts'!$A:$A)*($E96='Best Lifts'!$B:$B),0))</f>
        <v>162.5</v>
      </c>
      <c r="V96" s="164">
        <f t="array" ref="V96">INDEX('Best Lifts'!L$1:L$279,MATCH(1,($D96='Best Lifts'!$A:$A)*($E96='Best Lifts'!$B:$B),0))</f>
        <v>492.5</v>
      </c>
      <c r="W96" s="164">
        <f t="shared" si="22"/>
        <v>492.5</v>
      </c>
      <c r="X96" s="165" t="str">
        <f t="array" ref="X96">INDEX('Best Lifts'!M$1:M$279,MATCH(1,($D96='Best Lifts'!$A:$A)*($E96='Best Lifts'!$B:$B),0))</f>
        <v/>
      </c>
    </row>
    <row r="97">
      <c r="A97" s="163">
        <f t="shared" si="20"/>
        <v>2</v>
      </c>
      <c r="B97" s="163" t="str">
        <f t="shared" si="21"/>
        <v>Loading...</v>
      </c>
      <c r="C97" s="163"/>
      <c r="D97" s="163" t="str">
        <f>IFERROR(__xludf.DUMMYFUNCTION("""COMPUTED_VALUE"""),"Patterson")</f>
        <v>Patterson</v>
      </c>
      <c r="E97" s="163" t="str">
        <f>IFERROR(__xludf.DUMMYFUNCTION("""COMPUTED_VALUE"""),"Zariah")</f>
        <v>Zariah</v>
      </c>
      <c r="F97" s="163" t="str">
        <f>IFERROR(__xludf.DUMMYFUNCTION("""COMPUTED_VALUE"""),"2 - Fri")</f>
        <v>2 - Fri</v>
      </c>
      <c r="G97" s="163"/>
      <c r="H97" s="163"/>
      <c r="I97" s="163"/>
      <c r="J97" s="163" t="str">
        <f>IFERROR(__xludf.DUMMYFUNCTION("""COMPUTED_VALUE"""),"F")</f>
        <v>F</v>
      </c>
      <c r="K97" s="163" t="str">
        <f>IFERROR(__xludf.DUMMYFUNCTION("""COMPUTED_VALUE"""),"E")</f>
        <v>E</v>
      </c>
      <c r="L97" s="163">
        <f>IFERROR(__xludf.DUMMYFUNCTION("""COMPUTED_VALUE"""),75.0)</f>
        <v>75</v>
      </c>
      <c r="M97" s="163">
        <f>IFERROR(__xludf.DUMMYFUNCTION("""COMPUTED_VALUE"""),492.5)</f>
        <v>492.5</v>
      </c>
      <c r="N97" s="163"/>
      <c r="O97" s="164" t="str">
        <f t="array" ref="O97">INDEX('Best Lifts'!E$1:E$279,MATCH(1,($D97='Best Lifts'!$A:$A)*($E97='Best Lifts'!$B:$B),0))</f>
        <v>#N/A</v>
      </c>
      <c r="P97" s="164" t="str">
        <f t="array" ref="P97">INDEX('Best Lifts'!F$1:F$279,MATCH(1,($D97='Best Lifts'!$A:$A)*($E97='Best Lifts'!$B:$B),0))</f>
        <v/>
      </c>
      <c r="Q97" s="164" t="str">
        <f t="array" ref="Q97">INDEX('Best Lifts'!G$1:G$279,MATCH(1,($D97='Best Lifts'!$A:$A)*($E97='Best Lifts'!$B:$B),0))</f>
        <v/>
      </c>
      <c r="R97" s="164" t="str">
        <f t="array" ref="R97">INDEX('Best Lifts'!H$1:H$279,MATCH(1,($D97='Best Lifts'!$A:$A)*($E97='Best Lifts'!$B:$B),0))</f>
        <v/>
      </c>
      <c r="S97" s="164">
        <f t="array" ref="S97">INDEX('Best Lifts'!I$1:I$279,MATCH(1,($D97='Best Lifts'!$A:$A)*($E97='Best Lifts'!$B:$B),0))</f>
        <v>205</v>
      </c>
      <c r="T97" s="164">
        <f t="array" ref="T97">INDEX('Best Lifts'!J$1:J$279,MATCH(1,($D97='Best Lifts'!$A:$A)*($E97='Best Lifts'!$B:$B),0))</f>
        <v>110</v>
      </c>
      <c r="U97" s="164">
        <f t="array" ref="U97">INDEX('Best Lifts'!K$1:K$279,MATCH(1,($D97='Best Lifts'!$A:$A)*($E97='Best Lifts'!$B:$B),0))</f>
        <v>195</v>
      </c>
      <c r="V97" s="164">
        <f t="array" ref="V97">INDEX('Best Lifts'!L$1:L$279,MATCH(1,($D97='Best Lifts'!$A:$A)*($E97='Best Lifts'!$B:$B),0))</f>
        <v>492.5</v>
      </c>
      <c r="W97" s="164">
        <f t="shared" si="22"/>
        <v>510</v>
      </c>
      <c r="X97" s="165" t="str">
        <f t="array" ref="X97">INDEX('Best Lifts'!M$1:M$279,MATCH(1,($D97='Best Lifts'!$A:$A)*($E97='Best Lifts'!$B:$B),0))</f>
        <v/>
      </c>
    </row>
    <row r="98">
      <c r="A98" s="163">
        <f t="shared" si="20"/>
        <v>4</v>
      </c>
      <c r="B98" s="163" t="str">
        <f t="shared" si="21"/>
        <v>Loading...</v>
      </c>
      <c r="C98" s="163"/>
      <c r="D98" s="163" t="str">
        <f>IFERROR(__xludf.DUMMYFUNCTION("""COMPUTED_VALUE"""),"Busteed")</f>
        <v>Busteed</v>
      </c>
      <c r="E98" s="163" t="str">
        <f>IFERROR(__xludf.DUMMYFUNCTION("""COMPUTED_VALUE"""),"Peyton")</f>
        <v>Peyton</v>
      </c>
      <c r="F98" s="163" t="str">
        <f>IFERROR(__xludf.DUMMYFUNCTION("""COMPUTED_VALUE"""),"2 - Fri")</f>
        <v>2 - Fri</v>
      </c>
      <c r="G98" s="163"/>
      <c r="H98" s="163"/>
      <c r="I98" s="163"/>
      <c r="J98" s="163" t="str">
        <f>IFERROR(__xludf.DUMMYFUNCTION("""COMPUTED_VALUE"""),"F")</f>
        <v>F</v>
      </c>
      <c r="K98" s="163" t="str">
        <f>IFERROR(__xludf.DUMMYFUNCTION("""COMPUTED_VALUE"""),"E")</f>
        <v>E</v>
      </c>
      <c r="L98" s="163">
        <f>IFERROR(__xludf.DUMMYFUNCTION("""COMPUTED_VALUE"""),75.0)</f>
        <v>75</v>
      </c>
      <c r="M98" s="163">
        <f>IFERROR(__xludf.DUMMYFUNCTION("""COMPUTED_VALUE"""),467.5)</f>
        <v>467.5</v>
      </c>
      <c r="N98" s="163"/>
      <c r="O98" s="164">
        <f t="array" ref="O98">INDEX('Best Lifts'!E$1:E$279,MATCH(1,($D98='Best Lifts'!$A:$A)*($E98='Best Lifts'!$B:$B),0))</f>
        <v>140</v>
      </c>
      <c r="P98" s="164">
        <f t="array" ref="P98">INDEX('Best Lifts'!F$1:F$279,MATCH(1,($D98='Best Lifts'!$A:$A)*($E98='Best Lifts'!$B:$B),0))</f>
        <v>75</v>
      </c>
      <c r="Q98" s="164">
        <f t="array" ref="Q98">INDEX('Best Lifts'!G$1:G$279,MATCH(1,($D98='Best Lifts'!$A:$A)*($E98='Best Lifts'!$B:$B),0))</f>
        <v>152.5</v>
      </c>
      <c r="R98" s="164">
        <f t="array" ref="R98">INDEX('Best Lifts'!H$1:H$279,MATCH(1,($D98='Best Lifts'!$A:$A)*($E98='Best Lifts'!$B:$B),0))</f>
        <v>367.5</v>
      </c>
      <c r="S98" s="164">
        <f t="array" ref="S98">INDEX('Best Lifts'!I$1:I$279,MATCH(1,($D98='Best Lifts'!$A:$A)*($E98='Best Lifts'!$B:$B),0))</f>
        <v>190</v>
      </c>
      <c r="T98" s="164">
        <f t="array" ref="T98">INDEX('Best Lifts'!J$1:J$279,MATCH(1,($D98='Best Lifts'!$A:$A)*($E98='Best Lifts'!$B:$B),0))</f>
        <v>100</v>
      </c>
      <c r="U98" s="164">
        <f t="array" ref="U98">INDEX('Best Lifts'!K$1:K$279,MATCH(1,($D98='Best Lifts'!$A:$A)*($E98='Best Lifts'!$B:$B),0))</f>
        <v>180</v>
      </c>
      <c r="V98" s="164">
        <f t="array" ref="V98">INDEX('Best Lifts'!L$1:L$279,MATCH(1,($D98='Best Lifts'!$A:$A)*($E98='Best Lifts'!$B:$B),0))</f>
        <v>467.5</v>
      </c>
      <c r="W98" s="164">
        <f t="shared" si="22"/>
        <v>470</v>
      </c>
      <c r="X98" s="165" t="str">
        <f t="array" ref="X98">INDEX('Best Lifts'!M$1:M$279,MATCH(1,($D98='Best Lifts'!$A:$A)*($E98='Best Lifts'!$B:$B),0))</f>
        <v/>
      </c>
    </row>
    <row r="99">
      <c r="A99" s="163">
        <f t="shared" si="20"/>
        <v>5</v>
      </c>
      <c r="B99" s="163" t="str">
        <f t="shared" si="21"/>
        <v>Loading...</v>
      </c>
      <c r="C99" s="163"/>
      <c r="D99" s="163" t="str">
        <f>IFERROR(__xludf.DUMMYFUNCTION("""COMPUTED_VALUE"""),"Garcia")</f>
        <v>Garcia</v>
      </c>
      <c r="E99" s="163" t="str">
        <f>IFERROR(__xludf.DUMMYFUNCTION("""COMPUTED_VALUE"""),"Cara")</f>
        <v>Cara</v>
      </c>
      <c r="F99" s="163" t="str">
        <f>IFERROR(__xludf.DUMMYFUNCTION("""COMPUTED_VALUE"""),"2 - Fri")</f>
        <v>2 - Fri</v>
      </c>
      <c r="G99" s="163"/>
      <c r="H99" s="163"/>
      <c r="I99" s="163"/>
      <c r="J99" s="163" t="str">
        <f>IFERROR(__xludf.DUMMYFUNCTION("""COMPUTED_VALUE"""),"F")</f>
        <v>F</v>
      </c>
      <c r="K99" s="163" t="str">
        <f>IFERROR(__xludf.DUMMYFUNCTION("""COMPUTED_VALUE"""),"E")</f>
        <v>E</v>
      </c>
      <c r="L99" s="163">
        <f>IFERROR(__xludf.DUMMYFUNCTION("""COMPUTED_VALUE"""),75.0)</f>
        <v>75</v>
      </c>
      <c r="M99" s="163">
        <f>IFERROR(__xludf.DUMMYFUNCTION("""COMPUTED_VALUE"""),457.5)</f>
        <v>457.5</v>
      </c>
      <c r="N99" s="163"/>
      <c r="O99" s="164">
        <f t="array" ref="O99">INDEX('Best Lifts'!E$1:E$279,MATCH(1,($D99='Best Lifts'!$A:$A)*($E99='Best Lifts'!$B:$B),0))</f>
        <v>112.5</v>
      </c>
      <c r="P99" s="164">
        <f t="array" ref="P99">INDEX('Best Lifts'!F$1:F$279,MATCH(1,($D99='Best Lifts'!$A:$A)*($E99='Best Lifts'!$B:$B),0))</f>
        <v>65</v>
      </c>
      <c r="Q99" s="164">
        <f t="array" ref="Q99">INDEX('Best Lifts'!G$1:G$279,MATCH(1,($D99='Best Lifts'!$A:$A)*($E99='Best Lifts'!$B:$B),0))</f>
        <v>145</v>
      </c>
      <c r="R99" s="164">
        <f t="array" ref="R99">INDEX('Best Lifts'!H$1:H$279,MATCH(1,($D99='Best Lifts'!$A:$A)*($E99='Best Lifts'!$B:$B),0))</f>
        <v>322.5</v>
      </c>
      <c r="S99" s="164">
        <f t="array" ref="S99">INDEX('Best Lifts'!I$1:I$279,MATCH(1,($D99='Best Lifts'!$A:$A)*($E99='Best Lifts'!$B:$B),0))</f>
        <v>177.5</v>
      </c>
      <c r="T99" s="164">
        <f t="array" ref="T99">INDEX('Best Lifts'!J$1:J$279,MATCH(1,($D99='Best Lifts'!$A:$A)*($E99='Best Lifts'!$B:$B),0))</f>
        <v>105</v>
      </c>
      <c r="U99" s="164">
        <f t="array" ref="U99">INDEX('Best Lifts'!K$1:K$279,MATCH(1,($D99='Best Lifts'!$A:$A)*($E99='Best Lifts'!$B:$B),0))</f>
        <v>177.5</v>
      </c>
      <c r="V99" s="164">
        <f t="array" ref="V99">INDEX('Best Lifts'!L$1:L$279,MATCH(1,($D99='Best Lifts'!$A:$A)*($E99='Best Lifts'!$B:$B),0))</f>
        <v>457.5</v>
      </c>
      <c r="W99" s="164">
        <f t="shared" si="22"/>
        <v>460</v>
      </c>
      <c r="X99" s="165" t="str">
        <f t="array" ref="X99">INDEX('Best Lifts'!M$1:M$279,MATCH(1,($D99='Best Lifts'!$A:$A)*($E99='Best Lifts'!$B:$B),0))</f>
        <v/>
      </c>
    </row>
    <row r="100">
      <c r="A100" s="163">
        <f t="shared" si="20"/>
        <v>6</v>
      </c>
      <c r="B100" s="163" t="str">
        <f t="shared" si="21"/>
        <v>Loading...</v>
      </c>
      <c r="C100" s="163"/>
      <c r="D100" s="163" t="str">
        <f>IFERROR(__xludf.DUMMYFUNCTION("""COMPUTED_VALUE"""),"Barrera")</f>
        <v>Barrera</v>
      </c>
      <c r="E100" s="163" t="str">
        <f>IFERROR(__xludf.DUMMYFUNCTION("""COMPUTED_VALUE"""),"Danielle")</f>
        <v>Danielle</v>
      </c>
      <c r="F100" s="163" t="str">
        <f>IFERROR(__xludf.DUMMYFUNCTION("""COMPUTED_VALUE"""),"2 - Fri")</f>
        <v>2 - Fri</v>
      </c>
      <c r="G100" s="163"/>
      <c r="H100" s="163"/>
      <c r="I100" s="163"/>
      <c r="J100" s="163" t="str">
        <f>IFERROR(__xludf.DUMMYFUNCTION("""COMPUTED_VALUE"""),"F")</f>
        <v>F</v>
      </c>
      <c r="K100" s="163" t="str">
        <f>IFERROR(__xludf.DUMMYFUNCTION("""COMPUTED_VALUE"""),"E")</f>
        <v>E</v>
      </c>
      <c r="L100" s="163">
        <f>IFERROR(__xludf.DUMMYFUNCTION("""COMPUTED_VALUE"""),75.0)</f>
        <v>75</v>
      </c>
      <c r="M100" s="163">
        <f>IFERROR(__xludf.DUMMYFUNCTION("""COMPUTED_VALUE"""),445.0)</f>
        <v>445</v>
      </c>
      <c r="N100" s="163"/>
      <c r="O100" s="164">
        <f t="array" ref="O100">INDEX('Best Lifts'!E$1:E$279,MATCH(1,($D100='Best Lifts'!$A:$A)*($E100='Best Lifts'!$B:$B),0))</f>
        <v>152.5</v>
      </c>
      <c r="P100" s="164">
        <f t="array" ref="P100">INDEX('Best Lifts'!F$1:F$279,MATCH(1,($D100='Best Lifts'!$A:$A)*($E100='Best Lifts'!$B:$B),0))</f>
        <v>75</v>
      </c>
      <c r="Q100" s="164">
        <f t="array" ref="Q100">INDEX('Best Lifts'!G$1:G$279,MATCH(1,($D100='Best Lifts'!$A:$A)*($E100='Best Lifts'!$B:$B),0))</f>
        <v>165</v>
      </c>
      <c r="R100" s="164">
        <f t="array" ref="R100">INDEX('Best Lifts'!H$1:H$279,MATCH(1,($D100='Best Lifts'!$A:$A)*($E100='Best Lifts'!$B:$B),0))</f>
        <v>392.5</v>
      </c>
      <c r="S100" s="164">
        <f t="array" ref="S100">INDEX('Best Lifts'!I$1:I$279,MATCH(1,($D100='Best Lifts'!$A:$A)*($E100='Best Lifts'!$B:$B),0))</f>
        <v>187.5</v>
      </c>
      <c r="T100" s="164">
        <f t="array" ref="T100">INDEX('Best Lifts'!J$1:J$279,MATCH(1,($D100='Best Lifts'!$A:$A)*($E100='Best Lifts'!$B:$B),0))</f>
        <v>90</v>
      </c>
      <c r="U100" s="164">
        <f t="array" ref="U100">INDEX('Best Lifts'!K$1:K$279,MATCH(1,($D100='Best Lifts'!$A:$A)*($E100='Best Lifts'!$B:$B),0))</f>
        <v>167.5</v>
      </c>
      <c r="V100" s="164">
        <f t="array" ref="V100">INDEX('Best Lifts'!L$1:L$279,MATCH(1,($D100='Best Lifts'!$A:$A)*($E100='Best Lifts'!$B:$B),0))</f>
        <v>445</v>
      </c>
      <c r="W100" s="164">
        <f t="shared" si="22"/>
        <v>445</v>
      </c>
      <c r="X100" s="165" t="str">
        <f t="array" ref="X100">INDEX('Best Lifts'!M$1:M$279,MATCH(1,($D100='Best Lifts'!$A:$A)*($E100='Best Lifts'!$B:$B),0))</f>
        <v/>
      </c>
    </row>
    <row r="101">
      <c r="A101" s="163">
        <f t="shared" si="20"/>
        <v>6</v>
      </c>
      <c r="B101" s="163" t="str">
        <f t="shared" si="21"/>
        <v>Loading...</v>
      </c>
      <c r="C101" s="163"/>
      <c r="D101" s="163" t="str">
        <f>IFERROR(__xludf.DUMMYFUNCTION("""COMPUTED_VALUE"""),"Scott")</f>
        <v>Scott</v>
      </c>
      <c r="E101" s="163" t="str">
        <f>IFERROR(__xludf.DUMMYFUNCTION("""COMPUTED_VALUE"""),"Eva")</f>
        <v>Eva</v>
      </c>
      <c r="F101" s="163" t="str">
        <f>IFERROR(__xludf.DUMMYFUNCTION("""COMPUTED_VALUE"""),"2 - Fri")</f>
        <v>2 - Fri</v>
      </c>
      <c r="G101" s="163"/>
      <c r="H101" s="163"/>
      <c r="I101" s="163"/>
      <c r="J101" s="163" t="str">
        <f>IFERROR(__xludf.DUMMYFUNCTION("""COMPUTED_VALUE"""),"F")</f>
        <v>F</v>
      </c>
      <c r="K101" s="163" t="str">
        <f>IFERROR(__xludf.DUMMYFUNCTION("""COMPUTED_VALUE"""),"E")</f>
        <v>E</v>
      </c>
      <c r="L101" s="163">
        <f>IFERROR(__xludf.DUMMYFUNCTION("""COMPUTED_VALUE"""),75.0)</f>
        <v>75</v>
      </c>
      <c r="M101" s="163">
        <f>IFERROR(__xludf.DUMMYFUNCTION("""COMPUTED_VALUE"""),445.0)</f>
        <v>445</v>
      </c>
      <c r="N101" s="163"/>
      <c r="O101" s="164" t="str">
        <f t="array" ref="O101">INDEX('Best Lifts'!E$1:E$279,MATCH(1,($D101='Best Lifts'!$A:$A)*($E101='Best Lifts'!$B:$B),0))</f>
        <v>#N/A</v>
      </c>
      <c r="P101" s="164" t="str">
        <f t="array" ref="P101">INDEX('Best Lifts'!F$1:F$279,MATCH(1,($D101='Best Lifts'!$A:$A)*($E101='Best Lifts'!$B:$B),0))</f>
        <v/>
      </c>
      <c r="Q101" s="164" t="str">
        <f t="array" ref="Q101">INDEX('Best Lifts'!G$1:G$279,MATCH(1,($D101='Best Lifts'!$A:$A)*($E101='Best Lifts'!$B:$B),0))</f>
        <v/>
      </c>
      <c r="R101" s="164" t="str">
        <f t="array" ref="R101">INDEX('Best Lifts'!H$1:H$279,MATCH(1,($D101='Best Lifts'!$A:$A)*($E101='Best Lifts'!$B:$B),0))</f>
        <v/>
      </c>
      <c r="S101" s="164">
        <f t="array" ref="S101">INDEX('Best Lifts'!I$1:I$279,MATCH(1,($D101='Best Lifts'!$A:$A)*($E101='Best Lifts'!$B:$B),0))</f>
        <v>183.7</v>
      </c>
      <c r="T101" s="164">
        <f t="array" ref="T101">INDEX('Best Lifts'!J$1:J$279,MATCH(1,($D101='Best Lifts'!$A:$A)*($E101='Best Lifts'!$B:$B),0))</f>
        <v>105</v>
      </c>
      <c r="U101" s="164">
        <f t="array" ref="U101">INDEX('Best Lifts'!K$1:K$279,MATCH(1,($D101='Best Lifts'!$A:$A)*($E101='Best Lifts'!$B:$B),0))</f>
        <v>157.5</v>
      </c>
      <c r="V101" s="164">
        <f t="array" ref="V101">INDEX('Best Lifts'!L$1:L$279,MATCH(1,($D101='Best Lifts'!$A:$A)*($E101='Best Lifts'!$B:$B),0))</f>
        <v>445</v>
      </c>
      <c r="W101" s="164">
        <f t="shared" si="22"/>
        <v>446.2</v>
      </c>
      <c r="X101" s="165" t="str">
        <f t="array" ref="X101">INDEX('Best Lifts'!M$1:M$279,MATCH(1,($D101='Best Lifts'!$A:$A)*($E101='Best Lifts'!$B:$B),0))</f>
        <v/>
      </c>
    </row>
    <row r="102">
      <c r="A102" s="163">
        <f t="shared" si="20"/>
        <v>6</v>
      </c>
      <c r="B102" s="163" t="str">
        <f t="shared" si="21"/>
        <v>Loading...</v>
      </c>
      <c r="C102" s="163"/>
      <c r="D102" s="163" t="str">
        <f>IFERROR(__xludf.DUMMYFUNCTION("""COMPUTED_VALUE"""),"White")</f>
        <v>White</v>
      </c>
      <c r="E102" s="163" t="str">
        <f>IFERROR(__xludf.DUMMYFUNCTION("""COMPUTED_VALUE"""),"Celia")</f>
        <v>Celia</v>
      </c>
      <c r="F102" s="163" t="str">
        <f>IFERROR(__xludf.DUMMYFUNCTION("""COMPUTED_VALUE"""),"2 - Fri")</f>
        <v>2 - Fri</v>
      </c>
      <c r="G102" s="163"/>
      <c r="H102" s="163"/>
      <c r="I102" s="163"/>
      <c r="J102" s="163" t="str">
        <f>IFERROR(__xludf.DUMMYFUNCTION("""COMPUTED_VALUE"""),"F")</f>
        <v>F</v>
      </c>
      <c r="K102" s="163" t="str">
        <f>IFERROR(__xludf.DUMMYFUNCTION("""COMPUTED_VALUE"""),"E")</f>
        <v>E</v>
      </c>
      <c r="L102" s="163">
        <f>IFERROR(__xludf.DUMMYFUNCTION("""COMPUTED_VALUE"""),75.0)</f>
        <v>75</v>
      </c>
      <c r="M102" s="163">
        <f>IFERROR(__xludf.DUMMYFUNCTION("""COMPUTED_VALUE"""),445.0)</f>
        <v>445</v>
      </c>
      <c r="N102" s="163"/>
      <c r="O102" s="164">
        <f t="array" ref="O102">INDEX('Best Lifts'!E$1:E$279,MATCH(1,($D102='Best Lifts'!$A:$A)*($E102='Best Lifts'!$B:$B),0))</f>
        <v>127.5</v>
      </c>
      <c r="P102" s="164">
        <f t="array" ref="P102">INDEX('Best Lifts'!F$1:F$279,MATCH(1,($D102='Best Lifts'!$A:$A)*($E102='Best Lifts'!$B:$B),0))</f>
        <v>77.5</v>
      </c>
      <c r="Q102" s="164">
        <f t="array" ref="Q102">INDEX('Best Lifts'!G$1:G$279,MATCH(1,($D102='Best Lifts'!$A:$A)*($E102='Best Lifts'!$B:$B),0))</f>
        <v>150</v>
      </c>
      <c r="R102" s="164">
        <f t="array" ref="R102">INDEX('Best Lifts'!H$1:H$279,MATCH(1,($D102='Best Lifts'!$A:$A)*($E102='Best Lifts'!$B:$B),0))</f>
        <v>355</v>
      </c>
      <c r="S102" s="164">
        <f t="array" ref="S102">INDEX('Best Lifts'!I$1:I$279,MATCH(1,($D102='Best Lifts'!$A:$A)*($E102='Best Lifts'!$B:$B),0))</f>
        <v>180</v>
      </c>
      <c r="T102" s="164">
        <f t="array" ref="T102">INDEX('Best Lifts'!J$1:J$279,MATCH(1,($D102='Best Lifts'!$A:$A)*($E102='Best Lifts'!$B:$B),0))</f>
        <v>110</v>
      </c>
      <c r="U102" s="164">
        <f t="array" ref="U102">INDEX('Best Lifts'!K$1:K$279,MATCH(1,($D102='Best Lifts'!$A:$A)*($E102='Best Lifts'!$B:$B),0))</f>
        <v>155</v>
      </c>
      <c r="V102" s="164">
        <f t="array" ref="V102">INDEX('Best Lifts'!L$1:L$279,MATCH(1,($D102='Best Lifts'!$A:$A)*($E102='Best Lifts'!$B:$B),0))</f>
        <v>445</v>
      </c>
      <c r="W102" s="164">
        <f t="shared" si="22"/>
        <v>445</v>
      </c>
      <c r="X102" s="165" t="str">
        <f t="array" ref="X102">INDEX('Best Lifts'!M$1:M$279,MATCH(1,($D102='Best Lifts'!$A:$A)*($E102='Best Lifts'!$B:$B),0))</f>
        <v/>
      </c>
    </row>
    <row r="103">
      <c r="A103" s="163">
        <f t="shared" si="20"/>
        <v>9</v>
      </c>
      <c r="B103" s="163" t="str">
        <f t="shared" si="21"/>
        <v>Loading...</v>
      </c>
      <c r="C103" s="163"/>
      <c r="D103" s="163" t="str">
        <f>IFERROR(__xludf.DUMMYFUNCTION("""COMPUTED_VALUE"""),"Edwards")</f>
        <v>Edwards</v>
      </c>
      <c r="E103" s="163" t="str">
        <f>IFERROR(__xludf.DUMMYFUNCTION("""COMPUTED_VALUE"""),"Jiya")</f>
        <v>Jiya</v>
      </c>
      <c r="F103" s="163" t="str">
        <f>IFERROR(__xludf.DUMMYFUNCTION("""COMPUTED_VALUE"""),"2 - Fri")</f>
        <v>2 - Fri</v>
      </c>
      <c r="G103" s="163"/>
      <c r="H103" s="163"/>
      <c r="I103" s="163"/>
      <c r="J103" s="163" t="str">
        <f>IFERROR(__xludf.DUMMYFUNCTION("""COMPUTED_VALUE"""),"F")</f>
        <v>F</v>
      </c>
      <c r="K103" s="163" t="str">
        <f>IFERROR(__xludf.DUMMYFUNCTION("""COMPUTED_VALUE"""),"E")</f>
        <v>E</v>
      </c>
      <c r="L103" s="163">
        <f>IFERROR(__xludf.DUMMYFUNCTION("""COMPUTED_VALUE"""),75.0)</f>
        <v>75</v>
      </c>
      <c r="M103" s="163">
        <f>IFERROR(__xludf.DUMMYFUNCTION("""COMPUTED_VALUE"""),422.5)</f>
        <v>422.5</v>
      </c>
      <c r="N103" s="163"/>
      <c r="O103" s="164" t="str">
        <f t="array" ref="O103">INDEX('Best Lifts'!E$1:E$279,MATCH(1,($D103='Best Lifts'!$A:$A)*($E103='Best Lifts'!$B:$B),0))</f>
        <v>#N/A</v>
      </c>
      <c r="P103" s="164" t="str">
        <f t="array" ref="P103">INDEX('Best Lifts'!F$1:F$279,MATCH(1,($D103='Best Lifts'!$A:$A)*($E103='Best Lifts'!$B:$B),0))</f>
        <v/>
      </c>
      <c r="Q103" s="164" t="str">
        <f t="array" ref="Q103">INDEX('Best Lifts'!G$1:G$279,MATCH(1,($D103='Best Lifts'!$A:$A)*($E103='Best Lifts'!$B:$B),0))</f>
        <v/>
      </c>
      <c r="R103" s="164" t="str">
        <f t="array" ref="R103">INDEX('Best Lifts'!H$1:H$279,MATCH(1,($D103='Best Lifts'!$A:$A)*($E103='Best Lifts'!$B:$B),0))</f>
        <v/>
      </c>
      <c r="S103" s="164">
        <f t="array" ref="S103">INDEX('Best Lifts'!I$1:I$279,MATCH(1,($D103='Best Lifts'!$A:$A)*($E103='Best Lifts'!$B:$B),0))</f>
        <v>167.5</v>
      </c>
      <c r="T103" s="164">
        <f t="array" ref="T103">INDEX('Best Lifts'!J$1:J$279,MATCH(1,($D103='Best Lifts'!$A:$A)*($E103='Best Lifts'!$B:$B),0))</f>
        <v>86.1</v>
      </c>
      <c r="U103" s="164">
        <f t="array" ref="U103">INDEX('Best Lifts'!K$1:K$279,MATCH(1,($D103='Best Lifts'!$A:$A)*($E103='Best Lifts'!$B:$B),0))</f>
        <v>172.5</v>
      </c>
      <c r="V103" s="164">
        <f t="array" ref="V103">INDEX('Best Lifts'!L$1:L$279,MATCH(1,($D103='Best Lifts'!$A:$A)*($E103='Best Lifts'!$B:$B),0))</f>
        <v>422.5</v>
      </c>
      <c r="W103" s="164">
        <f t="shared" si="22"/>
        <v>426.1</v>
      </c>
      <c r="X103" s="165" t="str">
        <f t="array" ref="X103">INDEX('Best Lifts'!M$1:M$279,MATCH(1,($D103='Best Lifts'!$A:$A)*($E103='Best Lifts'!$B:$B),0))</f>
        <v/>
      </c>
    </row>
    <row r="104">
      <c r="A104" s="163">
        <f t="shared" si="20"/>
        <v>10</v>
      </c>
      <c r="B104" s="163" t="str">
        <f t="shared" si="21"/>
        <v>Loading...</v>
      </c>
      <c r="C104" s="163"/>
      <c r="D104" s="163" t="str">
        <f>IFERROR(__xludf.DUMMYFUNCTION("""COMPUTED_VALUE"""),"Perez")</f>
        <v>Perez</v>
      </c>
      <c r="E104" s="163" t="str">
        <f>IFERROR(__xludf.DUMMYFUNCTION("""COMPUTED_VALUE"""),"Jacqueline")</f>
        <v>Jacqueline</v>
      </c>
      <c r="F104" s="163" t="str">
        <f>IFERROR(__xludf.DUMMYFUNCTION("""COMPUTED_VALUE"""),"2 - Fri")</f>
        <v>2 - Fri</v>
      </c>
      <c r="G104" s="163"/>
      <c r="H104" s="163"/>
      <c r="I104" s="163"/>
      <c r="J104" s="163" t="str">
        <f>IFERROR(__xludf.DUMMYFUNCTION("""COMPUTED_VALUE"""),"F")</f>
        <v>F</v>
      </c>
      <c r="K104" s="163" t="str">
        <f>IFERROR(__xludf.DUMMYFUNCTION("""COMPUTED_VALUE"""),"E")</f>
        <v>E</v>
      </c>
      <c r="L104" s="163">
        <f>IFERROR(__xludf.DUMMYFUNCTION("""COMPUTED_VALUE"""),75.0)</f>
        <v>75</v>
      </c>
      <c r="M104" s="163">
        <f>IFERROR(__xludf.DUMMYFUNCTION("""COMPUTED_VALUE"""),400.0)</f>
        <v>400</v>
      </c>
      <c r="N104" s="163"/>
      <c r="O104" s="164">
        <f t="array" ref="O104">INDEX('Best Lifts'!E$1:E$279,MATCH(1,($D104='Best Lifts'!$A:$A)*($E104='Best Lifts'!$B:$B),0))</f>
        <v>130</v>
      </c>
      <c r="P104" s="164">
        <f t="array" ref="P104">INDEX('Best Lifts'!F$1:F$279,MATCH(1,($D104='Best Lifts'!$A:$A)*($E104='Best Lifts'!$B:$B),0))</f>
        <v>67.5</v>
      </c>
      <c r="Q104" s="164">
        <f t="array" ref="Q104">INDEX('Best Lifts'!G$1:G$279,MATCH(1,($D104='Best Lifts'!$A:$A)*($E104='Best Lifts'!$B:$B),0))</f>
        <v>145</v>
      </c>
      <c r="R104" s="164">
        <f t="array" ref="R104">INDEX('Best Lifts'!H$1:H$279,MATCH(1,($D104='Best Lifts'!$A:$A)*($E104='Best Lifts'!$B:$B),0))</f>
        <v>342.5</v>
      </c>
      <c r="S104" s="164">
        <f t="array" ref="S104">INDEX('Best Lifts'!I$1:I$279,MATCH(1,($D104='Best Lifts'!$A:$A)*($E104='Best Lifts'!$B:$B),0))</f>
        <v>162.5</v>
      </c>
      <c r="T104" s="164">
        <f t="array" ref="T104">INDEX('Best Lifts'!J$1:J$279,MATCH(1,($D104='Best Lifts'!$A:$A)*($E104='Best Lifts'!$B:$B),0))</f>
        <v>92.5</v>
      </c>
      <c r="U104" s="164">
        <f t="array" ref="U104">INDEX('Best Lifts'!K$1:K$279,MATCH(1,($D104='Best Lifts'!$A:$A)*($E104='Best Lifts'!$B:$B),0))</f>
        <v>145</v>
      </c>
      <c r="V104" s="164">
        <f t="array" ref="V104">INDEX('Best Lifts'!L$1:L$279,MATCH(1,($D104='Best Lifts'!$A:$A)*($E104='Best Lifts'!$B:$B),0))</f>
        <v>400</v>
      </c>
      <c r="W104" s="164">
        <f t="shared" si="22"/>
        <v>400</v>
      </c>
      <c r="X104" s="165" t="str">
        <f t="array" ref="X104">INDEX('Best Lifts'!M$1:M$279,MATCH(1,($D104='Best Lifts'!$A:$A)*($E104='Best Lifts'!$B:$B),0))</f>
        <v/>
      </c>
    </row>
    <row r="105">
      <c r="A105" s="163">
        <f t="shared" si="20"/>
        <v>11</v>
      </c>
      <c r="B105" s="163" t="str">
        <f t="shared" si="21"/>
        <v>Loading...</v>
      </c>
      <c r="C105" s="163"/>
      <c r="D105" s="163" t="str">
        <f>IFERROR(__xludf.DUMMYFUNCTION("""COMPUTED_VALUE"""),"Lommer")</f>
        <v>Lommer</v>
      </c>
      <c r="E105" s="163" t="str">
        <f>IFERROR(__xludf.DUMMYFUNCTION("""COMPUTED_VALUE"""),"Caroline")</f>
        <v>Caroline</v>
      </c>
      <c r="F105" s="163" t="str">
        <f>IFERROR(__xludf.DUMMYFUNCTION("""COMPUTED_VALUE"""),"2 - Fri")</f>
        <v>2 - Fri</v>
      </c>
      <c r="G105" s="163"/>
      <c r="H105" s="163"/>
      <c r="I105" s="163"/>
      <c r="J105" s="163" t="str">
        <f>IFERROR(__xludf.DUMMYFUNCTION("""COMPUTED_VALUE"""),"F")</f>
        <v>F</v>
      </c>
      <c r="K105" s="163" t="str">
        <f>IFERROR(__xludf.DUMMYFUNCTION("""COMPUTED_VALUE"""),"E")</f>
        <v>E</v>
      </c>
      <c r="L105" s="163">
        <f>IFERROR(__xludf.DUMMYFUNCTION("""COMPUTED_VALUE"""),75.0)</f>
        <v>75</v>
      </c>
      <c r="M105" s="163">
        <f>IFERROR(__xludf.DUMMYFUNCTION("""COMPUTED_VALUE"""),392.5)</f>
        <v>392.5</v>
      </c>
      <c r="N105" s="163"/>
      <c r="O105" s="164">
        <f t="array" ref="O105">INDEX('Best Lifts'!E$1:E$279,MATCH(1,($D105='Best Lifts'!$A:$A)*($E105='Best Lifts'!$B:$B),0))</f>
        <v>132.5</v>
      </c>
      <c r="P105" s="164">
        <f t="array" ref="P105">INDEX('Best Lifts'!F$1:F$279,MATCH(1,($D105='Best Lifts'!$A:$A)*($E105='Best Lifts'!$B:$B),0))</f>
        <v>77.5</v>
      </c>
      <c r="Q105" s="164">
        <f t="array" ref="Q105">INDEX('Best Lifts'!G$1:G$279,MATCH(1,($D105='Best Lifts'!$A:$A)*($E105='Best Lifts'!$B:$B),0))</f>
        <v>137.5</v>
      </c>
      <c r="R105" s="164">
        <f t="array" ref="R105">INDEX('Best Lifts'!H$1:H$279,MATCH(1,($D105='Best Lifts'!$A:$A)*($E105='Best Lifts'!$B:$B),0))</f>
        <v>347.5</v>
      </c>
      <c r="S105" s="164">
        <f t="array" ref="S105">INDEX('Best Lifts'!I$1:I$279,MATCH(1,($D105='Best Lifts'!$A:$A)*($E105='Best Lifts'!$B:$B),0))</f>
        <v>157.5</v>
      </c>
      <c r="T105" s="164">
        <f t="array" ref="T105">INDEX('Best Lifts'!J$1:J$279,MATCH(1,($D105='Best Lifts'!$A:$A)*($E105='Best Lifts'!$B:$B),0))</f>
        <v>102.5</v>
      </c>
      <c r="U105" s="164">
        <f t="array" ref="U105">INDEX('Best Lifts'!K$1:K$279,MATCH(1,($D105='Best Lifts'!$A:$A)*($E105='Best Lifts'!$B:$B),0))</f>
        <v>132.5</v>
      </c>
      <c r="V105" s="164">
        <f t="array" ref="V105">INDEX('Best Lifts'!L$1:L$279,MATCH(1,($D105='Best Lifts'!$A:$A)*($E105='Best Lifts'!$B:$B),0))</f>
        <v>392.5</v>
      </c>
      <c r="W105" s="164">
        <f t="shared" si="22"/>
        <v>392.5</v>
      </c>
      <c r="X105" s="165" t="str">
        <f t="array" ref="X105">INDEX('Best Lifts'!M$1:M$279,MATCH(1,($D105='Best Lifts'!$A:$A)*($E105='Best Lifts'!$B:$B),0))</f>
        <v/>
      </c>
    </row>
    <row r="106">
      <c r="A106" s="163">
        <f t="shared" si="20"/>
        <v>12</v>
      </c>
      <c r="B106" s="163" t="str">
        <f t="shared" si="21"/>
        <v>Loading...</v>
      </c>
      <c r="C106" s="163"/>
      <c r="D106" s="163" t="str">
        <f>IFERROR(__xludf.DUMMYFUNCTION("""COMPUTED_VALUE"""),"Pallazhco")</f>
        <v>Pallazhco</v>
      </c>
      <c r="E106" s="163" t="str">
        <f>IFERROR(__xludf.DUMMYFUNCTION("""COMPUTED_VALUE"""),"Angelly")</f>
        <v>Angelly</v>
      </c>
      <c r="F106" s="163" t="str">
        <f>IFERROR(__xludf.DUMMYFUNCTION("""COMPUTED_VALUE"""),"2 - Fri")</f>
        <v>2 - Fri</v>
      </c>
      <c r="G106" s="163"/>
      <c r="H106" s="163"/>
      <c r="I106" s="163"/>
      <c r="J106" s="163" t="str">
        <f>IFERROR(__xludf.DUMMYFUNCTION("""COMPUTED_VALUE"""),"F")</f>
        <v>F</v>
      </c>
      <c r="K106" s="163" t="str">
        <f>IFERROR(__xludf.DUMMYFUNCTION("""COMPUTED_VALUE"""),"E")</f>
        <v>E</v>
      </c>
      <c r="L106" s="163">
        <f>IFERROR(__xludf.DUMMYFUNCTION("""COMPUTED_VALUE"""),75.0)</f>
        <v>75</v>
      </c>
      <c r="M106" s="163">
        <f>IFERROR(__xludf.DUMMYFUNCTION("""COMPUTED_VALUE"""),390.0)</f>
        <v>390</v>
      </c>
      <c r="N106" s="163"/>
      <c r="O106" s="164">
        <f t="array" ref="O106">INDEX('Best Lifts'!E$1:E$279,MATCH(1,($D106='Best Lifts'!$A:$A)*($E106='Best Lifts'!$B:$B),0))</f>
        <v>147.5</v>
      </c>
      <c r="P106" s="164">
        <f t="array" ref="P106">INDEX('Best Lifts'!F$1:F$279,MATCH(1,($D106='Best Lifts'!$A:$A)*($E106='Best Lifts'!$B:$B),0))</f>
        <v>67.5</v>
      </c>
      <c r="Q106" s="164">
        <f t="array" ref="Q106">INDEX('Best Lifts'!G$1:G$279,MATCH(1,($D106='Best Lifts'!$A:$A)*($E106='Best Lifts'!$B:$B),0))</f>
        <v>175</v>
      </c>
      <c r="R106" s="164">
        <f t="array" ref="R106">INDEX('Best Lifts'!H$1:H$279,MATCH(1,($D106='Best Lifts'!$A:$A)*($E106='Best Lifts'!$B:$B),0))</f>
        <v>390</v>
      </c>
      <c r="S106" s="164" t="str">
        <f t="array" ref="S106">INDEX('Best Lifts'!I$1:I$279,MATCH(1,($D106='Best Lifts'!$A:$A)*($E106='Best Lifts'!$B:$B),0))</f>
        <v>#N/A</v>
      </c>
      <c r="T106" s="164" t="str">
        <f t="array" ref="T106">INDEX('Best Lifts'!J$1:J$279,MATCH(1,($D106='Best Lifts'!$A:$A)*($E106='Best Lifts'!$B:$B),0))</f>
        <v/>
      </c>
      <c r="U106" s="164" t="str">
        <f t="array" ref="U106">INDEX('Best Lifts'!K$1:K$279,MATCH(1,($D106='Best Lifts'!$A:$A)*($E106='Best Lifts'!$B:$B),0))</f>
        <v/>
      </c>
      <c r="V106" s="164" t="str">
        <f t="array" ref="V106">INDEX('Best Lifts'!L$1:L$279,MATCH(1,($D106='Best Lifts'!$A:$A)*($E106='Best Lifts'!$B:$B),0))</f>
        <v/>
      </c>
      <c r="W106" s="164">
        <f t="shared" si="22"/>
        <v>0</v>
      </c>
      <c r="X106" s="165" t="str">
        <f t="array" ref="X106">INDEX('Best Lifts'!M$1:M$279,MATCH(1,($D106='Best Lifts'!$A:$A)*($E106='Best Lifts'!$B:$B),0))</f>
        <v/>
      </c>
    </row>
    <row r="107">
      <c r="A107" s="163">
        <f t="shared" si="20"/>
        <v>13</v>
      </c>
      <c r="B107" s="163" t="str">
        <f t="shared" si="21"/>
        <v>Loading...</v>
      </c>
      <c r="C107" s="163"/>
      <c r="D107" s="163" t="str">
        <f>IFERROR(__xludf.DUMMYFUNCTION("""COMPUTED_VALUE"""),"Vordonis")</f>
        <v>Vordonis</v>
      </c>
      <c r="E107" s="163" t="str">
        <f>IFERROR(__xludf.DUMMYFUNCTION("""COMPUTED_VALUE"""),"Tansey")</f>
        <v>Tansey</v>
      </c>
      <c r="F107" s="163" t="str">
        <f>IFERROR(__xludf.DUMMYFUNCTION("""COMPUTED_VALUE"""),"2 - Fri")</f>
        <v>2 - Fri</v>
      </c>
      <c r="G107" s="163"/>
      <c r="H107" s="163"/>
      <c r="I107" s="163"/>
      <c r="J107" s="163" t="str">
        <f>IFERROR(__xludf.DUMMYFUNCTION("""COMPUTED_VALUE"""),"F")</f>
        <v>F</v>
      </c>
      <c r="K107" s="163" t="str">
        <f>IFERROR(__xludf.DUMMYFUNCTION("""COMPUTED_VALUE"""),"E")</f>
        <v>E</v>
      </c>
      <c r="L107" s="163">
        <f>IFERROR(__xludf.DUMMYFUNCTION("""COMPUTED_VALUE"""),75.0)</f>
        <v>75</v>
      </c>
      <c r="M107" s="163">
        <f>IFERROR(__xludf.DUMMYFUNCTION("""COMPUTED_VALUE"""),380.0)</f>
        <v>380</v>
      </c>
      <c r="N107" s="163"/>
      <c r="O107" s="164">
        <f t="array" ref="O107">INDEX('Best Lifts'!E$1:E$279,MATCH(1,($D107='Best Lifts'!$A:$A)*($E107='Best Lifts'!$B:$B),0))</f>
        <v>127.5</v>
      </c>
      <c r="P107" s="164">
        <f t="array" ref="P107">INDEX('Best Lifts'!F$1:F$279,MATCH(1,($D107='Best Lifts'!$A:$A)*($E107='Best Lifts'!$B:$B),0))</f>
        <v>82.5</v>
      </c>
      <c r="Q107" s="164">
        <f t="array" ref="Q107">INDEX('Best Lifts'!G$1:G$279,MATCH(1,($D107='Best Lifts'!$A:$A)*($E107='Best Lifts'!$B:$B),0))</f>
        <v>145</v>
      </c>
      <c r="R107" s="164">
        <f t="array" ref="R107">INDEX('Best Lifts'!H$1:H$279,MATCH(1,($D107='Best Lifts'!$A:$A)*($E107='Best Lifts'!$B:$B),0))</f>
        <v>355</v>
      </c>
      <c r="S107" s="164">
        <f t="array" ref="S107">INDEX('Best Lifts'!I$1:I$279,MATCH(1,($D107='Best Lifts'!$A:$A)*($E107='Best Lifts'!$B:$B),0))</f>
        <v>142.5</v>
      </c>
      <c r="T107" s="164">
        <f t="array" ref="T107">INDEX('Best Lifts'!J$1:J$279,MATCH(1,($D107='Best Lifts'!$A:$A)*($E107='Best Lifts'!$B:$B),0))</f>
        <v>112.5</v>
      </c>
      <c r="U107" s="164">
        <f t="array" ref="U107">INDEX('Best Lifts'!K$1:K$279,MATCH(1,($D107='Best Lifts'!$A:$A)*($E107='Best Lifts'!$B:$B),0))</f>
        <v>125</v>
      </c>
      <c r="V107" s="164">
        <f t="array" ref="V107">INDEX('Best Lifts'!L$1:L$279,MATCH(1,($D107='Best Lifts'!$A:$A)*($E107='Best Lifts'!$B:$B),0))</f>
        <v>380</v>
      </c>
      <c r="W107" s="164">
        <f t="shared" si="22"/>
        <v>380</v>
      </c>
      <c r="X107" s="165" t="str">
        <f t="array" ref="X107">INDEX('Best Lifts'!M$1:M$279,MATCH(1,($D107='Best Lifts'!$A:$A)*($E107='Best Lifts'!$B:$B),0))</f>
        <v/>
      </c>
    </row>
    <row r="108">
      <c r="A108" s="163">
        <f t="shared" si="20"/>
        <v>14</v>
      </c>
      <c r="B108" s="163" t="str">
        <f t="shared" si="21"/>
        <v>Loading...</v>
      </c>
      <c r="C108" s="163"/>
      <c r="D108" s="163" t="str">
        <f>IFERROR(__xludf.DUMMYFUNCTION("""COMPUTED_VALUE"""),"Nejtek")</f>
        <v>Nejtek</v>
      </c>
      <c r="E108" s="163" t="str">
        <f>IFERROR(__xludf.DUMMYFUNCTION("""COMPUTED_VALUE"""),"Savannah")</f>
        <v>Savannah</v>
      </c>
      <c r="F108" s="163" t="str">
        <f>IFERROR(__xludf.DUMMYFUNCTION("""COMPUTED_VALUE"""),"2 - Fri")</f>
        <v>2 - Fri</v>
      </c>
      <c r="G108" s="163"/>
      <c r="H108" s="163"/>
      <c r="I108" s="163"/>
      <c r="J108" s="163" t="str">
        <f>IFERROR(__xludf.DUMMYFUNCTION("""COMPUTED_VALUE"""),"F")</f>
        <v>F</v>
      </c>
      <c r="K108" s="163" t="str">
        <f>IFERROR(__xludf.DUMMYFUNCTION("""COMPUTED_VALUE"""),"E")</f>
        <v>E</v>
      </c>
      <c r="L108" s="163">
        <f>IFERROR(__xludf.DUMMYFUNCTION("""COMPUTED_VALUE"""),75.0)</f>
        <v>75</v>
      </c>
      <c r="M108" s="163">
        <f>IFERROR(__xludf.DUMMYFUNCTION("""COMPUTED_VALUE"""),352.5)</f>
        <v>352.5</v>
      </c>
      <c r="N108" s="163"/>
      <c r="O108" s="164">
        <f t="array" ref="O108">INDEX('Best Lifts'!E$1:E$279,MATCH(1,($D108='Best Lifts'!$A:$A)*($E108='Best Lifts'!$B:$B),0))</f>
        <v>145</v>
      </c>
      <c r="P108" s="164">
        <f t="array" ref="P108">INDEX('Best Lifts'!F$1:F$279,MATCH(1,($D108='Best Lifts'!$A:$A)*($E108='Best Lifts'!$B:$B),0))</f>
        <v>55</v>
      </c>
      <c r="Q108" s="164">
        <f t="array" ref="Q108">INDEX('Best Lifts'!G$1:G$279,MATCH(1,($D108='Best Lifts'!$A:$A)*($E108='Best Lifts'!$B:$B),0))</f>
        <v>152.5</v>
      </c>
      <c r="R108" s="164">
        <f t="array" ref="R108">INDEX('Best Lifts'!H$1:H$279,MATCH(1,($D108='Best Lifts'!$A:$A)*($E108='Best Lifts'!$B:$B),0))</f>
        <v>352.5</v>
      </c>
      <c r="S108" s="164">
        <f t="array" ref="S108">INDEX('Best Lifts'!I$1:I$279,MATCH(1,($D108='Best Lifts'!$A:$A)*($E108='Best Lifts'!$B:$B),0))</f>
        <v>136</v>
      </c>
      <c r="T108" s="164">
        <f t="array" ref="T108">INDEX('Best Lifts'!J$1:J$279,MATCH(1,($D108='Best Lifts'!$A:$A)*($E108='Best Lifts'!$B:$B),0))</f>
        <v>56.7</v>
      </c>
      <c r="U108" s="164">
        <f t="array" ref="U108">INDEX('Best Lifts'!K$1:K$279,MATCH(1,($D108='Best Lifts'!$A:$A)*($E108='Best Lifts'!$B:$B),0))</f>
        <v>136</v>
      </c>
      <c r="V108" s="164">
        <f t="array" ref="V108">INDEX('Best Lifts'!L$1:L$279,MATCH(1,($D108='Best Lifts'!$A:$A)*($E108='Best Lifts'!$B:$B),0))</f>
        <v>328.8</v>
      </c>
      <c r="W108" s="164">
        <f t="shared" si="22"/>
        <v>328.7</v>
      </c>
      <c r="X108" s="165" t="str">
        <f t="array" ref="X108">INDEX('Best Lifts'!M$1:M$279,MATCH(1,($D108='Best Lifts'!$A:$A)*($E108='Best Lifts'!$B:$B),0))</f>
        <v/>
      </c>
    </row>
    <row r="109">
      <c r="A109" s="163">
        <f t="shared" si="20"/>
        <v>14</v>
      </c>
      <c r="B109" s="163" t="str">
        <f t="shared" si="21"/>
        <v>Loading...</v>
      </c>
      <c r="C109" s="163"/>
      <c r="D109" s="163" t="str">
        <f>IFERROR(__xludf.DUMMYFUNCTION("""COMPUTED_VALUE"""),"Stone")</f>
        <v>Stone</v>
      </c>
      <c r="E109" s="163" t="str">
        <f>IFERROR(__xludf.DUMMYFUNCTION("""COMPUTED_VALUE"""),"Isabella")</f>
        <v>Isabella</v>
      </c>
      <c r="F109" s="163" t="str">
        <f>IFERROR(__xludf.DUMMYFUNCTION("""COMPUTED_VALUE"""),"2 - Fri")</f>
        <v>2 - Fri</v>
      </c>
      <c r="G109" s="163"/>
      <c r="H109" s="163"/>
      <c r="I109" s="163"/>
      <c r="J109" s="163" t="str">
        <f>IFERROR(__xludf.DUMMYFUNCTION("""COMPUTED_VALUE"""),"F")</f>
        <v>F</v>
      </c>
      <c r="K109" s="163" t="str">
        <f>IFERROR(__xludf.DUMMYFUNCTION("""COMPUTED_VALUE"""),"E")</f>
        <v>E</v>
      </c>
      <c r="L109" s="163">
        <f>IFERROR(__xludf.DUMMYFUNCTION("""COMPUTED_VALUE"""),75.0)</f>
        <v>75</v>
      </c>
      <c r="M109" s="163">
        <f>IFERROR(__xludf.DUMMYFUNCTION("""COMPUTED_VALUE"""),352.5)</f>
        <v>352.5</v>
      </c>
      <c r="N109" s="163"/>
      <c r="O109" s="164">
        <f t="array" ref="O109">INDEX('Best Lifts'!E$1:E$279,MATCH(1,($D109='Best Lifts'!$A:$A)*($E109='Best Lifts'!$B:$B),0))</f>
        <v>130</v>
      </c>
      <c r="P109" s="164">
        <f t="array" ref="P109">INDEX('Best Lifts'!F$1:F$279,MATCH(1,($D109='Best Lifts'!$A:$A)*($E109='Best Lifts'!$B:$B),0))</f>
        <v>77.5</v>
      </c>
      <c r="Q109" s="164">
        <f t="array" ref="Q109">INDEX('Best Lifts'!G$1:G$279,MATCH(1,($D109='Best Lifts'!$A:$A)*($E109='Best Lifts'!$B:$B),0))</f>
        <v>140</v>
      </c>
      <c r="R109" s="164">
        <f t="array" ref="R109">INDEX('Best Lifts'!H$1:H$279,MATCH(1,($D109='Best Lifts'!$A:$A)*($E109='Best Lifts'!$B:$B),0))</f>
        <v>347.5</v>
      </c>
      <c r="S109" s="164">
        <f t="array" ref="S109">INDEX('Best Lifts'!I$1:I$279,MATCH(1,($D109='Best Lifts'!$A:$A)*($E109='Best Lifts'!$B:$B),0))</f>
        <v>135</v>
      </c>
      <c r="T109" s="164">
        <f t="array" ref="T109">INDEX('Best Lifts'!J$1:J$279,MATCH(1,($D109='Best Lifts'!$A:$A)*($E109='Best Lifts'!$B:$B),0))</f>
        <v>85</v>
      </c>
      <c r="U109" s="164">
        <f t="array" ref="U109">INDEX('Best Lifts'!K$1:K$279,MATCH(1,($D109='Best Lifts'!$A:$A)*($E109='Best Lifts'!$B:$B),0))</f>
        <v>132.5</v>
      </c>
      <c r="V109" s="164">
        <f t="array" ref="V109">INDEX('Best Lifts'!L$1:L$279,MATCH(1,($D109='Best Lifts'!$A:$A)*($E109='Best Lifts'!$B:$B),0))</f>
        <v>352.5</v>
      </c>
      <c r="W109" s="164">
        <f t="shared" si="22"/>
        <v>352.5</v>
      </c>
      <c r="X109" s="165" t="str">
        <f t="array" ref="X109">INDEX('Best Lifts'!M$1:M$279,MATCH(1,($D109='Best Lifts'!$A:$A)*($E109='Best Lifts'!$B:$B),0))</f>
        <v/>
      </c>
    </row>
    <row r="110">
      <c r="A110" s="163">
        <f t="shared" si="20"/>
        <v>16</v>
      </c>
      <c r="B110" s="163" t="str">
        <f t="shared" si="21"/>
        <v>Loading...</v>
      </c>
      <c r="C110" s="163"/>
      <c r="D110" s="163" t="str">
        <f>IFERROR(__xludf.DUMMYFUNCTION("""COMPUTED_VALUE"""),"Camarillo")</f>
        <v>Camarillo</v>
      </c>
      <c r="E110" s="163" t="str">
        <f>IFERROR(__xludf.DUMMYFUNCTION("""COMPUTED_VALUE"""),"Ariana")</f>
        <v>Ariana</v>
      </c>
      <c r="F110" s="163" t="str">
        <f>IFERROR(__xludf.DUMMYFUNCTION("""COMPUTED_VALUE"""),"2 - Fri")</f>
        <v>2 - Fri</v>
      </c>
      <c r="G110" s="163"/>
      <c r="H110" s="163"/>
      <c r="I110" s="163"/>
      <c r="J110" s="163" t="str">
        <f>IFERROR(__xludf.DUMMYFUNCTION("""COMPUTED_VALUE"""),"F")</f>
        <v>F</v>
      </c>
      <c r="K110" s="163" t="str">
        <f>IFERROR(__xludf.DUMMYFUNCTION("""COMPUTED_VALUE"""),"E")</f>
        <v>E</v>
      </c>
      <c r="L110" s="163">
        <f>IFERROR(__xludf.DUMMYFUNCTION("""COMPUTED_VALUE"""),75.0)</f>
        <v>75</v>
      </c>
      <c r="M110" s="163">
        <f>IFERROR(__xludf.DUMMYFUNCTION("""COMPUTED_VALUE"""),345.0)</f>
        <v>345</v>
      </c>
      <c r="N110" s="163"/>
      <c r="O110" s="164" t="str">
        <f t="array" ref="O110">INDEX('Best Lifts'!E$1:E$279,MATCH(1,($D110='Best Lifts'!$A:$A)*($E110='Best Lifts'!$B:$B),0))</f>
        <v>#N/A</v>
      </c>
      <c r="P110" s="164" t="str">
        <f t="array" ref="P110">INDEX('Best Lifts'!F$1:F$279,MATCH(1,($D110='Best Lifts'!$A:$A)*($E110='Best Lifts'!$B:$B),0))</f>
        <v/>
      </c>
      <c r="Q110" s="164" t="str">
        <f t="array" ref="Q110">INDEX('Best Lifts'!G$1:G$279,MATCH(1,($D110='Best Lifts'!$A:$A)*($E110='Best Lifts'!$B:$B),0))</f>
        <v/>
      </c>
      <c r="R110" s="164" t="str">
        <f t="array" ref="R110">INDEX('Best Lifts'!H$1:H$279,MATCH(1,($D110='Best Lifts'!$A:$A)*($E110='Best Lifts'!$B:$B),0))</f>
        <v/>
      </c>
      <c r="S110" s="164">
        <f t="array" ref="S110">INDEX('Best Lifts'!I$1:I$279,MATCH(1,($D110='Best Lifts'!$A:$A)*($E110='Best Lifts'!$B:$B),0))</f>
        <v>165.5</v>
      </c>
      <c r="T110" s="164">
        <f t="array" ref="T110">INDEX('Best Lifts'!J$1:J$279,MATCH(1,($D110='Best Lifts'!$A:$A)*($E110='Best Lifts'!$B:$B),0))</f>
        <v>81.6</v>
      </c>
      <c r="U110" s="164">
        <f t="array" ref="U110">INDEX('Best Lifts'!K$1:K$279,MATCH(1,($D110='Best Lifts'!$A:$A)*($E110='Best Lifts'!$B:$B),0))</f>
        <v>149.6</v>
      </c>
      <c r="V110" s="164">
        <f t="array" ref="V110">INDEX('Best Lifts'!L$1:L$279,MATCH(1,($D110='Best Lifts'!$A:$A)*($E110='Best Lifts'!$B:$B),0))</f>
        <v>390</v>
      </c>
      <c r="W110" s="164">
        <f t="shared" si="22"/>
        <v>396.7</v>
      </c>
      <c r="X110" s="165" t="str">
        <f t="array" ref="X110">INDEX('Best Lifts'!M$1:M$279,MATCH(1,($D110='Best Lifts'!$A:$A)*($E110='Best Lifts'!$B:$B),0))</f>
        <v/>
      </c>
    </row>
    <row r="111">
      <c r="A111" s="163">
        <f t="shared" si="20"/>
        <v>16</v>
      </c>
      <c r="B111" s="163" t="str">
        <f t="shared" si="21"/>
        <v>Loading...</v>
      </c>
      <c r="C111" s="163"/>
      <c r="D111" s="163" t="str">
        <f>IFERROR(__xludf.DUMMYFUNCTION("""COMPUTED_VALUE"""),"Gonzalez")</f>
        <v>Gonzalez</v>
      </c>
      <c r="E111" s="163" t="str">
        <f>IFERROR(__xludf.DUMMYFUNCTION("""COMPUTED_VALUE"""),"Cenia")</f>
        <v>Cenia</v>
      </c>
      <c r="F111" s="163" t="str">
        <f>IFERROR(__xludf.DUMMYFUNCTION("""COMPUTED_VALUE"""),"2 - Fri")</f>
        <v>2 - Fri</v>
      </c>
      <c r="G111" s="163"/>
      <c r="H111" s="163"/>
      <c r="I111" s="163"/>
      <c r="J111" s="163" t="str">
        <f>IFERROR(__xludf.DUMMYFUNCTION("""COMPUTED_VALUE"""),"F")</f>
        <v>F</v>
      </c>
      <c r="K111" s="163" t="str">
        <f>IFERROR(__xludf.DUMMYFUNCTION("""COMPUTED_VALUE"""),"E")</f>
        <v>E</v>
      </c>
      <c r="L111" s="163">
        <f>IFERROR(__xludf.DUMMYFUNCTION("""COMPUTED_VALUE"""),75.0)</f>
        <v>75</v>
      </c>
      <c r="M111" s="163">
        <f>IFERROR(__xludf.DUMMYFUNCTION("""COMPUTED_VALUE"""),345.0)</f>
        <v>345</v>
      </c>
      <c r="N111" s="163"/>
      <c r="O111" s="164" t="str">
        <f t="array" ref="O111">INDEX('Best Lifts'!E$1:E$279,MATCH(1,($D111='Best Lifts'!$A:$A)*($E111='Best Lifts'!$B:$B),0))</f>
        <v>#N/A</v>
      </c>
      <c r="P111" s="164" t="str">
        <f t="array" ref="P111">INDEX('Best Lifts'!F$1:F$279,MATCH(1,($D111='Best Lifts'!$A:$A)*($E111='Best Lifts'!$B:$B),0))</f>
        <v/>
      </c>
      <c r="Q111" s="164" t="str">
        <f t="array" ref="Q111">INDEX('Best Lifts'!G$1:G$279,MATCH(1,($D111='Best Lifts'!$A:$A)*($E111='Best Lifts'!$B:$B),0))</f>
        <v/>
      </c>
      <c r="R111" s="164" t="str">
        <f t="array" ref="R111">INDEX('Best Lifts'!H$1:H$279,MATCH(1,($D111='Best Lifts'!$A:$A)*($E111='Best Lifts'!$B:$B),0))</f>
        <v/>
      </c>
      <c r="S111" s="164">
        <f t="array" ref="S111">INDEX('Best Lifts'!I$1:I$279,MATCH(1,($D111='Best Lifts'!$A:$A)*($E111='Best Lifts'!$B:$B),0))</f>
        <v>132.5</v>
      </c>
      <c r="T111" s="164">
        <f t="array" ref="T111">INDEX('Best Lifts'!J$1:J$279,MATCH(1,($D111='Best Lifts'!$A:$A)*($E111='Best Lifts'!$B:$B),0))</f>
        <v>70</v>
      </c>
      <c r="U111" s="164">
        <f t="array" ref="U111">INDEX('Best Lifts'!K$1:K$279,MATCH(1,($D111='Best Lifts'!$A:$A)*($E111='Best Lifts'!$B:$B),0))</f>
        <v>142.5</v>
      </c>
      <c r="V111" s="164">
        <f t="array" ref="V111">INDEX('Best Lifts'!L$1:L$279,MATCH(1,($D111='Best Lifts'!$A:$A)*($E111='Best Lifts'!$B:$B),0))</f>
        <v>345</v>
      </c>
      <c r="W111" s="164">
        <f t="shared" si="22"/>
        <v>345</v>
      </c>
      <c r="X111" s="165" t="str">
        <f t="array" ref="X111">INDEX('Best Lifts'!M$1:M$279,MATCH(1,($D111='Best Lifts'!$A:$A)*($E111='Best Lifts'!$B:$B),0))</f>
        <v/>
      </c>
    </row>
    <row r="112">
      <c r="A112" s="163">
        <f t="shared" si="20"/>
        <v>18</v>
      </c>
      <c r="B112" s="163" t="str">
        <f t="shared" si="21"/>
        <v>Loading...</v>
      </c>
      <c r="C112" s="163"/>
      <c r="D112" s="163" t="str">
        <f>IFERROR(__xludf.DUMMYFUNCTION("""COMPUTED_VALUE"""),"O'Neil")</f>
        <v>O'Neil</v>
      </c>
      <c r="E112" s="163" t="str">
        <f>IFERROR(__xludf.DUMMYFUNCTION("""COMPUTED_VALUE"""),"Madison")</f>
        <v>Madison</v>
      </c>
      <c r="F112" s="163" t="str">
        <f>IFERROR(__xludf.DUMMYFUNCTION("""COMPUTED_VALUE"""),"2 - Fri")</f>
        <v>2 - Fri</v>
      </c>
      <c r="G112" s="163"/>
      <c r="H112" s="163"/>
      <c r="I112" s="163"/>
      <c r="J112" s="163" t="str">
        <f>IFERROR(__xludf.DUMMYFUNCTION("""COMPUTED_VALUE"""),"F")</f>
        <v>F</v>
      </c>
      <c r="K112" s="163" t="str">
        <f>IFERROR(__xludf.DUMMYFUNCTION("""COMPUTED_VALUE"""),"E")</f>
        <v>E</v>
      </c>
      <c r="L112" s="163">
        <f>IFERROR(__xludf.DUMMYFUNCTION("""COMPUTED_VALUE"""),75.0)</f>
        <v>75</v>
      </c>
      <c r="M112" s="163">
        <f>IFERROR(__xludf.DUMMYFUNCTION("""COMPUTED_VALUE"""),340.0)</f>
        <v>340</v>
      </c>
      <c r="N112" s="163"/>
      <c r="O112" s="164" t="str">
        <f t="array" ref="O112">INDEX('Best Lifts'!E$1:E$279,MATCH(1,($D112='Best Lifts'!$A:$A)*($E112='Best Lifts'!$B:$B),0))</f>
        <v>Loading...</v>
      </c>
      <c r="P112" s="164" t="str">
        <f t="array" ref="P112">INDEX('Best Lifts'!F$1:F$279,MATCH(1,($D112='Best Lifts'!$A:$A)*($E112='Best Lifts'!$B:$B),0))</f>
        <v/>
      </c>
      <c r="Q112" s="164" t="str">
        <f t="array" ref="Q112">INDEX('Best Lifts'!G$1:G$279,MATCH(1,($D112='Best Lifts'!$A:$A)*($E112='Best Lifts'!$B:$B),0))</f>
        <v/>
      </c>
      <c r="R112" s="164" t="str">
        <f t="array" ref="R112">INDEX('Best Lifts'!H$1:H$279,MATCH(1,($D112='Best Lifts'!$A:$A)*($E112='Best Lifts'!$B:$B),0))</f>
        <v/>
      </c>
      <c r="S112" s="164" t="str">
        <f t="array" ref="S112">INDEX('Best Lifts'!I$1:I$279,MATCH(1,($D112='Best Lifts'!$A:$A)*($E112='Best Lifts'!$B:$B),0))</f>
        <v>Loading...</v>
      </c>
      <c r="T112" s="164" t="str">
        <f t="array" ref="T112">INDEX('Best Lifts'!J$1:J$279,MATCH(1,($D112='Best Lifts'!$A:$A)*($E112='Best Lifts'!$B:$B),0))</f>
        <v/>
      </c>
      <c r="U112" s="164" t="str">
        <f t="array" ref="U112">INDEX('Best Lifts'!K$1:K$279,MATCH(1,($D112='Best Lifts'!$A:$A)*($E112='Best Lifts'!$B:$B),0))</f>
        <v/>
      </c>
      <c r="V112" s="164" t="str">
        <f t="array" ref="V112">INDEX('Best Lifts'!L$1:L$279,MATCH(1,($D112='Best Lifts'!$A:$A)*($E112='Best Lifts'!$B:$B),0))</f>
        <v/>
      </c>
      <c r="W112" s="164" t="str">
        <f t="shared" si="22"/>
        <v>Loading...</v>
      </c>
      <c r="X112" s="165" t="str">
        <f t="array" ref="X112">INDEX('Best Lifts'!M$1:M$279,MATCH(1,($D112='Best Lifts'!$A:$A)*($E112='Best Lifts'!$B:$B),0))</f>
        <v/>
      </c>
    </row>
    <row r="113">
      <c r="A113" s="163" t="str">
        <f t="shared" si="20"/>
        <v>#N/A</v>
      </c>
      <c r="B113" s="163" t="str">
        <f t="shared" si="21"/>
        <v>Loading...</v>
      </c>
      <c r="C113" s="163"/>
      <c r="D113" s="163" t="str">
        <f>IFERROR(__xludf.DUMMYFUNCTION("""COMPUTED_VALUE"""),"Hall")</f>
        <v>Hall</v>
      </c>
      <c r="E113" s="163" t="str">
        <f>IFERROR(__xludf.DUMMYFUNCTION("""COMPUTED_VALUE"""),"Jaime")</f>
        <v>Jaime</v>
      </c>
      <c r="F113" s="163" t="str">
        <f>IFERROR(__xludf.DUMMYFUNCTION("""COMPUTED_VALUE"""),"2 - Fri")</f>
        <v>2 - Fri</v>
      </c>
      <c r="G113" s="163"/>
      <c r="H113" s="163"/>
      <c r="I113" s="163"/>
      <c r="J113" s="163" t="str">
        <f>IFERROR(__xludf.DUMMYFUNCTION("""COMPUTED_VALUE"""),"F")</f>
        <v>F</v>
      </c>
      <c r="K113" s="163" t="str">
        <f>IFERROR(__xludf.DUMMYFUNCTION("""COMPUTED_VALUE"""),"E")</f>
        <v>E</v>
      </c>
      <c r="L113" s="163">
        <f>IFERROR(__xludf.DUMMYFUNCTION("""COMPUTED_VALUE"""),75.0)</f>
        <v>75</v>
      </c>
      <c r="M113" s="163">
        <f>IFERROR(__xludf.DUMMYFUNCTION("""COMPUTED_VALUE"""),280.0)</f>
        <v>280</v>
      </c>
      <c r="N113" s="163"/>
      <c r="O113" s="164"/>
      <c r="P113" s="164"/>
      <c r="Q113" s="164"/>
      <c r="R113" s="164"/>
      <c r="S113" s="164" t="str">
        <f t="array" ref="S113">INDEX('Best Lifts'!I$1:I$279,MATCH(1,($D113='Best Lifts'!$A:$A)*($E113='Best Lifts'!$B:$B),0))</f>
        <v>#N/A</v>
      </c>
      <c r="T113" s="164" t="str">
        <f t="array" ref="T113">INDEX('Best Lifts'!J$1:J$279,MATCH(1,($D113='Best Lifts'!$A:$A)*($E113='Best Lifts'!$B:$B),0))</f>
        <v/>
      </c>
      <c r="U113" s="164" t="str">
        <f t="array" ref="U113">INDEX('Best Lifts'!K$1:K$279,MATCH(1,($D113='Best Lifts'!$A:$A)*($E113='Best Lifts'!$B:$B),0))</f>
        <v/>
      </c>
      <c r="V113" s="164" t="str">
        <f t="array" ref="V113">INDEX('Best Lifts'!L$1:L$279,MATCH(1,($D113='Best Lifts'!$A:$A)*($E113='Best Lifts'!$B:$B),0))</f>
        <v/>
      </c>
      <c r="W113" s="164">
        <f t="shared" si="22"/>
        <v>0</v>
      </c>
      <c r="X113" s="165"/>
    </row>
    <row r="114">
      <c r="A114" s="154"/>
      <c r="B114" s="154"/>
      <c r="C114" s="154"/>
      <c r="D114" s="154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8"/>
      <c r="Q114" s="158"/>
      <c r="R114" s="159"/>
      <c r="S114" s="160"/>
      <c r="T114" s="158"/>
      <c r="U114" s="158"/>
      <c r="V114" s="159"/>
      <c r="W114" s="159"/>
      <c r="X114" s="159"/>
    </row>
    <row r="115">
      <c r="A115" s="154"/>
      <c r="B115" s="154"/>
      <c r="C115" s="154"/>
      <c r="D115" s="155">
        <v>82.5</v>
      </c>
      <c r="E115" s="156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8"/>
      <c r="Q115" s="158"/>
      <c r="R115" s="159"/>
      <c r="S115" s="160"/>
      <c r="T115" s="158"/>
      <c r="U115" s="158"/>
      <c r="V115" s="159"/>
      <c r="W115" s="159"/>
      <c r="X115" s="159"/>
    </row>
    <row r="116">
      <c r="A116" s="161" t="s">
        <v>746</v>
      </c>
      <c r="B116" s="161" t="s">
        <v>747</v>
      </c>
      <c r="C116" s="161" t="s">
        <v>748</v>
      </c>
      <c r="D116" s="161" t="s">
        <v>253</v>
      </c>
      <c r="E116" s="161" t="s">
        <v>254</v>
      </c>
      <c r="F116" s="161" t="s">
        <v>31</v>
      </c>
      <c r="G116" s="161" t="s">
        <v>32</v>
      </c>
      <c r="H116" s="161" t="s">
        <v>33</v>
      </c>
      <c r="I116" s="161" t="s">
        <v>34</v>
      </c>
      <c r="J116" s="161" t="s">
        <v>749</v>
      </c>
      <c r="K116" s="161" t="s">
        <v>257</v>
      </c>
      <c r="L116" s="161" t="s">
        <v>750</v>
      </c>
      <c r="M116" s="161" t="s">
        <v>36</v>
      </c>
      <c r="N116" s="161" t="s">
        <v>261</v>
      </c>
      <c r="O116" s="161" t="s">
        <v>751</v>
      </c>
      <c r="P116" s="162" t="s">
        <v>752</v>
      </c>
      <c r="Q116" s="162" t="s">
        <v>753</v>
      </c>
      <c r="R116" s="162" t="s">
        <v>754</v>
      </c>
      <c r="S116" s="161" t="s">
        <v>755</v>
      </c>
      <c r="T116" s="162" t="s">
        <v>756</v>
      </c>
      <c r="U116" s="162" t="s">
        <v>757</v>
      </c>
      <c r="V116" s="162" t="s">
        <v>758</v>
      </c>
      <c r="W116" s="162" t="s">
        <v>759</v>
      </c>
      <c r="X116" s="162" t="s">
        <v>703</v>
      </c>
    </row>
    <row r="117">
      <c r="A117" s="163">
        <f t="shared" ref="A117:A127" si="23">RANK(M117,$M$117:$M$128)</f>
        <v>1</v>
      </c>
      <c r="B117" s="163">
        <f t="shared" ref="B117:B127" si="24">Rank(W117,$W$117:$W$128)</f>
        <v>1</v>
      </c>
      <c r="C117" s="163"/>
      <c r="D117" s="163" t="str">
        <f>IFERROR(__xludf.DUMMYFUNCTION("FILTER(Roster!A$2:A176,Roster!$H$2:$H176=""F"",Roster!$J$2:$J176=$D115)"),"Fredrickson")</f>
        <v>Fredrickson</v>
      </c>
      <c r="E117" s="163" t="str">
        <f>IFERROR(__xludf.DUMMYFUNCTION("FILTER(Roster!B$2:B176,Roster!$H$2:$H176=""F"",Roster!$J$2:$J176=$D115)"),"Geri")</f>
        <v>Geri</v>
      </c>
      <c r="F117" s="163" t="str">
        <f>IFERROR(__xludf.DUMMYFUNCTION("FILTER(Roster!D$2:D176,Roster!$H$2:$H176=""F"",Roster!$J$2:$J176=$D115)"),"4 - Sun")</f>
        <v>4 - Sun</v>
      </c>
      <c r="G117" s="163" t="str">
        <f>IFERROR(__xludf.DUMMYFUNCTION("FILTER(Roster!E$2:E176,Roster!$H$2:$H176=""F"",Roster!$J$2:$J176=$D115)"),"")</f>
        <v/>
      </c>
      <c r="H117" s="163" t="str">
        <f>IFERROR(__xludf.DUMMYFUNCTION("FILTER(Roster!F$2:F176,Roster!$H$2:$H176=""F"",Roster!$J$2:$J176=$D115)"),"")</f>
        <v/>
      </c>
      <c r="I117" s="163" t="str">
        <f>IFERROR(__xludf.DUMMYFUNCTION("FILTER(Roster!G$2:G176,Roster!$H$2:$H176=""F"",Roster!$J$2:$J176=$D115)"),"")</f>
        <v/>
      </c>
      <c r="J117" s="163" t="str">
        <f>IFERROR(__xludf.DUMMYFUNCTION("FILTER(Roster!H$2:H176,Roster!$H$2:$H176=""F"",Roster!$J$2:$J176=$D115)"),"F")</f>
        <v>F</v>
      </c>
      <c r="K117" s="163" t="str">
        <f>IFERROR(__xludf.DUMMYFUNCTION("FILTER(Roster!I$2:I176,Roster!$H$2:$H176=""F"",Roster!$J$2:$J176=$D115)"),"E")</f>
        <v>E</v>
      </c>
      <c r="L117" s="163">
        <f>IFERROR(__xludf.DUMMYFUNCTION("FILTER(Roster!J$2:J176,Roster!$H$2:$H176=""F"",Roster!$J$2:$J176=$D115)"),82.5)</f>
        <v>82.5</v>
      </c>
      <c r="M117" s="163">
        <f>IFERROR(__xludf.DUMMYFUNCTION("FILTER(Roster!M$2:M176,Roster!$H$2:$H176=""F"",Roster!$J$2:$J176=$D115)"),550.5)</f>
        <v>550.5</v>
      </c>
      <c r="N117" s="163" t="str">
        <f>IFERROR(__xludf.DUMMYFUNCTION("FILTER(Roster!N$2:N176,Roster!$H$2:$H176=""F"",Roster!$J$2:$J176=$D115)"),"")</f>
        <v/>
      </c>
      <c r="O117" s="164" t="str">
        <f t="array" ref="O117">INDEX('Best Lifts'!E$1:E$279,MATCH(1,($D117='Best Lifts'!$A:$A)*($E117='Best Lifts'!$B:$B),0))</f>
        <v>#N/A</v>
      </c>
      <c r="P117" s="164" t="str">
        <f t="array" ref="P117">INDEX('Best Lifts'!F$1:F$279,MATCH(1,($D117='Best Lifts'!$A:$A)*($E117='Best Lifts'!$B:$B),0))</f>
        <v/>
      </c>
      <c r="Q117" s="164" t="str">
        <f t="array" ref="Q117">INDEX('Best Lifts'!G$1:G$279,MATCH(1,($D117='Best Lifts'!$A:$A)*($E117='Best Lifts'!$B:$B),0))</f>
        <v/>
      </c>
      <c r="R117" s="164" t="str">
        <f t="array" ref="R117">INDEX('Best Lifts'!H$1:H$279,MATCH(1,($D117='Best Lifts'!$A:$A)*($E117='Best Lifts'!$B:$B),0))</f>
        <v/>
      </c>
      <c r="S117" s="164">
        <f t="array" ref="S117">INDEX('Best Lifts'!I$1:I$279,MATCH(1,($D117='Best Lifts'!$A:$A)*($E117='Best Lifts'!$B:$B),0))</f>
        <v>240.5</v>
      </c>
      <c r="T117" s="164">
        <f t="array" ref="T117">INDEX('Best Lifts'!J$1:J$279,MATCH(1,($D117='Best Lifts'!$A:$A)*($E117='Best Lifts'!$B:$B),0))</f>
        <v>140</v>
      </c>
      <c r="U117" s="164">
        <f t="array" ref="U117">INDEX('Best Lifts'!K$1:K$279,MATCH(1,($D117='Best Lifts'!$A:$A)*($E117='Best Lifts'!$B:$B),0))</f>
        <v>182.5</v>
      </c>
      <c r="V117" s="164">
        <f t="array" ref="V117">INDEX('Best Lifts'!L$1:L$279,MATCH(1,($D117='Best Lifts'!$A:$A)*($E117='Best Lifts'!$B:$B),0))</f>
        <v>550.5</v>
      </c>
      <c r="W117" s="164">
        <f t="shared" ref="W117:W127" si="25">IF(ISNA(SUM(S117:U117)),0,SUM(S117:U117))</f>
        <v>563</v>
      </c>
      <c r="X117" s="165" t="str">
        <f t="array" ref="X117">INDEX('Best Lifts'!M$1:M$279,MATCH(1,($D117='Best Lifts'!$A:$A)*($E117='Best Lifts'!$B:$B),0))</f>
        <v/>
      </c>
    </row>
    <row r="118">
      <c r="A118" s="163">
        <f t="shared" si="23"/>
        <v>2</v>
      </c>
      <c r="B118" s="163">
        <f t="shared" si="24"/>
        <v>2</v>
      </c>
      <c r="C118" s="163"/>
      <c r="D118" s="163" t="str">
        <f>IFERROR(__xludf.DUMMYFUNCTION("""COMPUTED_VALUE"""),"Flynn")</f>
        <v>Flynn</v>
      </c>
      <c r="E118" s="163" t="str">
        <f>IFERROR(__xludf.DUMMYFUNCTION("""COMPUTED_VALUE"""),"Lauren")</f>
        <v>Lauren</v>
      </c>
      <c r="F118" s="163" t="str">
        <f>IFERROR(__xludf.DUMMYFUNCTION("""COMPUTED_VALUE"""),"4 - Sun")</f>
        <v>4 - Sun</v>
      </c>
      <c r="G118" s="163"/>
      <c r="H118" s="163"/>
      <c r="I118" s="163"/>
      <c r="J118" s="163" t="str">
        <f>IFERROR(__xludf.DUMMYFUNCTION("""COMPUTED_VALUE"""),"F")</f>
        <v>F</v>
      </c>
      <c r="K118" s="163" t="str">
        <f>IFERROR(__xludf.DUMMYFUNCTION("""COMPUTED_VALUE"""),"E")</f>
        <v>E</v>
      </c>
      <c r="L118" s="163">
        <f>IFERROR(__xludf.DUMMYFUNCTION("""COMPUTED_VALUE"""),82.5)</f>
        <v>82.5</v>
      </c>
      <c r="M118" s="163">
        <f>IFERROR(__xludf.DUMMYFUNCTION("""COMPUTED_VALUE"""),520.0)</f>
        <v>520</v>
      </c>
      <c r="N118" s="163"/>
      <c r="O118" s="164">
        <f t="array" ref="O118">INDEX('Best Lifts'!E$1:E$279,MATCH(1,($D118='Best Lifts'!$A:$A)*($E118='Best Lifts'!$B:$B),0))</f>
        <v>162.5</v>
      </c>
      <c r="P118" s="164">
        <f t="array" ref="P118">INDEX('Best Lifts'!F$1:F$279,MATCH(1,($D118='Best Lifts'!$A:$A)*($E118='Best Lifts'!$B:$B),0))</f>
        <v>90</v>
      </c>
      <c r="Q118" s="164">
        <f t="array" ref="Q118">INDEX('Best Lifts'!G$1:G$279,MATCH(1,($D118='Best Lifts'!$A:$A)*($E118='Best Lifts'!$B:$B),0))</f>
        <v>200</v>
      </c>
      <c r="R118" s="164">
        <f t="array" ref="R118">INDEX('Best Lifts'!H$1:H$279,MATCH(1,($D118='Best Lifts'!$A:$A)*($E118='Best Lifts'!$B:$B),0))</f>
        <v>452.5</v>
      </c>
      <c r="S118" s="164">
        <f t="array" ref="S118">INDEX('Best Lifts'!I$1:I$279,MATCH(1,($D118='Best Lifts'!$A:$A)*($E118='Best Lifts'!$B:$B),0))</f>
        <v>200</v>
      </c>
      <c r="T118" s="164">
        <f t="array" ref="T118">INDEX('Best Lifts'!J$1:J$279,MATCH(1,($D118='Best Lifts'!$A:$A)*($E118='Best Lifts'!$B:$B),0))</f>
        <v>115</v>
      </c>
      <c r="U118" s="164">
        <f t="array" ref="U118">INDEX('Best Lifts'!K$1:K$279,MATCH(1,($D118='Best Lifts'!$A:$A)*($E118='Best Lifts'!$B:$B),0))</f>
        <v>205</v>
      </c>
      <c r="V118" s="164">
        <f t="array" ref="V118">INDEX('Best Lifts'!L$1:L$279,MATCH(1,($D118='Best Lifts'!$A:$A)*($E118='Best Lifts'!$B:$B),0))</f>
        <v>520</v>
      </c>
      <c r="W118" s="164">
        <f t="shared" si="25"/>
        <v>520</v>
      </c>
      <c r="X118" s="165" t="str">
        <f t="array" ref="X118">INDEX('Best Lifts'!M$1:M$279,MATCH(1,($D118='Best Lifts'!$A:$A)*($E118='Best Lifts'!$B:$B),0))</f>
        <v/>
      </c>
    </row>
    <row r="119">
      <c r="A119" s="163">
        <f t="shared" si="23"/>
        <v>3</v>
      </c>
      <c r="B119" s="163">
        <f t="shared" si="24"/>
        <v>4</v>
      </c>
      <c r="C119" s="163"/>
      <c r="D119" s="163" t="str">
        <f>IFERROR(__xludf.DUMMYFUNCTION("""COMPUTED_VALUE"""),"Andrews")</f>
        <v>Andrews</v>
      </c>
      <c r="E119" s="163" t="str">
        <f>IFERROR(__xludf.DUMMYFUNCTION("""COMPUTED_VALUE"""),"Thelma")</f>
        <v>Thelma</v>
      </c>
      <c r="F119" s="163" t="str">
        <f>IFERROR(__xludf.DUMMYFUNCTION("""COMPUTED_VALUE"""),"4 - Sun")</f>
        <v>4 - Sun</v>
      </c>
      <c r="G119" s="163"/>
      <c r="H119" s="163"/>
      <c r="I119" s="163"/>
      <c r="J119" s="163" t="str">
        <f>IFERROR(__xludf.DUMMYFUNCTION("""COMPUTED_VALUE"""),"F")</f>
        <v>F</v>
      </c>
      <c r="K119" s="163" t="str">
        <f>IFERROR(__xludf.DUMMYFUNCTION("""COMPUTED_VALUE"""),"E")</f>
        <v>E</v>
      </c>
      <c r="L119" s="163">
        <f>IFERROR(__xludf.DUMMYFUNCTION("""COMPUTED_VALUE"""),82.5)</f>
        <v>82.5</v>
      </c>
      <c r="M119" s="163">
        <f>IFERROR(__xludf.DUMMYFUNCTION("""COMPUTED_VALUE"""),445.0)</f>
        <v>445</v>
      </c>
      <c r="N119" s="163"/>
      <c r="O119" s="164">
        <f t="array" ref="O119">INDEX('Best Lifts'!E$1:E$279,MATCH(1,($D119='Best Lifts'!$A:$A)*($E119='Best Lifts'!$B:$B),0))</f>
        <v>137.5</v>
      </c>
      <c r="P119" s="164">
        <f t="array" ref="P119">INDEX('Best Lifts'!F$1:F$279,MATCH(1,($D119='Best Lifts'!$A:$A)*($E119='Best Lifts'!$B:$B),0))</f>
        <v>72.5</v>
      </c>
      <c r="Q119" s="164">
        <f t="array" ref="Q119">INDEX('Best Lifts'!G$1:G$279,MATCH(1,($D119='Best Lifts'!$A:$A)*($E119='Best Lifts'!$B:$B),0))</f>
        <v>167.5</v>
      </c>
      <c r="R119" s="164">
        <f t="array" ref="R119">INDEX('Best Lifts'!H$1:H$279,MATCH(1,($D119='Best Lifts'!$A:$A)*($E119='Best Lifts'!$B:$B),0))</f>
        <v>377.5</v>
      </c>
      <c r="S119" s="164">
        <f t="array" ref="S119">INDEX('Best Lifts'!I$1:I$279,MATCH(1,($D119='Best Lifts'!$A:$A)*($E119='Best Lifts'!$B:$B),0))</f>
        <v>175</v>
      </c>
      <c r="T119" s="164">
        <f t="array" ref="T119">INDEX('Best Lifts'!J$1:J$279,MATCH(1,($D119='Best Lifts'!$A:$A)*($E119='Best Lifts'!$B:$B),0))</f>
        <v>107.5</v>
      </c>
      <c r="U119" s="164">
        <f t="array" ref="U119">INDEX('Best Lifts'!K$1:K$279,MATCH(1,($D119='Best Lifts'!$A:$A)*($E119='Best Lifts'!$B:$B),0))</f>
        <v>165</v>
      </c>
      <c r="V119" s="164">
        <f t="array" ref="V119">INDEX('Best Lifts'!L$1:L$279,MATCH(1,($D119='Best Lifts'!$A:$A)*($E119='Best Lifts'!$B:$B),0))</f>
        <v>445</v>
      </c>
      <c r="W119" s="164">
        <f t="shared" si="25"/>
        <v>447.5</v>
      </c>
      <c r="X119" s="165" t="str">
        <f t="array" ref="X119">INDEX('Best Lifts'!M$1:M$279,MATCH(1,($D119='Best Lifts'!$A:$A)*($E119='Best Lifts'!$B:$B),0))</f>
        <v/>
      </c>
    </row>
    <row r="120">
      <c r="A120" s="163">
        <f t="shared" si="23"/>
        <v>3</v>
      </c>
      <c r="B120" s="163">
        <f t="shared" si="24"/>
        <v>3</v>
      </c>
      <c r="C120" s="163"/>
      <c r="D120" s="163" t="str">
        <f>IFERROR(__xludf.DUMMYFUNCTION("""COMPUTED_VALUE"""),"Lozano")</f>
        <v>Lozano</v>
      </c>
      <c r="E120" s="163" t="str">
        <f>IFERROR(__xludf.DUMMYFUNCTION("""COMPUTED_VALUE"""),"Devanhi")</f>
        <v>Devanhi</v>
      </c>
      <c r="F120" s="163" t="str">
        <f>IFERROR(__xludf.DUMMYFUNCTION("""COMPUTED_VALUE"""),"4 - Sun")</f>
        <v>4 - Sun</v>
      </c>
      <c r="G120" s="163"/>
      <c r="H120" s="163"/>
      <c r="I120" s="163"/>
      <c r="J120" s="163" t="str">
        <f>IFERROR(__xludf.DUMMYFUNCTION("""COMPUTED_VALUE"""),"F")</f>
        <v>F</v>
      </c>
      <c r="K120" s="163" t="str">
        <f>IFERROR(__xludf.DUMMYFUNCTION("""COMPUTED_VALUE"""),"E")</f>
        <v>E</v>
      </c>
      <c r="L120" s="163">
        <f>IFERROR(__xludf.DUMMYFUNCTION("""COMPUTED_VALUE"""),82.5)</f>
        <v>82.5</v>
      </c>
      <c r="M120" s="163">
        <f>IFERROR(__xludf.DUMMYFUNCTION("""COMPUTED_VALUE"""),445.0)</f>
        <v>445</v>
      </c>
      <c r="N120" s="163"/>
      <c r="O120" s="164" t="str">
        <f t="array" ref="O120">INDEX('Best Lifts'!E$1:E$279,MATCH(1,($D120='Best Lifts'!$A:$A)*($E120='Best Lifts'!$B:$B),0))</f>
        <v/>
      </c>
      <c r="P120" s="164">
        <f t="array" ref="P120">INDEX('Best Lifts'!F$1:F$279,MATCH(1,($D120='Best Lifts'!$A:$A)*($E120='Best Lifts'!$B:$B),0))</f>
        <v>90</v>
      </c>
      <c r="Q120" s="164" t="str">
        <f t="array" ref="Q120">INDEX('Best Lifts'!G$1:G$279,MATCH(1,($D120='Best Lifts'!$A:$A)*($E120='Best Lifts'!$B:$B),0))</f>
        <v/>
      </c>
      <c r="R120" s="164" t="str">
        <f t="array" ref="R120">INDEX('Best Lifts'!H$1:H$279,MATCH(1,($D120='Best Lifts'!$A:$A)*($E120='Best Lifts'!$B:$B),0))</f>
        <v/>
      </c>
      <c r="S120" s="164">
        <f t="array" ref="S120">INDEX('Best Lifts'!I$1:I$279,MATCH(1,($D120='Best Lifts'!$A:$A)*($E120='Best Lifts'!$B:$B),0))</f>
        <v>197.5</v>
      </c>
      <c r="T120" s="164">
        <f t="array" ref="T120">INDEX('Best Lifts'!J$1:J$279,MATCH(1,($D120='Best Lifts'!$A:$A)*($E120='Best Lifts'!$B:$B),0))</f>
        <v>102.5</v>
      </c>
      <c r="U120" s="164">
        <f t="array" ref="U120">INDEX('Best Lifts'!K$1:K$279,MATCH(1,($D120='Best Lifts'!$A:$A)*($E120='Best Lifts'!$B:$B),0))</f>
        <v>149.6</v>
      </c>
      <c r="V120" s="164">
        <f t="array" ref="V120">INDEX('Best Lifts'!L$1:L$279,MATCH(1,($D120='Best Lifts'!$A:$A)*($E120='Best Lifts'!$B:$B),0))</f>
        <v>445</v>
      </c>
      <c r="W120" s="164">
        <f t="shared" si="25"/>
        <v>449.6</v>
      </c>
      <c r="X120" s="165" t="str">
        <f t="array" ref="X120">INDEX('Best Lifts'!M$1:M$279,MATCH(1,($D120='Best Lifts'!$A:$A)*($E120='Best Lifts'!$B:$B),0))</f>
        <v/>
      </c>
    </row>
    <row r="121">
      <c r="A121" s="163">
        <f t="shared" si="23"/>
        <v>5</v>
      </c>
      <c r="B121" s="163">
        <f t="shared" si="24"/>
        <v>5</v>
      </c>
      <c r="C121" s="163"/>
      <c r="D121" s="163" t="str">
        <f>IFERROR(__xludf.DUMMYFUNCTION("""COMPUTED_VALUE"""),"Collins")</f>
        <v>Collins</v>
      </c>
      <c r="E121" s="163" t="str">
        <f>IFERROR(__xludf.DUMMYFUNCTION("""COMPUTED_VALUE"""),"Joscelyn")</f>
        <v>Joscelyn</v>
      </c>
      <c r="F121" s="163" t="str">
        <f>IFERROR(__xludf.DUMMYFUNCTION("""COMPUTED_VALUE"""),"4 - Sun")</f>
        <v>4 - Sun</v>
      </c>
      <c r="G121" s="163"/>
      <c r="H121" s="163"/>
      <c r="I121" s="163"/>
      <c r="J121" s="163" t="str">
        <f>IFERROR(__xludf.DUMMYFUNCTION("""COMPUTED_VALUE"""),"F")</f>
        <v>F</v>
      </c>
      <c r="K121" s="163" t="str">
        <f>IFERROR(__xludf.DUMMYFUNCTION("""COMPUTED_VALUE"""),"E")</f>
        <v>E</v>
      </c>
      <c r="L121" s="163">
        <f>IFERROR(__xludf.DUMMYFUNCTION("""COMPUTED_VALUE"""),82.5)</f>
        <v>82.5</v>
      </c>
      <c r="M121" s="163">
        <f>IFERROR(__xludf.DUMMYFUNCTION("""COMPUTED_VALUE"""),407.5)</f>
        <v>407.5</v>
      </c>
      <c r="N121" s="163"/>
      <c r="O121" s="164">
        <f t="array" ref="O121">INDEX('Best Lifts'!E$1:E$279,MATCH(1,($D121='Best Lifts'!$A:$A)*($E121='Best Lifts'!$B:$B),0))</f>
        <v>107.5</v>
      </c>
      <c r="P121" s="164">
        <f t="array" ref="P121">INDEX('Best Lifts'!F$1:F$279,MATCH(1,($D121='Best Lifts'!$A:$A)*($E121='Best Lifts'!$B:$B),0))</f>
        <v>65</v>
      </c>
      <c r="Q121" s="164">
        <f t="array" ref="Q121">INDEX('Best Lifts'!G$1:G$279,MATCH(1,($D121='Best Lifts'!$A:$A)*($E121='Best Lifts'!$B:$B),0))</f>
        <v>120</v>
      </c>
      <c r="R121" s="164">
        <f t="array" ref="R121">INDEX('Best Lifts'!H$1:H$279,MATCH(1,($D121='Best Lifts'!$A:$A)*($E121='Best Lifts'!$B:$B),0))</f>
        <v>292.5</v>
      </c>
      <c r="S121" s="164">
        <f t="array" ref="S121">INDEX('Best Lifts'!I$1:I$279,MATCH(1,($D121='Best Lifts'!$A:$A)*($E121='Best Lifts'!$B:$B),0))</f>
        <v>152.5</v>
      </c>
      <c r="T121" s="164">
        <f t="array" ref="T121">INDEX('Best Lifts'!J$1:J$279,MATCH(1,($D121='Best Lifts'!$A:$A)*($E121='Best Lifts'!$B:$B),0))</f>
        <v>105</v>
      </c>
      <c r="U121" s="164">
        <f t="array" ref="U121">INDEX('Best Lifts'!K$1:K$279,MATCH(1,($D121='Best Lifts'!$A:$A)*($E121='Best Lifts'!$B:$B),0))</f>
        <v>150</v>
      </c>
      <c r="V121" s="164">
        <f t="array" ref="V121">INDEX('Best Lifts'!L$1:L$279,MATCH(1,($D121='Best Lifts'!$A:$A)*($E121='Best Lifts'!$B:$B),0))</f>
        <v>407.5</v>
      </c>
      <c r="W121" s="164">
        <f t="shared" si="25"/>
        <v>407.5</v>
      </c>
      <c r="X121" s="165" t="str">
        <f t="array" ref="X121">INDEX('Best Lifts'!M$1:M$279,MATCH(1,($D121='Best Lifts'!$A:$A)*($E121='Best Lifts'!$B:$B),0))</f>
        <v/>
      </c>
    </row>
    <row r="122">
      <c r="A122" s="163">
        <f t="shared" si="23"/>
        <v>6</v>
      </c>
      <c r="B122" s="163">
        <f t="shared" si="24"/>
        <v>6</v>
      </c>
      <c r="C122" s="163"/>
      <c r="D122" s="163" t="str">
        <f>IFERROR(__xludf.DUMMYFUNCTION("""COMPUTED_VALUE"""),"Massey")</f>
        <v>Massey</v>
      </c>
      <c r="E122" s="163" t="str">
        <f>IFERROR(__xludf.DUMMYFUNCTION("""COMPUTED_VALUE"""),"Breana")</f>
        <v>Breana</v>
      </c>
      <c r="F122" s="163" t="str">
        <f>IFERROR(__xludf.DUMMYFUNCTION("""COMPUTED_VALUE"""),"4 - Sun")</f>
        <v>4 - Sun</v>
      </c>
      <c r="G122" s="163"/>
      <c r="H122" s="163"/>
      <c r="I122" s="163"/>
      <c r="J122" s="163" t="str">
        <f>IFERROR(__xludf.DUMMYFUNCTION("""COMPUTED_VALUE"""),"F")</f>
        <v>F</v>
      </c>
      <c r="K122" s="163" t="str">
        <f>IFERROR(__xludf.DUMMYFUNCTION("""COMPUTED_VALUE"""),"E")</f>
        <v>E</v>
      </c>
      <c r="L122" s="163">
        <f>IFERROR(__xludf.DUMMYFUNCTION("""COMPUTED_VALUE"""),82.5)</f>
        <v>82.5</v>
      </c>
      <c r="M122" s="163">
        <f>IFERROR(__xludf.DUMMYFUNCTION("""COMPUTED_VALUE"""),382.5)</f>
        <v>382.5</v>
      </c>
      <c r="N122" s="163"/>
      <c r="O122" s="164" t="str">
        <f t="array" ref="O122">INDEX('Best Lifts'!E$1:E$279,MATCH(1,($D122='Best Lifts'!$A:$A)*($E122='Best Lifts'!$B:$B),0))</f>
        <v>#N/A</v>
      </c>
      <c r="P122" s="164" t="str">
        <f t="array" ref="P122">INDEX('Best Lifts'!F$1:F$279,MATCH(1,($D122='Best Lifts'!$A:$A)*($E122='Best Lifts'!$B:$B),0))</f>
        <v/>
      </c>
      <c r="Q122" s="164" t="str">
        <f t="array" ref="Q122">INDEX('Best Lifts'!G$1:G$279,MATCH(1,($D122='Best Lifts'!$A:$A)*($E122='Best Lifts'!$B:$B),0))</f>
        <v/>
      </c>
      <c r="R122" s="164" t="str">
        <f t="array" ref="R122">INDEX('Best Lifts'!H$1:H$279,MATCH(1,($D122='Best Lifts'!$A:$A)*($E122='Best Lifts'!$B:$B),0))</f>
        <v/>
      </c>
      <c r="S122" s="164">
        <f t="array" ref="S122">INDEX('Best Lifts'!I$1:I$279,MATCH(1,($D122='Best Lifts'!$A:$A)*($E122='Best Lifts'!$B:$B),0))</f>
        <v>157.5</v>
      </c>
      <c r="T122" s="164">
        <f t="array" ref="T122">INDEX('Best Lifts'!J$1:J$279,MATCH(1,($D122='Best Lifts'!$A:$A)*($E122='Best Lifts'!$B:$B),0))</f>
        <v>72.5</v>
      </c>
      <c r="U122" s="164">
        <f t="array" ref="U122">INDEX('Best Lifts'!K$1:K$279,MATCH(1,($D122='Best Lifts'!$A:$A)*($E122='Best Lifts'!$B:$B),0))</f>
        <v>152.5</v>
      </c>
      <c r="V122" s="164">
        <f t="array" ref="V122">INDEX('Best Lifts'!L$1:L$279,MATCH(1,($D122='Best Lifts'!$A:$A)*($E122='Best Lifts'!$B:$B),0))</f>
        <v>382.5</v>
      </c>
      <c r="W122" s="164">
        <f t="shared" si="25"/>
        <v>382.5</v>
      </c>
      <c r="X122" s="165" t="str">
        <f t="array" ref="X122">INDEX('Best Lifts'!M$1:M$279,MATCH(1,($D122='Best Lifts'!$A:$A)*($E122='Best Lifts'!$B:$B),0))</f>
        <v/>
      </c>
    </row>
    <row r="123">
      <c r="A123" s="163">
        <f t="shared" si="23"/>
        <v>7</v>
      </c>
      <c r="B123" s="163">
        <f t="shared" si="24"/>
        <v>7</v>
      </c>
      <c r="C123" s="163"/>
      <c r="D123" s="163" t="str">
        <f>IFERROR(__xludf.DUMMYFUNCTION("""COMPUTED_VALUE"""),"Aguirre")</f>
        <v>Aguirre</v>
      </c>
      <c r="E123" s="163" t="str">
        <f>IFERROR(__xludf.DUMMYFUNCTION("""COMPUTED_VALUE"""),"Gabriela")</f>
        <v>Gabriela</v>
      </c>
      <c r="F123" s="163" t="str">
        <f>IFERROR(__xludf.DUMMYFUNCTION("""COMPUTED_VALUE"""),"4 - Sun")</f>
        <v>4 - Sun</v>
      </c>
      <c r="G123" s="163"/>
      <c r="H123" s="163"/>
      <c r="I123" s="163"/>
      <c r="J123" s="163" t="str">
        <f>IFERROR(__xludf.DUMMYFUNCTION("""COMPUTED_VALUE"""),"F")</f>
        <v>F</v>
      </c>
      <c r="K123" s="163" t="str">
        <f>IFERROR(__xludf.DUMMYFUNCTION("""COMPUTED_VALUE"""),"E")</f>
        <v>E</v>
      </c>
      <c r="L123" s="163">
        <f>IFERROR(__xludf.DUMMYFUNCTION("""COMPUTED_VALUE"""),82.5)</f>
        <v>82.5</v>
      </c>
      <c r="M123" s="163">
        <f>IFERROR(__xludf.DUMMYFUNCTION("""COMPUTED_VALUE"""),362.5)</f>
        <v>362.5</v>
      </c>
      <c r="N123" s="163"/>
      <c r="O123" s="164">
        <f t="array" ref="O123">INDEX('Best Lifts'!E$1:E$279,MATCH(1,($D123='Best Lifts'!$A:$A)*($E123='Best Lifts'!$B:$B),0))</f>
        <v>107.5</v>
      </c>
      <c r="P123" s="164">
        <f t="array" ref="P123">INDEX('Best Lifts'!F$1:F$279,MATCH(1,($D123='Best Lifts'!$A:$A)*($E123='Best Lifts'!$B:$B),0))</f>
        <v>55</v>
      </c>
      <c r="Q123" s="164">
        <f t="array" ref="Q123">INDEX('Best Lifts'!G$1:G$279,MATCH(1,($D123='Best Lifts'!$A:$A)*($E123='Best Lifts'!$B:$B),0))</f>
        <v>130</v>
      </c>
      <c r="R123" s="164">
        <f t="array" ref="R123">INDEX('Best Lifts'!H$1:H$279,MATCH(1,($D123='Best Lifts'!$A:$A)*($E123='Best Lifts'!$B:$B),0))</f>
        <v>292.5</v>
      </c>
      <c r="S123" s="164">
        <f t="array" ref="S123">INDEX('Best Lifts'!I$1:I$279,MATCH(1,($D123='Best Lifts'!$A:$A)*($E123='Best Lifts'!$B:$B),0))</f>
        <v>145</v>
      </c>
      <c r="T123" s="164">
        <f t="array" ref="T123">INDEX('Best Lifts'!J$1:J$279,MATCH(1,($D123='Best Lifts'!$A:$A)*($E123='Best Lifts'!$B:$B),0))</f>
        <v>82.5</v>
      </c>
      <c r="U123" s="164">
        <f t="array" ref="U123">INDEX('Best Lifts'!K$1:K$279,MATCH(1,($D123='Best Lifts'!$A:$A)*($E123='Best Lifts'!$B:$B),0))</f>
        <v>135</v>
      </c>
      <c r="V123" s="164">
        <f t="array" ref="V123">INDEX('Best Lifts'!L$1:L$279,MATCH(1,($D123='Best Lifts'!$A:$A)*($E123='Best Lifts'!$B:$B),0))</f>
        <v>362.5</v>
      </c>
      <c r="W123" s="164">
        <f t="shared" si="25"/>
        <v>362.5</v>
      </c>
      <c r="X123" s="165" t="str">
        <f t="array" ref="X123">INDEX('Best Lifts'!M$1:M$279,MATCH(1,($D123='Best Lifts'!$A:$A)*($E123='Best Lifts'!$B:$B),0))</f>
        <v/>
      </c>
    </row>
    <row r="124">
      <c r="A124" s="163">
        <f t="shared" si="23"/>
        <v>8</v>
      </c>
      <c r="B124" s="163">
        <f t="shared" si="24"/>
        <v>8</v>
      </c>
      <c r="C124" s="163"/>
      <c r="D124" s="163" t="str">
        <f>IFERROR(__xludf.DUMMYFUNCTION("""COMPUTED_VALUE"""),"Rojas")</f>
        <v>Rojas</v>
      </c>
      <c r="E124" s="163" t="str">
        <f>IFERROR(__xludf.DUMMYFUNCTION("""COMPUTED_VALUE"""),"Sofia")</f>
        <v>Sofia</v>
      </c>
      <c r="F124" s="163" t="str">
        <f>IFERROR(__xludf.DUMMYFUNCTION("""COMPUTED_VALUE"""),"4 - Sun")</f>
        <v>4 - Sun</v>
      </c>
      <c r="G124" s="163"/>
      <c r="H124" s="163"/>
      <c r="I124" s="163"/>
      <c r="J124" s="163" t="str">
        <f>IFERROR(__xludf.DUMMYFUNCTION("""COMPUTED_VALUE"""),"F")</f>
        <v>F</v>
      </c>
      <c r="K124" s="163" t="str">
        <f>IFERROR(__xludf.DUMMYFUNCTION("""COMPUTED_VALUE"""),"E")</f>
        <v>E</v>
      </c>
      <c r="L124" s="163">
        <f>IFERROR(__xludf.DUMMYFUNCTION("""COMPUTED_VALUE"""),82.5)</f>
        <v>82.5</v>
      </c>
      <c r="M124" s="163">
        <f>IFERROR(__xludf.DUMMYFUNCTION("""COMPUTED_VALUE"""),340.0)</f>
        <v>340</v>
      </c>
      <c r="N124" s="163"/>
      <c r="O124" s="164"/>
      <c r="P124" s="164"/>
      <c r="Q124" s="164"/>
      <c r="R124" s="164"/>
      <c r="S124" s="164" t="str">
        <f t="array" ref="S124">INDEX('Best Lifts'!I$1:I$279,MATCH(1,($D124='Best Lifts'!$A:$A)*($E124='Best Lifts'!$B:$B),0))</f>
        <v>#N/A</v>
      </c>
      <c r="T124" s="164" t="str">
        <f t="array" ref="T124">INDEX('Best Lifts'!J$1:J$279,MATCH(1,($D124='Best Lifts'!$A:$A)*($E124='Best Lifts'!$B:$B),0))</f>
        <v/>
      </c>
      <c r="U124" s="164" t="str">
        <f t="array" ref="U124">INDEX('Best Lifts'!K$1:K$279,MATCH(1,($D124='Best Lifts'!$A:$A)*($E124='Best Lifts'!$B:$B),0))</f>
        <v/>
      </c>
      <c r="V124" s="164" t="str">
        <f t="array" ref="V124">INDEX('Best Lifts'!L$1:L$279,MATCH(1,($D124='Best Lifts'!$A:$A)*($E124='Best Lifts'!$B:$B),0))</f>
        <v/>
      </c>
      <c r="W124" s="164">
        <f t="shared" si="25"/>
        <v>0</v>
      </c>
      <c r="X124" s="165"/>
    </row>
    <row r="125">
      <c r="A125" s="163">
        <f t="shared" si="23"/>
        <v>9</v>
      </c>
      <c r="B125" s="163">
        <f t="shared" si="24"/>
        <v>8</v>
      </c>
      <c r="C125" s="163"/>
      <c r="D125" s="163" t="str">
        <f>IFERROR(__xludf.DUMMYFUNCTION("""COMPUTED_VALUE"""),"Yarde")</f>
        <v>Yarde</v>
      </c>
      <c r="E125" s="163" t="str">
        <f>IFERROR(__xludf.DUMMYFUNCTION("""COMPUTED_VALUE"""),"Elizabeth")</f>
        <v>Elizabeth</v>
      </c>
      <c r="F125" s="163" t="str">
        <f>IFERROR(__xludf.DUMMYFUNCTION("""COMPUTED_VALUE"""),"4 - Sun")</f>
        <v>4 - Sun</v>
      </c>
      <c r="G125" s="163"/>
      <c r="H125" s="163"/>
      <c r="I125" s="163"/>
      <c r="J125" s="163" t="str">
        <f>IFERROR(__xludf.DUMMYFUNCTION("""COMPUTED_VALUE"""),"F")</f>
        <v>F</v>
      </c>
      <c r="K125" s="163" t="str">
        <f>IFERROR(__xludf.DUMMYFUNCTION("""COMPUTED_VALUE"""),"E")</f>
        <v>E</v>
      </c>
      <c r="L125" s="163">
        <f>IFERROR(__xludf.DUMMYFUNCTION("""COMPUTED_VALUE"""),82.5)</f>
        <v>82.5</v>
      </c>
      <c r="M125" s="163">
        <f>IFERROR(__xludf.DUMMYFUNCTION("""COMPUTED_VALUE"""),295.0)</f>
        <v>295</v>
      </c>
      <c r="N125" s="163"/>
      <c r="O125" s="164"/>
      <c r="P125" s="164"/>
      <c r="Q125" s="164"/>
      <c r="R125" s="164"/>
      <c r="S125" s="164" t="str">
        <f t="array" ref="S125">INDEX('Best Lifts'!I$1:I$279,MATCH(1,($D125='Best Lifts'!$A:$A)*($E125='Best Lifts'!$B:$B),0))</f>
        <v>#N/A</v>
      </c>
      <c r="T125" s="164" t="str">
        <f t="array" ref="T125">INDEX('Best Lifts'!J$1:J$279,MATCH(1,($D125='Best Lifts'!$A:$A)*($E125='Best Lifts'!$B:$B),0))</f>
        <v/>
      </c>
      <c r="U125" s="164" t="str">
        <f t="array" ref="U125">INDEX('Best Lifts'!K$1:K$279,MATCH(1,($D125='Best Lifts'!$A:$A)*($E125='Best Lifts'!$B:$B),0))</f>
        <v/>
      </c>
      <c r="V125" s="164" t="str">
        <f t="array" ref="V125">INDEX('Best Lifts'!L$1:L$279,MATCH(1,($D125='Best Lifts'!$A:$A)*($E125='Best Lifts'!$B:$B),0))</f>
        <v/>
      </c>
      <c r="W125" s="164">
        <f t="shared" si="25"/>
        <v>0</v>
      </c>
      <c r="X125" s="165"/>
    </row>
    <row r="126">
      <c r="A126" s="163" t="str">
        <f t="shared" si="23"/>
        <v>#N/A</v>
      </c>
      <c r="B126" s="163">
        <f t="shared" si="24"/>
        <v>8</v>
      </c>
      <c r="C126" s="163"/>
      <c r="D126" s="163" t="str">
        <f>IFERROR(__xludf.DUMMYFUNCTION("""COMPUTED_VALUE"""),"Choudhry")</f>
        <v>Choudhry</v>
      </c>
      <c r="E126" s="163" t="str">
        <f>IFERROR(__xludf.DUMMYFUNCTION("""COMPUTED_VALUE"""),"Bisma")</f>
        <v>Bisma</v>
      </c>
      <c r="F126" s="163" t="str">
        <f>IFERROR(__xludf.DUMMYFUNCTION("""COMPUTED_VALUE"""),"4 - Sun")</f>
        <v>4 - Sun</v>
      </c>
      <c r="G126" s="163"/>
      <c r="H126" s="163"/>
      <c r="I126" s="163"/>
      <c r="J126" s="163" t="str">
        <f>IFERROR(__xludf.DUMMYFUNCTION("""COMPUTED_VALUE"""),"F")</f>
        <v>F</v>
      </c>
      <c r="K126" s="163" t="str">
        <f>IFERROR(__xludf.DUMMYFUNCTION("""COMPUTED_VALUE"""),"E")</f>
        <v>E</v>
      </c>
      <c r="L126" s="163">
        <f>IFERROR(__xludf.DUMMYFUNCTION("""COMPUTED_VALUE"""),82.5)</f>
        <v>82.5</v>
      </c>
      <c r="M126" s="163"/>
      <c r="N126" s="163"/>
      <c r="O126" s="164"/>
      <c r="P126" s="164"/>
      <c r="Q126" s="164"/>
      <c r="R126" s="164"/>
      <c r="S126" s="164" t="str">
        <f t="array" ref="S126">INDEX('Best Lifts'!I$1:I$279,MATCH(1,($D126='Best Lifts'!$A:$A)*($E126='Best Lifts'!$B:$B),0))</f>
        <v>#N/A</v>
      </c>
      <c r="T126" s="164" t="str">
        <f t="array" ref="T126">INDEX('Best Lifts'!J$1:J$279,MATCH(1,($D126='Best Lifts'!$A:$A)*($E126='Best Lifts'!$B:$B),0))</f>
        <v/>
      </c>
      <c r="U126" s="164" t="str">
        <f t="array" ref="U126">INDEX('Best Lifts'!K$1:K$279,MATCH(1,($D126='Best Lifts'!$A:$A)*($E126='Best Lifts'!$B:$B),0))</f>
        <v/>
      </c>
      <c r="V126" s="164" t="str">
        <f t="array" ref="V126">INDEX('Best Lifts'!L$1:L$279,MATCH(1,($D126='Best Lifts'!$A:$A)*($E126='Best Lifts'!$B:$B),0))</f>
        <v/>
      </c>
      <c r="W126" s="164">
        <f t="shared" si="25"/>
        <v>0</v>
      </c>
      <c r="X126" s="165"/>
    </row>
    <row r="127">
      <c r="A127" s="163" t="str">
        <f t="shared" si="23"/>
        <v>#N/A</v>
      </c>
      <c r="B127" s="163">
        <f t="shared" si="24"/>
        <v>8</v>
      </c>
      <c r="C127" s="163"/>
      <c r="D127" s="163" t="str">
        <f>IFERROR(__xludf.DUMMYFUNCTION("""COMPUTED_VALUE"""),"Sanchez")</f>
        <v>Sanchez</v>
      </c>
      <c r="E127" s="163" t="str">
        <f>IFERROR(__xludf.DUMMYFUNCTION("""COMPUTED_VALUE"""),"Valeria")</f>
        <v>Valeria</v>
      </c>
      <c r="F127" s="163" t="str">
        <f>IFERROR(__xludf.DUMMYFUNCTION("""COMPUTED_VALUE"""),"4 - Sun")</f>
        <v>4 - Sun</v>
      </c>
      <c r="G127" s="163"/>
      <c r="H127" s="163"/>
      <c r="I127" s="163"/>
      <c r="J127" s="163" t="str">
        <f>IFERROR(__xludf.DUMMYFUNCTION("""COMPUTED_VALUE"""),"F")</f>
        <v>F</v>
      </c>
      <c r="K127" s="163" t="str">
        <f>IFERROR(__xludf.DUMMYFUNCTION("""COMPUTED_VALUE"""),"E")</f>
        <v>E</v>
      </c>
      <c r="L127" s="163">
        <f>IFERROR(__xludf.DUMMYFUNCTION("""COMPUTED_VALUE"""),82.5)</f>
        <v>82.5</v>
      </c>
      <c r="M127" s="163"/>
      <c r="N127" s="163"/>
      <c r="O127" s="164"/>
      <c r="P127" s="164"/>
      <c r="Q127" s="164"/>
      <c r="R127" s="164"/>
      <c r="S127" s="164" t="str">
        <f t="array" ref="S127">INDEX('Best Lifts'!I$1:I$279,MATCH(1,($D127='Best Lifts'!$A:$A)*($E127='Best Lifts'!$B:$B),0))</f>
        <v>#N/A</v>
      </c>
      <c r="T127" s="164" t="str">
        <f t="array" ref="T127">INDEX('Best Lifts'!J$1:J$279,MATCH(1,($D127='Best Lifts'!$A:$A)*($E127='Best Lifts'!$B:$B),0))</f>
        <v/>
      </c>
      <c r="U127" s="164" t="str">
        <f t="array" ref="U127">INDEX('Best Lifts'!K$1:K$279,MATCH(1,($D127='Best Lifts'!$A:$A)*($E127='Best Lifts'!$B:$B),0))</f>
        <v/>
      </c>
      <c r="V127" s="164" t="str">
        <f t="array" ref="V127">INDEX('Best Lifts'!L$1:L$279,MATCH(1,($D127='Best Lifts'!$A:$A)*($E127='Best Lifts'!$B:$B),0))</f>
        <v/>
      </c>
      <c r="W127" s="164">
        <f t="shared" si="25"/>
        <v>0</v>
      </c>
      <c r="X127" s="165"/>
    </row>
    <row r="128">
      <c r="A128" s="154"/>
      <c r="B128" s="154"/>
      <c r="C128" s="154"/>
      <c r="D128" s="154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8"/>
      <c r="Q128" s="158"/>
      <c r="R128" s="159"/>
      <c r="S128" s="160"/>
      <c r="T128" s="158"/>
      <c r="U128" s="158"/>
      <c r="V128" s="159"/>
      <c r="W128" s="159"/>
      <c r="X128" s="165"/>
    </row>
    <row r="129">
      <c r="A129" s="154"/>
      <c r="B129" s="154"/>
      <c r="C129" s="154"/>
      <c r="D129" s="155">
        <v>90.0</v>
      </c>
      <c r="E129" s="156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8"/>
      <c r="Q129" s="158"/>
      <c r="R129" s="159"/>
      <c r="S129" s="160"/>
      <c r="T129" s="158"/>
      <c r="U129" s="158"/>
      <c r="V129" s="159"/>
      <c r="W129" s="159"/>
      <c r="X129" s="159"/>
    </row>
    <row r="130">
      <c r="A130" s="161" t="s">
        <v>746</v>
      </c>
      <c r="B130" s="161" t="s">
        <v>747</v>
      </c>
      <c r="C130" s="161" t="s">
        <v>748</v>
      </c>
      <c r="D130" s="161" t="s">
        <v>253</v>
      </c>
      <c r="E130" s="161" t="s">
        <v>254</v>
      </c>
      <c r="F130" s="161" t="s">
        <v>31</v>
      </c>
      <c r="G130" s="161" t="s">
        <v>32</v>
      </c>
      <c r="H130" s="161" t="s">
        <v>33</v>
      </c>
      <c r="I130" s="161" t="s">
        <v>34</v>
      </c>
      <c r="J130" s="161" t="s">
        <v>749</v>
      </c>
      <c r="K130" s="161" t="s">
        <v>257</v>
      </c>
      <c r="L130" s="161" t="s">
        <v>750</v>
      </c>
      <c r="M130" s="161" t="s">
        <v>36</v>
      </c>
      <c r="N130" s="161" t="s">
        <v>261</v>
      </c>
      <c r="O130" s="161" t="s">
        <v>751</v>
      </c>
      <c r="P130" s="162" t="s">
        <v>752</v>
      </c>
      <c r="Q130" s="162" t="s">
        <v>753</v>
      </c>
      <c r="R130" s="162" t="s">
        <v>754</v>
      </c>
      <c r="S130" s="161" t="s">
        <v>755</v>
      </c>
      <c r="T130" s="162" t="s">
        <v>756</v>
      </c>
      <c r="U130" s="162" t="s">
        <v>757</v>
      </c>
      <c r="V130" s="162" t="s">
        <v>758</v>
      </c>
      <c r="W130" s="162" t="s">
        <v>759</v>
      </c>
      <c r="X130" s="162" t="s">
        <v>703</v>
      </c>
    </row>
    <row r="131">
      <c r="A131" s="163">
        <f t="shared" ref="A131:A143" si="26">RANK(M131,M$131:M$143)</f>
        <v>1</v>
      </c>
      <c r="B131" s="163" t="str">
        <f t="shared" ref="B131:B143" si="27">RANK(W131,$W$131:$W$141)</f>
        <v>Loading...</v>
      </c>
      <c r="C131" s="163"/>
      <c r="D131" s="163" t="str">
        <f>IFERROR(__xludf.DUMMYFUNCTION("FILTER(Roster!A$2:A176,Roster!$H$2:$H176=""F"",Roster!$J$2:$J176=$D129)"),"Slemmons")</f>
        <v>Slemmons</v>
      </c>
      <c r="E131" s="163" t="str">
        <f>IFERROR(__xludf.DUMMYFUNCTION("FILTER(Roster!B$2:B176,Roster!$H$2:$H176=""F"",Roster!$J$2:$J176=$D129)"),"Marissa")</f>
        <v>Marissa</v>
      </c>
      <c r="F131" s="163" t="str">
        <f>IFERROR(__xludf.DUMMYFUNCTION("FILTER(Roster!D$2:D176,Roster!$H$2:$H176=""F"",Roster!$J$2:$J176=$D129)"),"4 - Sun")</f>
        <v>4 - Sun</v>
      </c>
      <c r="G131" s="163" t="str">
        <f>IFERROR(__xludf.DUMMYFUNCTION("FILTER(Roster!E$2:E176,Roster!$H$2:$H176=""F"",Roster!$J$2:$J176=$D129)"),"")</f>
        <v/>
      </c>
      <c r="H131" s="163" t="str">
        <f>IFERROR(__xludf.DUMMYFUNCTION("FILTER(Roster!F$2:F176,Roster!$H$2:$H176=""F"",Roster!$J$2:$J176=$D129)"),"")</f>
        <v/>
      </c>
      <c r="I131" s="163" t="str">
        <f>IFERROR(__xludf.DUMMYFUNCTION("FILTER(Roster!G$2:G176,Roster!$H$2:$H176=""F"",Roster!$J$2:$J176=$D129)"),"")</f>
        <v/>
      </c>
      <c r="J131" s="163" t="str">
        <f>IFERROR(__xludf.DUMMYFUNCTION("FILTER(Roster!H$2:H176,Roster!$H$2:$H176=""F"",Roster!$J$2:$J176=$D129)"),"F")</f>
        <v>F</v>
      </c>
      <c r="K131" s="163" t="str">
        <f>IFERROR(__xludf.DUMMYFUNCTION("FILTER(Roster!I$2:I176,Roster!$H$2:$H176=""F"",Roster!$J$2:$J176=$D129)"),"E")</f>
        <v>E</v>
      </c>
      <c r="L131" s="163">
        <f>IFERROR(__xludf.DUMMYFUNCTION("FILTER(Roster!J$2:J176,Roster!$H$2:$H176=""F"",Roster!$J$2:$J176=$D129)"),90.0)</f>
        <v>90</v>
      </c>
      <c r="M131" s="163">
        <f>IFERROR(__xludf.DUMMYFUNCTION("FILTER(Roster!M$2:M176,Roster!$H$2:$H176=""F"",Roster!$J$2:$J176=$D129)"),535.0)</f>
        <v>535</v>
      </c>
      <c r="N131" s="163" t="str">
        <f>IFERROR(__xludf.DUMMYFUNCTION("FILTER(Roster!N$2:N176,Roster!$H$2:$H176=""F"",Roster!$J$2:$J176=$D129)"),"")</f>
        <v/>
      </c>
      <c r="O131" s="164" t="str">
        <f t="array" ref="O131">INDEX('Best Lifts'!E$1:E$279,MATCH(1,($D131='Best Lifts'!$A:$A)*($E131='Best Lifts'!$B:$B),0))</f>
        <v>Loading...</v>
      </c>
      <c r="P131" s="164" t="str">
        <f t="array" ref="P131">INDEX('Best Lifts'!F$1:F$279,MATCH(1,($D131='Best Lifts'!$A:$A)*($E131='Best Lifts'!$B:$B),0))</f>
        <v/>
      </c>
      <c r="Q131" s="164" t="str">
        <f t="array" ref="Q131">INDEX('Best Lifts'!G$1:G$279,MATCH(1,($D131='Best Lifts'!$A:$A)*($E131='Best Lifts'!$B:$B),0))</f>
        <v/>
      </c>
      <c r="R131" s="164" t="str">
        <f t="array" ref="R131">INDEX('Best Lifts'!H$1:H$279,MATCH(1,($D131='Best Lifts'!$A:$A)*($E131='Best Lifts'!$B:$B),0))</f>
        <v/>
      </c>
      <c r="S131" s="164" t="str">
        <f t="array" ref="S131">INDEX('Best Lifts'!I$1:I$279,MATCH(1,($D131='Best Lifts'!$A:$A)*($E131='Best Lifts'!$B:$B),0))</f>
        <v>Loading...</v>
      </c>
      <c r="T131" s="164" t="str">
        <f t="array" ref="T131">INDEX('Best Lifts'!J$1:J$279,MATCH(1,($D131='Best Lifts'!$A:$A)*($E131='Best Lifts'!$B:$B),0))</f>
        <v/>
      </c>
      <c r="U131" s="164" t="str">
        <f t="array" ref="U131">INDEX('Best Lifts'!K$1:K$279,MATCH(1,($D131='Best Lifts'!$A:$A)*($E131='Best Lifts'!$B:$B),0))</f>
        <v/>
      </c>
      <c r="V131" s="164" t="str">
        <f t="array" ref="V131">INDEX('Best Lifts'!L$1:L$279,MATCH(1,($D131='Best Lifts'!$A:$A)*($E131='Best Lifts'!$B:$B),0))</f>
        <v/>
      </c>
      <c r="W131" s="164" t="str">
        <f t="shared" ref="W131:W143" si="28">IF(ISNA(SUM(S131:U131)),0,SUM(S131:U131))</f>
        <v>Loading...</v>
      </c>
      <c r="X131" s="167" t="s">
        <v>760</v>
      </c>
    </row>
    <row r="132">
      <c r="A132" s="163">
        <f t="shared" si="26"/>
        <v>2</v>
      </c>
      <c r="B132" s="163" t="str">
        <f t="shared" si="27"/>
        <v>Loading...</v>
      </c>
      <c r="C132" s="163"/>
      <c r="D132" s="163" t="str">
        <f>IFERROR(__xludf.DUMMYFUNCTION("""COMPUTED_VALUE"""),"Dittman")</f>
        <v>Dittman</v>
      </c>
      <c r="E132" s="163" t="str">
        <f>IFERROR(__xludf.DUMMYFUNCTION("""COMPUTED_VALUE"""),"Margaret")</f>
        <v>Margaret</v>
      </c>
      <c r="F132" s="163" t="str">
        <f>IFERROR(__xludf.DUMMYFUNCTION("""COMPUTED_VALUE"""),"4 - Sun")</f>
        <v>4 - Sun</v>
      </c>
      <c r="G132" s="163"/>
      <c r="H132" s="163"/>
      <c r="I132" s="163"/>
      <c r="J132" s="163" t="str">
        <f>IFERROR(__xludf.DUMMYFUNCTION("""COMPUTED_VALUE"""),"F")</f>
        <v>F</v>
      </c>
      <c r="K132" s="163" t="str">
        <f>IFERROR(__xludf.DUMMYFUNCTION("""COMPUTED_VALUE"""),"E")</f>
        <v>E</v>
      </c>
      <c r="L132" s="163">
        <f>IFERROR(__xludf.DUMMYFUNCTION("""COMPUTED_VALUE"""),90.0)</f>
        <v>90</v>
      </c>
      <c r="M132" s="163">
        <f>IFERROR(__xludf.DUMMYFUNCTION("""COMPUTED_VALUE"""),520.0)</f>
        <v>520</v>
      </c>
      <c r="N132" s="163"/>
      <c r="O132" s="164">
        <f t="array" ref="O132">INDEX('Best Lifts'!E$1:E$279,MATCH(1,($D132='Best Lifts'!$A:$A)*($E132='Best Lifts'!$B:$B),0))</f>
        <v>140</v>
      </c>
      <c r="P132" s="164">
        <f t="array" ref="P132">INDEX('Best Lifts'!F$1:F$279,MATCH(1,($D132='Best Lifts'!$A:$A)*($E132='Best Lifts'!$B:$B),0))</f>
        <v>95</v>
      </c>
      <c r="Q132" s="164">
        <f t="array" ref="Q132">INDEX('Best Lifts'!G$1:G$279,MATCH(1,($D132='Best Lifts'!$A:$A)*($E132='Best Lifts'!$B:$B),0))</f>
        <v>150</v>
      </c>
      <c r="R132" s="164">
        <f t="array" ref="R132">INDEX('Best Lifts'!H$1:H$279,MATCH(1,($D132='Best Lifts'!$A:$A)*($E132='Best Lifts'!$B:$B),0))</f>
        <v>377.5</v>
      </c>
      <c r="S132" s="164">
        <f t="array" ref="S132">INDEX('Best Lifts'!I$1:I$279,MATCH(1,($D132='Best Lifts'!$A:$A)*($E132='Best Lifts'!$B:$B),0))</f>
        <v>202.5</v>
      </c>
      <c r="T132" s="164">
        <f t="array" ref="T132">INDEX('Best Lifts'!J$1:J$279,MATCH(1,($D132='Best Lifts'!$A:$A)*($E132='Best Lifts'!$B:$B),0))</f>
        <v>181.5</v>
      </c>
      <c r="U132" s="164">
        <f t="array" ref="U132">INDEX('Best Lifts'!K$1:K$279,MATCH(1,($D132='Best Lifts'!$A:$A)*($E132='Best Lifts'!$B:$B),0))</f>
        <v>157.5</v>
      </c>
      <c r="V132" s="164">
        <f t="array" ref="V132">INDEX('Best Lifts'!L$1:L$279,MATCH(1,($D132='Best Lifts'!$A:$A)*($E132='Best Lifts'!$B:$B),0))</f>
        <v>520</v>
      </c>
      <c r="W132" s="164">
        <f t="shared" si="28"/>
        <v>541.5</v>
      </c>
      <c r="X132" s="165" t="str">
        <f t="array" ref="X132">INDEX('Best Lifts'!M$1:M$279,MATCH(1,($D132='Best Lifts'!$A:$A)*($E132='Best Lifts'!$B:$B),0))</f>
        <v/>
      </c>
    </row>
    <row r="133">
      <c r="A133" s="163">
        <f t="shared" si="26"/>
        <v>3</v>
      </c>
      <c r="B133" s="163" t="str">
        <f t="shared" si="27"/>
        <v>Loading...</v>
      </c>
      <c r="C133" s="163"/>
      <c r="D133" s="163" t="str">
        <f>IFERROR(__xludf.DUMMYFUNCTION("""COMPUTED_VALUE"""),"Patton")</f>
        <v>Patton</v>
      </c>
      <c r="E133" s="163" t="str">
        <f>IFERROR(__xludf.DUMMYFUNCTION("""COMPUTED_VALUE"""),"Bethany")</f>
        <v>Bethany</v>
      </c>
      <c r="F133" s="163" t="str">
        <f>IFERROR(__xludf.DUMMYFUNCTION("""COMPUTED_VALUE"""),"4 - Sun")</f>
        <v>4 - Sun</v>
      </c>
      <c r="G133" s="163"/>
      <c r="H133" s="163"/>
      <c r="I133" s="163"/>
      <c r="J133" s="163" t="str">
        <f>IFERROR(__xludf.DUMMYFUNCTION("""COMPUTED_VALUE"""),"F")</f>
        <v>F</v>
      </c>
      <c r="K133" s="163" t="str">
        <f>IFERROR(__xludf.DUMMYFUNCTION("""COMPUTED_VALUE"""),"E")</f>
        <v>E</v>
      </c>
      <c r="L133" s="163">
        <f>IFERROR(__xludf.DUMMYFUNCTION("""COMPUTED_VALUE"""),90.0)</f>
        <v>90</v>
      </c>
      <c r="M133" s="163">
        <f>IFERROR(__xludf.DUMMYFUNCTION("""COMPUTED_VALUE"""),495.0)</f>
        <v>495</v>
      </c>
      <c r="N133" s="163"/>
      <c r="O133" s="164">
        <f t="array" ref="O133">INDEX('Best Lifts'!E$1:E$279,MATCH(1,($D133='Best Lifts'!$A:$A)*($E133='Best Lifts'!$B:$B),0))</f>
        <v>132.5</v>
      </c>
      <c r="P133" s="164">
        <f t="array" ref="P133">INDEX('Best Lifts'!F$1:F$279,MATCH(1,($D133='Best Lifts'!$A:$A)*($E133='Best Lifts'!$B:$B),0))</f>
        <v>77.5</v>
      </c>
      <c r="Q133" s="164">
        <f t="array" ref="Q133">INDEX('Best Lifts'!G$1:G$279,MATCH(1,($D133='Best Lifts'!$A:$A)*($E133='Best Lifts'!$B:$B),0))</f>
        <v>145</v>
      </c>
      <c r="R133" s="164">
        <f t="array" ref="R133">INDEX('Best Lifts'!H$1:H$279,MATCH(1,($D133='Best Lifts'!$A:$A)*($E133='Best Lifts'!$B:$B),0))</f>
        <v>355</v>
      </c>
      <c r="S133" s="164">
        <f t="array" ref="S133">INDEX('Best Lifts'!I$1:I$279,MATCH(1,($D133='Best Lifts'!$A:$A)*($E133='Best Lifts'!$B:$B),0))</f>
        <v>200</v>
      </c>
      <c r="T133" s="164">
        <f t="array" ref="T133">INDEX('Best Lifts'!J$1:J$279,MATCH(1,($D133='Best Lifts'!$A:$A)*($E133='Best Lifts'!$B:$B),0))</f>
        <v>125</v>
      </c>
      <c r="U133" s="164">
        <f t="array" ref="U133">INDEX('Best Lifts'!K$1:K$279,MATCH(1,($D133='Best Lifts'!$A:$A)*($E133='Best Lifts'!$B:$B),0))</f>
        <v>170</v>
      </c>
      <c r="V133" s="164">
        <f t="array" ref="V133">INDEX('Best Lifts'!L$1:L$279,MATCH(1,($D133='Best Lifts'!$A:$A)*($E133='Best Lifts'!$B:$B),0))</f>
        <v>495</v>
      </c>
      <c r="W133" s="164">
        <f t="shared" si="28"/>
        <v>495</v>
      </c>
      <c r="X133" s="165" t="str">
        <f t="array" ref="X133">INDEX('Best Lifts'!M$1:M$279,MATCH(1,($D133='Best Lifts'!$A:$A)*($E133='Best Lifts'!$B:$B),0))</f>
        <v/>
      </c>
    </row>
    <row r="134">
      <c r="A134" s="163">
        <f t="shared" si="26"/>
        <v>4</v>
      </c>
      <c r="B134" s="163" t="str">
        <f t="shared" si="27"/>
        <v>Loading...</v>
      </c>
      <c r="C134" s="163"/>
      <c r="D134" s="163" t="str">
        <f>IFERROR(__xludf.DUMMYFUNCTION("""COMPUTED_VALUE"""),"Macias")</f>
        <v>Macias</v>
      </c>
      <c r="E134" s="163" t="str">
        <f>IFERROR(__xludf.DUMMYFUNCTION("""COMPUTED_VALUE"""),"Karina")</f>
        <v>Karina</v>
      </c>
      <c r="F134" s="163" t="str">
        <f>IFERROR(__xludf.DUMMYFUNCTION("""COMPUTED_VALUE"""),"4 - Sun")</f>
        <v>4 - Sun</v>
      </c>
      <c r="G134" s="163"/>
      <c r="H134" s="163"/>
      <c r="I134" s="163"/>
      <c r="J134" s="163" t="str">
        <f>IFERROR(__xludf.DUMMYFUNCTION("""COMPUTED_VALUE"""),"F")</f>
        <v>F</v>
      </c>
      <c r="K134" s="163" t="str">
        <f>IFERROR(__xludf.DUMMYFUNCTION("""COMPUTED_VALUE"""),"E")</f>
        <v>E</v>
      </c>
      <c r="L134" s="163">
        <f>IFERROR(__xludf.DUMMYFUNCTION("""COMPUTED_VALUE"""),90.0)</f>
        <v>90</v>
      </c>
      <c r="M134" s="163">
        <f>IFERROR(__xludf.DUMMYFUNCTION("""COMPUTED_VALUE"""),490.0)</f>
        <v>490</v>
      </c>
      <c r="N134" s="163"/>
      <c r="O134" s="164" t="str">
        <f t="array" ref="O134">INDEX('Best Lifts'!E$1:E$279,MATCH(1,($D134='Best Lifts'!$A:$A)*($E134='Best Lifts'!$B:$B),0))</f>
        <v>#N/A</v>
      </c>
      <c r="P134" s="164" t="str">
        <f t="array" ref="P134">INDEX('Best Lifts'!F$1:F$279,MATCH(1,($D134='Best Lifts'!$A:$A)*($E134='Best Lifts'!$B:$B),0))</f>
        <v/>
      </c>
      <c r="Q134" s="164" t="str">
        <f t="array" ref="Q134">INDEX('Best Lifts'!G$1:G$279,MATCH(1,($D134='Best Lifts'!$A:$A)*($E134='Best Lifts'!$B:$B),0))</f>
        <v/>
      </c>
      <c r="R134" s="164" t="str">
        <f t="array" ref="R134">INDEX('Best Lifts'!H$1:H$279,MATCH(1,($D134='Best Lifts'!$A:$A)*($E134='Best Lifts'!$B:$B),0))</f>
        <v/>
      </c>
      <c r="S134" s="164">
        <f t="array" ref="S134">INDEX('Best Lifts'!I$1:I$279,MATCH(1,($D134='Best Lifts'!$A:$A)*($E134='Best Lifts'!$B:$B),0))</f>
        <v>210.9</v>
      </c>
      <c r="T134" s="164">
        <f t="array" ref="T134">INDEX('Best Lifts'!J$1:J$279,MATCH(1,($D134='Best Lifts'!$A:$A)*($E134='Best Lifts'!$B:$B),0))</f>
        <v>87.5</v>
      </c>
      <c r="U134" s="164">
        <f t="array" ref="U134">INDEX('Best Lifts'!K$1:K$279,MATCH(1,($D134='Best Lifts'!$A:$A)*($E134='Best Lifts'!$B:$B),0))</f>
        <v>197.5</v>
      </c>
      <c r="V134" s="164">
        <f t="array" ref="V134">INDEX('Best Lifts'!L$1:L$279,MATCH(1,($D134='Best Lifts'!$A:$A)*($E134='Best Lifts'!$B:$B),0))</f>
        <v>490</v>
      </c>
      <c r="W134" s="164">
        <f t="shared" si="28"/>
        <v>495.9</v>
      </c>
      <c r="X134" s="165" t="str">
        <f t="array" ref="X134">INDEX('Best Lifts'!M$1:M$279,MATCH(1,($D134='Best Lifts'!$A:$A)*($E134='Best Lifts'!$B:$B),0))</f>
        <v/>
      </c>
    </row>
    <row r="135">
      <c r="A135" s="163">
        <f t="shared" si="26"/>
        <v>5</v>
      </c>
      <c r="B135" s="163" t="str">
        <f t="shared" si="27"/>
        <v>Loading...</v>
      </c>
      <c r="C135" s="163"/>
      <c r="D135" s="163" t="str">
        <f>IFERROR(__xludf.DUMMYFUNCTION("""COMPUTED_VALUE"""),"Butcher")</f>
        <v>Butcher</v>
      </c>
      <c r="E135" s="163" t="str">
        <f>IFERROR(__xludf.DUMMYFUNCTION("""COMPUTED_VALUE"""),"Kennedi")</f>
        <v>Kennedi</v>
      </c>
      <c r="F135" s="163" t="str">
        <f>IFERROR(__xludf.DUMMYFUNCTION("""COMPUTED_VALUE"""),"4 - Sun")</f>
        <v>4 - Sun</v>
      </c>
      <c r="G135" s="163"/>
      <c r="H135" s="163"/>
      <c r="I135" s="163"/>
      <c r="J135" s="163" t="str">
        <f>IFERROR(__xludf.DUMMYFUNCTION("""COMPUTED_VALUE"""),"F")</f>
        <v>F</v>
      </c>
      <c r="K135" s="163" t="str">
        <f>IFERROR(__xludf.DUMMYFUNCTION("""COMPUTED_VALUE"""),"E")</f>
        <v>E</v>
      </c>
      <c r="L135" s="163">
        <f>IFERROR(__xludf.DUMMYFUNCTION("""COMPUTED_VALUE"""),90.0)</f>
        <v>90</v>
      </c>
      <c r="M135" s="163">
        <f>IFERROR(__xludf.DUMMYFUNCTION("""COMPUTED_VALUE"""),470.0)</f>
        <v>470</v>
      </c>
      <c r="N135" s="163"/>
      <c r="O135" s="164">
        <f t="array" ref="O135">INDEX('Best Lifts'!E$1:E$279,MATCH(1,($D135='Best Lifts'!$A:$A)*($E135='Best Lifts'!$B:$B),0))</f>
        <v>142.5</v>
      </c>
      <c r="P135" s="164">
        <f t="array" ref="P135">INDEX('Best Lifts'!F$1:F$279,MATCH(1,($D135='Best Lifts'!$A:$A)*($E135='Best Lifts'!$B:$B),0))</f>
        <v>90</v>
      </c>
      <c r="Q135" s="164">
        <f t="array" ref="Q135">INDEX('Best Lifts'!G$1:G$279,MATCH(1,($D135='Best Lifts'!$A:$A)*($E135='Best Lifts'!$B:$B),0))</f>
        <v>162.5</v>
      </c>
      <c r="R135" s="164">
        <f t="array" ref="R135">INDEX('Best Lifts'!H$1:H$279,MATCH(1,($D135='Best Lifts'!$A:$A)*($E135='Best Lifts'!$B:$B),0))</f>
        <v>395</v>
      </c>
      <c r="S135" s="164">
        <f t="array" ref="S135">INDEX('Best Lifts'!I$1:I$279,MATCH(1,($D135='Best Lifts'!$A:$A)*($E135='Best Lifts'!$B:$B),0))</f>
        <v>195</v>
      </c>
      <c r="T135" s="164">
        <f t="array" ref="T135">INDEX('Best Lifts'!J$1:J$279,MATCH(1,($D135='Best Lifts'!$A:$A)*($E135='Best Lifts'!$B:$B),0))</f>
        <v>131.5</v>
      </c>
      <c r="U135" s="164">
        <f t="array" ref="U135">INDEX('Best Lifts'!K$1:K$279,MATCH(1,($D135='Best Lifts'!$A:$A)*($E135='Best Lifts'!$B:$B),0))</f>
        <v>188.2</v>
      </c>
      <c r="V135" s="164">
        <f t="array" ref="V135">INDEX('Best Lifts'!L$1:L$279,MATCH(1,($D135='Best Lifts'!$A:$A)*($E135='Best Lifts'!$B:$B),0))</f>
        <v>501.2</v>
      </c>
      <c r="W135" s="164">
        <f t="shared" si="28"/>
        <v>514.7</v>
      </c>
      <c r="X135" s="165" t="str">
        <f t="array" ref="X135">INDEX('Best Lifts'!M$1:M$279,MATCH(1,($D135='Best Lifts'!$A:$A)*($E135='Best Lifts'!$B:$B),0))</f>
        <v/>
      </c>
    </row>
    <row r="136">
      <c r="A136" s="163">
        <f t="shared" si="26"/>
        <v>6</v>
      </c>
      <c r="B136" s="163" t="str">
        <f t="shared" si="27"/>
        <v>Loading...</v>
      </c>
      <c r="C136" s="163"/>
      <c r="D136" s="163" t="str">
        <f>IFERROR(__xludf.DUMMYFUNCTION("""COMPUTED_VALUE"""),"Ramirez")</f>
        <v>Ramirez</v>
      </c>
      <c r="E136" s="163" t="str">
        <f>IFERROR(__xludf.DUMMYFUNCTION("""COMPUTED_VALUE"""),"Alyssa")</f>
        <v>Alyssa</v>
      </c>
      <c r="F136" s="163" t="str">
        <f>IFERROR(__xludf.DUMMYFUNCTION("""COMPUTED_VALUE"""),"4 - Sun")</f>
        <v>4 - Sun</v>
      </c>
      <c r="G136" s="163"/>
      <c r="H136" s="163"/>
      <c r="I136" s="163"/>
      <c r="J136" s="163" t="str">
        <f>IFERROR(__xludf.DUMMYFUNCTION("""COMPUTED_VALUE"""),"F")</f>
        <v>F</v>
      </c>
      <c r="K136" s="163" t="str">
        <f>IFERROR(__xludf.DUMMYFUNCTION("""COMPUTED_VALUE"""),"E")</f>
        <v>E</v>
      </c>
      <c r="L136" s="163">
        <f>IFERROR(__xludf.DUMMYFUNCTION("""COMPUTED_VALUE"""),90.0)</f>
        <v>90</v>
      </c>
      <c r="M136" s="163">
        <f>IFERROR(__xludf.DUMMYFUNCTION("""COMPUTED_VALUE"""),467.5)</f>
        <v>467.5</v>
      </c>
      <c r="N136" s="163"/>
      <c r="O136" s="164"/>
      <c r="P136" s="164"/>
      <c r="Q136" s="164"/>
      <c r="R136" s="164"/>
      <c r="S136" s="164">
        <f t="array" ref="S136">INDEX('Best Lifts'!I$1:I$279,MATCH(1,($D136='Best Lifts'!$A:$A)*($E136='Best Lifts'!$B:$B),0))</f>
        <v>215.4</v>
      </c>
      <c r="T136" s="164">
        <f t="array" ref="T136">INDEX('Best Lifts'!J$1:J$279,MATCH(1,($D136='Best Lifts'!$A:$A)*($E136='Best Lifts'!$B:$B),0))</f>
        <v>102</v>
      </c>
      <c r="U136" s="164">
        <f t="array" ref="U136">INDEX('Best Lifts'!K$1:K$279,MATCH(1,($D136='Best Lifts'!$A:$A)*($E136='Best Lifts'!$B:$B),0))</f>
        <v>201.8</v>
      </c>
      <c r="V136" s="164">
        <f t="array" ref="V136">INDEX('Best Lifts'!L$1:L$279,MATCH(1,($D136='Best Lifts'!$A:$A)*($E136='Best Lifts'!$B:$B),0))</f>
        <v>512.5</v>
      </c>
      <c r="W136" s="164">
        <f t="shared" si="28"/>
        <v>519.2</v>
      </c>
      <c r="X136" s="165"/>
    </row>
    <row r="137">
      <c r="A137" s="163">
        <f t="shared" si="26"/>
        <v>7</v>
      </c>
      <c r="B137" s="163" t="str">
        <f t="shared" si="27"/>
        <v>Loading...</v>
      </c>
      <c r="C137" s="163"/>
      <c r="D137" s="163" t="str">
        <f>IFERROR(__xludf.DUMMYFUNCTION("""COMPUTED_VALUE"""),"Mueller")</f>
        <v>Mueller</v>
      </c>
      <c r="E137" s="163" t="str">
        <f>IFERROR(__xludf.DUMMYFUNCTION("""COMPUTED_VALUE"""),"Anna")</f>
        <v>Anna</v>
      </c>
      <c r="F137" s="163" t="str">
        <f>IFERROR(__xludf.DUMMYFUNCTION("""COMPUTED_VALUE"""),"4 - Sun")</f>
        <v>4 - Sun</v>
      </c>
      <c r="G137" s="163"/>
      <c r="H137" s="163"/>
      <c r="I137" s="163"/>
      <c r="J137" s="163" t="str">
        <f>IFERROR(__xludf.DUMMYFUNCTION("""COMPUTED_VALUE"""),"F")</f>
        <v>F</v>
      </c>
      <c r="K137" s="163" t="str">
        <f>IFERROR(__xludf.DUMMYFUNCTION("""COMPUTED_VALUE"""),"E")</f>
        <v>E</v>
      </c>
      <c r="L137" s="163">
        <f>IFERROR(__xludf.DUMMYFUNCTION("""COMPUTED_VALUE"""),90.0)</f>
        <v>90</v>
      </c>
      <c r="M137" s="163">
        <f>IFERROR(__xludf.DUMMYFUNCTION("""COMPUTED_VALUE"""),440.0)</f>
        <v>440</v>
      </c>
      <c r="N137" s="163"/>
      <c r="O137" s="164"/>
      <c r="P137" s="164"/>
      <c r="Q137" s="164"/>
      <c r="R137" s="164"/>
      <c r="S137" s="164">
        <f t="array" ref="S137">INDEX('Best Lifts'!I$1:I$279,MATCH(1,($D137='Best Lifts'!$A:$A)*($E137='Best Lifts'!$B:$B),0))</f>
        <v>185</v>
      </c>
      <c r="T137" s="164">
        <f t="array" ref="T137">INDEX('Best Lifts'!J$1:J$279,MATCH(1,($D137='Best Lifts'!$A:$A)*($E137='Best Lifts'!$B:$B),0))</f>
        <v>92.5</v>
      </c>
      <c r="U137" s="164">
        <f t="array" ref="U137">INDEX('Best Lifts'!K$1:K$279,MATCH(1,($D137='Best Lifts'!$A:$A)*($E137='Best Lifts'!$B:$B),0))</f>
        <v>162.5</v>
      </c>
      <c r="V137" s="164">
        <f t="array" ref="V137">INDEX('Best Lifts'!L$1:L$279,MATCH(1,($D137='Best Lifts'!$A:$A)*($E137='Best Lifts'!$B:$B),0))</f>
        <v>440</v>
      </c>
      <c r="W137" s="164">
        <f t="shared" si="28"/>
        <v>440</v>
      </c>
      <c r="X137" s="165"/>
    </row>
    <row r="138">
      <c r="A138" s="163">
        <f t="shared" si="26"/>
        <v>8</v>
      </c>
      <c r="B138" s="163" t="str">
        <f t="shared" si="27"/>
        <v>Loading...</v>
      </c>
      <c r="C138" s="163"/>
      <c r="D138" s="163" t="str">
        <f>IFERROR(__xludf.DUMMYFUNCTION("""COMPUTED_VALUE"""),"Ashley")</f>
        <v>Ashley</v>
      </c>
      <c r="E138" s="163" t="str">
        <f>IFERROR(__xludf.DUMMYFUNCTION("""COMPUTED_VALUE"""),"Naomi")</f>
        <v>Naomi</v>
      </c>
      <c r="F138" s="163" t="str">
        <f>IFERROR(__xludf.DUMMYFUNCTION("""COMPUTED_VALUE"""),"4 - Sun")</f>
        <v>4 - Sun</v>
      </c>
      <c r="G138" s="163"/>
      <c r="H138" s="163"/>
      <c r="I138" s="163"/>
      <c r="J138" s="163" t="str">
        <f>IFERROR(__xludf.DUMMYFUNCTION("""COMPUTED_VALUE"""),"F")</f>
        <v>F</v>
      </c>
      <c r="K138" s="163" t="str">
        <f>IFERROR(__xludf.DUMMYFUNCTION("""COMPUTED_VALUE"""),"E")</f>
        <v>E</v>
      </c>
      <c r="L138" s="163">
        <f>IFERROR(__xludf.DUMMYFUNCTION("""COMPUTED_VALUE"""),90.0)</f>
        <v>90</v>
      </c>
      <c r="M138" s="163">
        <f>IFERROR(__xludf.DUMMYFUNCTION("""COMPUTED_VALUE"""),365.0)</f>
        <v>365</v>
      </c>
      <c r="N138" s="163"/>
      <c r="O138" s="164"/>
      <c r="P138" s="164"/>
      <c r="Q138" s="164"/>
      <c r="R138" s="164"/>
      <c r="S138" s="164">
        <f t="array" ref="S138">INDEX('Best Lifts'!I$1:I$279,MATCH(1,($D138='Best Lifts'!$A:$A)*($E138='Best Lifts'!$B:$B),0))</f>
        <v>135</v>
      </c>
      <c r="T138" s="164">
        <f t="array" ref="T138">INDEX('Best Lifts'!J$1:J$279,MATCH(1,($D138='Best Lifts'!$A:$A)*($E138='Best Lifts'!$B:$B),0))</f>
        <v>92.5</v>
      </c>
      <c r="U138" s="164">
        <f t="array" ref="U138">INDEX('Best Lifts'!K$1:K$279,MATCH(1,($D138='Best Lifts'!$A:$A)*($E138='Best Lifts'!$B:$B),0))</f>
        <v>137.5</v>
      </c>
      <c r="V138" s="164">
        <f t="array" ref="V138">INDEX('Best Lifts'!L$1:L$279,MATCH(1,($D138='Best Lifts'!$A:$A)*($E138='Best Lifts'!$B:$B),0))</f>
        <v>365</v>
      </c>
      <c r="W138" s="164">
        <f t="shared" si="28"/>
        <v>365</v>
      </c>
      <c r="X138" s="165"/>
    </row>
    <row r="139">
      <c r="A139" s="163">
        <f t="shared" si="26"/>
        <v>9</v>
      </c>
      <c r="B139" s="163" t="str">
        <f t="shared" si="27"/>
        <v>Loading...</v>
      </c>
      <c r="C139" s="163"/>
      <c r="D139" s="163" t="str">
        <f>IFERROR(__xludf.DUMMYFUNCTION("""COMPUTED_VALUE"""),"Reed")</f>
        <v>Reed</v>
      </c>
      <c r="E139" s="163" t="str">
        <f>IFERROR(__xludf.DUMMYFUNCTION("""COMPUTED_VALUE"""),"Addison")</f>
        <v>Addison</v>
      </c>
      <c r="F139" s="163" t="str">
        <f>IFERROR(__xludf.DUMMYFUNCTION("""COMPUTED_VALUE"""),"4 - Sun")</f>
        <v>4 - Sun</v>
      </c>
      <c r="G139" s="163"/>
      <c r="H139" s="163"/>
      <c r="I139" s="163"/>
      <c r="J139" s="163" t="str">
        <f>IFERROR(__xludf.DUMMYFUNCTION("""COMPUTED_VALUE"""),"F")</f>
        <v>F</v>
      </c>
      <c r="K139" s="163" t="str">
        <f>IFERROR(__xludf.DUMMYFUNCTION("""COMPUTED_VALUE"""),"E")</f>
        <v>E</v>
      </c>
      <c r="L139" s="163">
        <f>IFERROR(__xludf.DUMMYFUNCTION("""COMPUTED_VALUE"""),90.0)</f>
        <v>90</v>
      </c>
      <c r="M139" s="163">
        <f>IFERROR(__xludf.DUMMYFUNCTION("""COMPUTED_VALUE"""),355.0)</f>
        <v>355</v>
      </c>
      <c r="N139" s="163"/>
      <c r="O139" s="164"/>
      <c r="P139" s="164"/>
      <c r="Q139" s="164"/>
      <c r="R139" s="164"/>
      <c r="S139" s="164">
        <f t="array" ref="S139">INDEX('Best Lifts'!I$1:I$279,MATCH(1,($D139='Best Lifts'!$A:$A)*($E139='Best Lifts'!$B:$B),0))</f>
        <v>147.5</v>
      </c>
      <c r="T139" s="164">
        <f t="array" ref="T139">INDEX('Best Lifts'!J$1:J$279,MATCH(1,($D139='Best Lifts'!$A:$A)*($E139='Best Lifts'!$B:$B),0))</f>
        <v>90</v>
      </c>
      <c r="U139" s="164">
        <f t="array" ref="U139">INDEX('Best Lifts'!K$1:K$279,MATCH(1,($D139='Best Lifts'!$A:$A)*($E139='Best Lifts'!$B:$B),0))</f>
        <v>138.3</v>
      </c>
      <c r="V139" s="164">
        <f t="array" ref="V139">INDEX('Best Lifts'!L$1:L$279,MATCH(1,($D139='Best Lifts'!$A:$A)*($E139='Best Lifts'!$B:$B),0))</f>
        <v>362.8</v>
      </c>
      <c r="W139" s="164">
        <f t="shared" si="28"/>
        <v>375.8</v>
      </c>
      <c r="X139" s="165"/>
    </row>
    <row r="140">
      <c r="A140" s="163">
        <f t="shared" si="26"/>
        <v>10</v>
      </c>
      <c r="B140" s="163" t="str">
        <f t="shared" si="27"/>
        <v>Loading...</v>
      </c>
      <c r="C140" s="163"/>
      <c r="D140" s="163" t="str">
        <f>IFERROR(__xludf.DUMMYFUNCTION("""COMPUTED_VALUE"""),"Thomas")</f>
        <v>Thomas</v>
      </c>
      <c r="E140" s="163" t="str">
        <f>IFERROR(__xludf.DUMMYFUNCTION("""COMPUTED_VALUE"""),"Brooklyn")</f>
        <v>Brooklyn</v>
      </c>
      <c r="F140" s="163" t="str">
        <f>IFERROR(__xludf.DUMMYFUNCTION("""COMPUTED_VALUE"""),"4 - Sun")</f>
        <v>4 - Sun</v>
      </c>
      <c r="G140" s="163"/>
      <c r="H140" s="163"/>
      <c r="I140" s="163"/>
      <c r="J140" s="163" t="str">
        <f>IFERROR(__xludf.DUMMYFUNCTION("""COMPUTED_VALUE"""),"F")</f>
        <v>F</v>
      </c>
      <c r="K140" s="163" t="str">
        <f>IFERROR(__xludf.DUMMYFUNCTION("""COMPUTED_VALUE"""),"E")</f>
        <v>E</v>
      </c>
      <c r="L140" s="163">
        <f>IFERROR(__xludf.DUMMYFUNCTION("""COMPUTED_VALUE"""),90.0)</f>
        <v>90</v>
      </c>
      <c r="M140" s="163">
        <f>IFERROR(__xludf.DUMMYFUNCTION("""COMPUTED_VALUE"""),350.0)</f>
        <v>350</v>
      </c>
      <c r="N140" s="163"/>
      <c r="O140" s="164"/>
      <c r="P140" s="164"/>
      <c r="Q140" s="164"/>
      <c r="R140" s="164"/>
      <c r="S140" s="164">
        <f t="array" ref="S140">INDEX('Best Lifts'!I$1:I$279,MATCH(1,($D140='Best Lifts'!$A:$A)*($E140='Best Lifts'!$B:$B),0))</f>
        <v>120.2</v>
      </c>
      <c r="T140" s="164">
        <f t="array" ref="T140">INDEX('Best Lifts'!J$1:J$279,MATCH(1,($D140='Best Lifts'!$A:$A)*($E140='Best Lifts'!$B:$B),0))</f>
        <v>54.4</v>
      </c>
      <c r="U140" s="164">
        <f t="array" ref="U140">INDEX('Best Lifts'!K$1:K$279,MATCH(1,($D140='Best Lifts'!$A:$A)*($E140='Best Lifts'!$B:$B),0))</f>
        <v>124.7</v>
      </c>
      <c r="V140" s="164">
        <f t="array" ref="V140">INDEX('Best Lifts'!L$1:L$279,MATCH(1,($D140='Best Lifts'!$A:$A)*($E140='Best Lifts'!$B:$B),0))</f>
        <v>297.1</v>
      </c>
      <c r="W140" s="164">
        <f t="shared" si="28"/>
        <v>299.3</v>
      </c>
      <c r="X140" s="165"/>
    </row>
    <row r="141">
      <c r="A141" s="163">
        <f t="shared" si="26"/>
        <v>11</v>
      </c>
      <c r="B141" s="163" t="str">
        <f t="shared" si="27"/>
        <v>Loading...</v>
      </c>
      <c r="C141" s="163"/>
      <c r="D141" s="163" t="str">
        <f>IFERROR(__xludf.DUMMYFUNCTION("""COMPUTED_VALUE"""),"Ortega")</f>
        <v>Ortega</v>
      </c>
      <c r="E141" s="163" t="str">
        <f>IFERROR(__xludf.DUMMYFUNCTION("""COMPUTED_VALUE"""),"Alyssa")</f>
        <v>Alyssa</v>
      </c>
      <c r="F141" s="163" t="str">
        <f>IFERROR(__xludf.DUMMYFUNCTION("""COMPUTED_VALUE"""),"4 - Sun")</f>
        <v>4 - Sun</v>
      </c>
      <c r="G141" s="163"/>
      <c r="H141" s="163"/>
      <c r="I141" s="163"/>
      <c r="J141" s="163" t="str">
        <f>IFERROR(__xludf.DUMMYFUNCTION("""COMPUTED_VALUE"""),"F")</f>
        <v>F</v>
      </c>
      <c r="K141" s="163" t="str">
        <f>IFERROR(__xludf.DUMMYFUNCTION("""COMPUTED_VALUE"""),"E")</f>
        <v>E</v>
      </c>
      <c r="L141" s="163">
        <f>IFERROR(__xludf.DUMMYFUNCTION("""COMPUTED_VALUE"""),90.0)</f>
        <v>90</v>
      </c>
      <c r="M141" s="163">
        <f>IFERROR(__xludf.DUMMYFUNCTION("""COMPUTED_VALUE"""),330.0)</f>
        <v>330</v>
      </c>
      <c r="N141" s="163"/>
      <c r="O141" s="164"/>
      <c r="P141" s="164"/>
      <c r="Q141" s="164"/>
      <c r="R141" s="164"/>
      <c r="S141" s="164">
        <f t="array" ref="S141">INDEX('Best Lifts'!I$1:I$279,MATCH(1,($D141='Best Lifts'!$A:$A)*($E141='Best Lifts'!$B:$B),0))</f>
        <v>86.1</v>
      </c>
      <c r="T141" s="164">
        <f t="array" ref="T141">INDEX('Best Lifts'!J$1:J$279,MATCH(1,($D141='Best Lifts'!$A:$A)*($E141='Best Lifts'!$B:$B),0))</f>
        <v>36.2</v>
      </c>
      <c r="U141" s="164">
        <f t="array" ref="U141">INDEX('Best Lifts'!K$1:K$279,MATCH(1,($D141='Best Lifts'!$A:$A)*($E141='Best Lifts'!$B:$B),0))</f>
        <v>88.4</v>
      </c>
      <c r="V141" s="164">
        <f t="array" ref="V141">INDEX('Best Lifts'!L$1:L$279,MATCH(1,($D141='Best Lifts'!$A:$A)*($E141='Best Lifts'!$B:$B),0))</f>
        <v>210.9</v>
      </c>
      <c r="W141" s="164">
        <f t="shared" si="28"/>
        <v>210.7</v>
      </c>
      <c r="X141" s="165"/>
    </row>
    <row r="142">
      <c r="A142" s="163">
        <f t="shared" si="26"/>
        <v>12</v>
      </c>
      <c r="B142" s="163" t="str">
        <f t="shared" si="27"/>
        <v>Loading...</v>
      </c>
      <c r="C142" s="163"/>
      <c r="D142" s="163" t="str">
        <f>IFERROR(__xludf.DUMMYFUNCTION("""COMPUTED_VALUE"""),"Li")</f>
        <v>Li</v>
      </c>
      <c r="E142" s="163" t="str">
        <f>IFERROR(__xludf.DUMMYFUNCTION("""COMPUTED_VALUE"""),"Joy")</f>
        <v>Joy</v>
      </c>
      <c r="F142" s="163" t="str">
        <f>IFERROR(__xludf.DUMMYFUNCTION("""COMPUTED_VALUE"""),"4 - Sun")</f>
        <v>4 - Sun</v>
      </c>
      <c r="G142" s="163"/>
      <c r="H142" s="163"/>
      <c r="I142" s="163"/>
      <c r="J142" s="163" t="str">
        <f>IFERROR(__xludf.DUMMYFUNCTION("""COMPUTED_VALUE"""),"F")</f>
        <v>F</v>
      </c>
      <c r="K142" s="163" t="str">
        <f>IFERROR(__xludf.DUMMYFUNCTION("""COMPUTED_VALUE"""),"E")</f>
        <v>E</v>
      </c>
      <c r="L142" s="163">
        <f>IFERROR(__xludf.DUMMYFUNCTION("""COMPUTED_VALUE"""),90.0)</f>
        <v>90</v>
      </c>
      <c r="M142" s="163">
        <f>IFERROR(__xludf.DUMMYFUNCTION("""COMPUTED_VALUE"""),322.5)</f>
        <v>322.5</v>
      </c>
      <c r="N142" s="163"/>
      <c r="O142" s="164"/>
      <c r="P142" s="164"/>
      <c r="Q142" s="164"/>
      <c r="R142" s="164"/>
      <c r="S142" s="164" t="str">
        <f t="array" ref="S142">INDEX('Best Lifts'!I$1:I$279,MATCH(1,($D142='Best Lifts'!$A:$A)*($E142='Best Lifts'!$B:$B),0))</f>
        <v>#N/A</v>
      </c>
      <c r="T142" s="164" t="str">
        <f t="array" ref="T142">INDEX('Best Lifts'!J$1:J$279,MATCH(1,($D142='Best Lifts'!$A:$A)*($E142='Best Lifts'!$B:$B),0))</f>
        <v/>
      </c>
      <c r="U142" s="164" t="str">
        <f t="array" ref="U142">INDEX('Best Lifts'!K$1:K$279,MATCH(1,($D142='Best Lifts'!$A:$A)*($E142='Best Lifts'!$B:$B),0))</f>
        <v/>
      </c>
      <c r="V142" s="164" t="str">
        <f t="array" ref="V142">INDEX('Best Lifts'!L$1:L$279,MATCH(1,($D142='Best Lifts'!$A:$A)*($E142='Best Lifts'!$B:$B),0))</f>
        <v/>
      </c>
      <c r="W142" s="164">
        <f t="shared" si="28"/>
        <v>0</v>
      </c>
      <c r="X142" s="165"/>
    </row>
    <row r="143">
      <c r="A143" s="163">
        <f t="shared" si="26"/>
        <v>13</v>
      </c>
      <c r="B143" s="163" t="str">
        <f t="shared" si="27"/>
        <v>Loading...</v>
      </c>
      <c r="C143" s="163"/>
      <c r="D143" s="163" t="str">
        <f>IFERROR(__xludf.DUMMYFUNCTION("""COMPUTED_VALUE"""),"Gonzalez")</f>
        <v>Gonzalez</v>
      </c>
      <c r="E143" s="163" t="str">
        <f>IFERROR(__xludf.DUMMYFUNCTION("""COMPUTED_VALUE"""),"Alia")</f>
        <v>Alia</v>
      </c>
      <c r="F143" s="163" t="str">
        <f>IFERROR(__xludf.DUMMYFUNCTION("""COMPUTED_VALUE"""),"4 - Sun")</f>
        <v>4 - Sun</v>
      </c>
      <c r="G143" s="163"/>
      <c r="H143" s="163"/>
      <c r="I143" s="163"/>
      <c r="J143" s="163" t="str">
        <f>IFERROR(__xludf.DUMMYFUNCTION("""COMPUTED_VALUE"""),"F")</f>
        <v>F</v>
      </c>
      <c r="K143" s="163" t="str">
        <f>IFERROR(__xludf.DUMMYFUNCTION("""COMPUTED_VALUE"""),"E")</f>
        <v>E</v>
      </c>
      <c r="L143" s="163">
        <f>IFERROR(__xludf.DUMMYFUNCTION("""COMPUTED_VALUE"""),90.0)</f>
        <v>90</v>
      </c>
      <c r="M143" s="163">
        <f>IFERROR(__xludf.DUMMYFUNCTION("""COMPUTED_VALUE"""),270.0)</f>
        <v>270</v>
      </c>
      <c r="N143" s="163"/>
      <c r="O143" s="164"/>
      <c r="P143" s="164"/>
      <c r="Q143" s="164"/>
      <c r="R143" s="164"/>
      <c r="S143" s="164" t="str">
        <f t="array" ref="S143">INDEX('Best Lifts'!I$1:I$279,MATCH(1,($D143='Best Lifts'!$A:$A)*($E143='Best Lifts'!$B:$B),0))</f>
        <v>#N/A</v>
      </c>
      <c r="T143" s="164" t="str">
        <f t="array" ref="T143">INDEX('Best Lifts'!J$1:J$279,MATCH(1,($D143='Best Lifts'!$A:$A)*($E143='Best Lifts'!$B:$B),0))</f>
        <v/>
      </c>
      <c r="U143" s="164" t="str">
        <f t="array" ref="U143">INDEX('Best Lifts'!K$1:K$279,MATCH(1,($D143='Best Lifts'!$A:$A)*($E143='Best Lifts'!$B:$B),0))</f>
        <v/>
      </c>
      <c r="V143" s="164" t="str">
        <f t="array" ref="V143">INDEX('Best Lifts'!L$1:L$279,MATCH(1,($D143='Best Lifts'!$A:$A)*($E143='Best Lifts'!$B:$B),0))</f>
        <v/>
      </c>
      <c r="W143" s="164">
        <f t="shared" si="28"/>
        <v>0</v>
      </c>
      <c r="X143" s="165"/>
    </row>
    <row r="144">
      <c r="A144" s="154"/>
      <c r="B144" s="154"/>
      <c r="C144" s="154"/>
      <c r="D144" s="154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8"/>
      <c r="Q144" s="158"/>
      <c r="R144" s="159"/>
      <c r="S144" s="160"/>
      <c r="T144" s="158"/>
      <c r="U144" s="158"/>
      <c r="V144" s="159"/>
      <c r="W144" s="159"/>
      <c r="X144" s="165"/>
    </row>
    <row r="145">
      <c r="A145" s="154"/>
      <c r="B145" s="154"/>
      <c r="C145" s="154"/>
      <c r="D145" s="155">
        <v>100.0</v>
      </c>
      <c r="E145" s="156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8"/>
      <c r="Q145" s="158"/>
      <c r="R145" s="159"/>
      <c r="S145" s="160"/>
      <c r="T145" s="158"/>
      <c r="U145" s="158"/>
      <c r="V145" s="159"/>
      <c r="W145" s="159"/>
      <c r="X145" s="159"/>
    </row>
    <row r="146">
      <c r="A146" s="161" t="s">
        <v>746</v>
      </c>
      <c r="B146" s="161" t="s">
        <v>747</v>
      </c>
      <c r="C146" s="161" t="s">
        <v>748</v>
      </c>
      <c r="D146" s="161" t="s">
        <v>253</v>
      </c>
      <c r="E146" s="161" t="s">
        <v>254</v>
      </c>
      <c r="F146" s="161" t="s">
        <v>31</v>
      </c>
      <c r="G146" s="161" t="s">
        <v>32</v>
      </c>
      <c r="H146" s="161" t="s">
        <v>33</v>
      </c>
      <c r="I146" s="161" t="s">
        <v>34</v>
      </c>
      <c r="J146" s="161" t="s">
        <v>749</v>
      </c>
      <c r="K146" s="161" t="s">
        <v>257</v>
      </c>
      <c r="L146" s="161" t="s">
        <v>750</v>
      </c>
      <c r="M146" s="161" t="s">
        <v>36</v>
      </c>
      <c r="N146" s="161" t="s">
        <v>261</v>
      </c>
      <c r="O146" s="161" t="s">
        <v>751</v>
      </c>
      <c r="P146" s="162" t="s">
        <v>752</v>
      </c>
      <c r="Q146" s="162" t="s">
        <v>753</v>
      </c>
      <c r="R146" s="162" t="s">
        <v>754</v>
      </c>
      <c r="S146" s="161" t="s">
        <v>755</v>
      </c>
      <c r="T146" s="162" t="s">
        <v>756</v>
      </c>
      <c r="U146" s="162" t="s">
        <v>757</v>
      </c>
      <c r="V146" s="162" t="s">
        <v>758</v>
      </c>
      <c r="W146" s="162" t="s">
        <v>759</v>
      </c>
      <c r="X146" s="162" t="s">
        <v>703</v>
      </c>
    </row>
    <row r="147">
      <c r="A147" s="163">
        <f t="shared" ref="A147:A155" si="29">RANK(M147,$M$147:$M$155)</f>
        <v>1</v>
      </c>
      <c r="B147" s="163" t="str">
        <f t="shared" ref="B147:B155" si="30">RANK(W147,$W$147:$W$153)</f>
        <v>Loading...</v>
      </c>
      <c r="C147" s="163"/>
      <c r="D147" s="163" t="str">
        <f>IFERROR(__xludf.DUMMYFUNCTION("FILTER(Roster!A$2:A176,Roster!$H$2:$H176=""F"",Roster!$J$2:$J176=$D145)"),"Bonner")</f>
        <v>Bonner</v>
      </c>
      <c r="E147" s="163" t="str">
        <f>IFERROR(__xludf.DUMMYFUNCTION("FILTER(Roster!B$2:B176,Roster!$H$2:$H176=""F"",Roster!$J$2:$J176=$D145)"),"Kaylee")</f>
        <v>Kaylee</v>
      </c>
      <c r="F147" s="163" t="str">
        <f>IFERROR(__xludf.DUMMYFUNCTION("FILTER(Roster!D$2:D176,Roster!$H$2:$H176=""F"",Roster!$J$2:$J176=$D145)"),"4 - Sun")</f>
        <v>4 - Sun</v>
      </c>
      <c r="G147" s="163" t="str">
        <f>IFERROR(__xludf.DUMMYFUNCTION("FILTER(Roster!E$2:E176,Roster!$H$2:$H176=""F"",Roster!$J$2:$J176=$D145)"),"")</f>
        <v/>
      </c>
      <c r="H147" s="163" t="str">
        <f>IFERROR(__xludf.DUMMYFUNCTION("FILTER(Roster!F$2:F176,Roster!$H$2:$H176=""F"",Roster!$J$2:$J176=$D145)"),"")</f>
        <v/>
      </c>
      <c r="I147" s="163" t="str">
        <f>IFERROR(__xludf.DUMMYFUNCTION("FILTER(Roster!G$2:G176,Roster!$H$2:$H176=""F"",Roster!$J$2:$J176=$D145)"),"")</f>
        <v/>
      </c>
      <c r="J147" s="163" t="str">
        <f>IFERROR(__xludf.DUMMYFUNCTION("FILTER(Roster!H$2:H176,Roster!$H$2:$H176=""F"",Roster!$J$2:$J176=$D145)"),"F")</f>
        <v>F</v>
      </c>
      <c r="K147" s="163" t="str">
        <f>IFERROR(__xludf.DUMMYFUNCTION("FILTER(Roster!I$2:I176,Roster!$H$2:$H176=""F"",Roster!$J$2:$J176=$D145)"),"E")</f>
        <v>E</v>
      </c>
      <c r="L147" s="163">
        <f>IFERROR(__xludf.DUMMYFUNCTION("FILTER(Roster!J$2:J176,Roster!$H$2:$H176=""F"",Roster!$J$2:$J176=$D145)"),100.0)</f>
        <v>100</v>
      </c>
      <c r="M147" s="163">
        <f>IFERROR(__xludf.DUMMYFUNCTION("FILTER(Roster!M$2:M176,Roster!$H$2:$H176=""F"",Roster!$J$2:$J176=$D145)"),530.0)</f>
        <v>530</v>
      </c>
      <c r="N147" s="163" t="str">
        <f>IFERROR(__xludf.DUMMYFUNCTION("FILTER(Roster!N$2:N176,Roster!$H$2:$H176=""F"",Roster!$J$2:$J176=$D145)"),"")</f>
        <v/>
      </c>
      <c r="O147" s="164">
        <f t="array" ref="O147">INDEX('Best Lifts'!E$1:E$279,MATCH(1,($D147='Best Lifts'!$A:$A)*($E147='Best Lifts'!$B:$B),0))</f>
        <v>172.5</v>
      </c>
      <c r="P147" s="164">
        <f t="array" ref="P147">INDEX('Best Lifts'!F$1:F$279,MATCH(1,($D147='Best Lifts'!$A:$A)*($E147='Best Lifts'!$B:$B),0))</f>
        <v>87.5</v>
      </c>
      <c r="Q147" s="164">
        <f t="array" ref="Q147">INDEX('Best Lifts'!G$1:G$279,MATCH(1,($D147='Best Lifts'!$A:$A)*($E147='Best Lifts'!$B:$B),0))</f>
        <v>182.5</v>
      </c>
      <c r="R147" s="164">
        <f t="array" ref="R147">INDEX('Best Lifts'!H$1:H$279,MATCH(1,($D147='Best Lifts'!$A:$A)*($E147='Best Lifts'!$B:$B),0))</f>
        <v>442.5</v>
      </c>
      <c r="S147" s="164">
        <f t="array" ref="S147">INDEX('Best Lifts'!I$1:I$279,MATCH(1,($D147='Best Lifts'!$A:$A)*($E147='Best Lifts'!$B:$B),0))</f>
        <v>222.5</v>
      </c>
      <c r="T147" s="164">
        <f t="array" ref="T147">INDEX('Best Lifts'!J$1:J$279,MATCH(1,($D147='Best Lifts'!$A:$A)*($E147='Best Lifts'!$B:$B),0))</f>
        <v>117.5</v>
      </c>
      <c r="U147" s="164">
        <f t="array" ref="U147">INDEX('Best Lifts'!K$1:K$279,MATCH(1,($D147='Best Lifts'!$A:$A)*($E147='Best Lifts'!$B:$B),0))</f>
        <v>190</v>
      </c>
      <c r="V147" s="164">
        <f t="array" ref="V147">INDEX('Best Lifts'!L$1:L$279,MATCH(1,($D147='Best Lifts'!$A:$A)*($E147='Best Lifts'!$B:$B),0))</f>
        <v>530</v>
      </c>
      <c r="W147" s="164">
        <f t="shared" ref="W147:W155" si="31">IF(ISNA(SUM(S147:U147)),0,SUM(S147:U147))</f>
        <v>530</v>
      </c>
      <c r="X147" s="165" t="str">
        <f t="array" ref="X147">INDEX('Best Lifts'!M$1:M$279,MATCH(1,($D147='Best Lifts'!$A:$A)*($E147='Best Lifts'!$B:$B),0))</f>
        <v/>
      </c>
    </row>
    <row r="148">
      <c r="A148" s="163">
        <f t="shared" si="29"/>
        <v>2</v>
      </c>
      <c r="B148" s="163" t="str">
        <f t="shared" si="30"/>
        <v>Loading...</v>
      </c>
      <c r="C148" s="163"/>
      <c r="D148" s="163" t="str">
        <f>IFERROR(__xludf.DUMMYFUNCTION("""COMPUTED_VALUE"""),"Mitchell")</f>
        <v>Mitchell</v>
      </c>
      <c r="E148" s="163" t="str">
        <f>IFERROR(__xludf.DUMMYFUNCTION("""COMPUTED_VALUE"""),"Abigail")</f>
        <v>Abigail</v>
      </c>
      <c r="F148" s="163" t="str">
        <f>IFERROR(__xludf.DUMMYFUNCTION("""COMPUTED_VALUE"""),"4 - Sun")</f>
        <v>4 - Sun</v>
      </c>
      <c r="G148" s="163"/>
      <c r="H148" s="163"/>
      <c r="I148" s="163"/>
      <c r="J148" s="163" t="str">
        <f>IFERROR(__xludf.DUMMYFUNCTION("""COMPUTED_VALUE"""),"F")</f>
        <v>F</v>
      </c>
      <c r="K148" s="163" t="str">
        <f>IFERROR(__xludf.DUMMYFUNCTION("""COMPUTED_VALUE"""),"E")</f>
        <v>E</v>
      </c>
      <c r="L148" s="163">
        <f>IFERROR(__xludf.DUMMYFUNCTION("""COMPUTED_VALUE"""),100.0)</f>
        <v>100</v>
      </c>
      <c r="M148" s="163">
        <f>IFERROR(__xludf.DUMMYFUNCTION("""COMPUTED_VALUE"""),487.5)</f>
        <v>487.5</v>
      </c>
      <c r="N148" s="163"/>
      <c r="O148" s="164">
        <f t="array" ref="O148">INDEX('Best Lifts'!E$1:E$279,MATCH(1,($D148='Best Lifts'!$A:$A)*($E148='Best Lifts'!$B:$B),0))</f>
        <v>142.5</v>
      </c>
      <c r="P148" s="164">
        <f t="array" ref="P148">INDEX('Best Lifts'!F$1:F$279,MATCH(1,($D148='Best Lifts'!$A:$A)*($E148='Best Lifts'!$B:$B),0))</f>
        <v>80</v>
      </c>
      <c r="Q148" s="164">
        <f t="array" ref="Q148">INDEX('Best Lifts'!G$1:G$279,MATCH(1,($D148='Best Lifts'!$A:$A)*($E148='Best Lifts'!$B:$B),0))</f>
        <v>157.5</v>
      </c>
      <c r="R148" s="164">
        <f t="array" ref="R148">INDEX('Best Lifts'!H$1:H$279,MATCH(1,($D148='Best Lifts'!$A:$A)*($E148='Best Lifts'!$B:$B),0))</f>
        <v>380</v>
      </c>
      <c r="S148" s="164">
        <f t="array" ref="S148">INDEX('Best Lifts'!I$1:I$279,MATCH(1,($D148='Best Lifts'!$A:$A)*($E148='Best Lifts'!$B:$B),0))</f>
        <v>210</v>
      </c>
      <c r="T148" s="164">
        <f t="array" ref="T148">INDEX('Best Lifts'!J$1:J$279,MATCH(1,($D148='Best Lifts'!$A:$A)*($E148='Best Lifts'!$B:$B),0))</f>
        <v>120</v>
      </c>
      <c r="U148" s="164">
        <f t="array" ref="U148">INDEX('Best Lifts'!K$1:K$279,MATCH(1,($D148='Best Lifts'!$A:$A)*($E148='Best Lifts'!$B:$B),0))</f>
        <v>163.2</v>
      </c>
      <c r="V148" s="164">
        <f t="array" ref="V148">INDEX('Best Lifts'!L$1:L$279,MATCH(1,($D148='Best Lifts'!$A:$A)*($E148='Best Lifts'!$B:$B),0))</f>
        <v>487.5</v>
      </c>
      <c r="W148" s="164">
        <f t="shared" si="31"/>
        <v>493.2</v>
      </c>
      <c r="X148" s="165" t="str">
        <f t="array" ref="X148">INDEX('Best Lifts'!M$1:M$279,MATCH(1,($D148='Best Lifts'!$A:$A)*($E148='Best Lifts'!$B:$B),0))</f>
        <v/>
      </c>
    </row>
    <row r="149">
      <c r="A149" s="163">
        <f t="shared" si="29"/>
        <v>3</v>
      </c>
      <c r="B149" s="163" t="str">
        <f t="shared" si="30"/>
        <v>Loading...</v>
      </c>
      <c r="C149" s="163"/>
      <c r="D149" s="163" t="str">
        <f>IFERROR(__xludf.DUMMYFUNCTION("""COMPUTED_VALUE"""),"Piatkowski")</f>
        <v>Piatkowski</v>
      </c>
      <c r="E149" s="163" t="str">
        <f>IFERROR(__xludf.DUMMYFUNCTION("""COMPUTED_VALUE"""),"Elizabeth")</f>
        <v>Elizabeth</v>
      </c>
      <c r="F149" s="163" t="str">
        <f>IFERROR(__xludf.DUMMYFUNCTION("""COMPUTED_VALUE"""),"4 - Sun")</f>
        <v>4 - Sun</v>
      </c>
      <c r="G149" s="163"/>
      <c r="H149" s="163"/>
      <c r="I149" s="163"/>
      <c r="J149" s="163" t="str">
        <f>IFERROR(__xludf.DUMMYFUNCTION("""COMPUTED_VALUE"""),"F")</f>
        <v>F</v>
      </c>
      <c r="K149" s="163" t="str">
        <f>IFERROR(__xludf.DUMMYFUNCTION("""COMPUTED_VALUE"""),"E")</f>
        <v>E</v>
      </c>
      <c r="L149" s="163">
        <f>IFERROR(__xludf.DUMMYFUNCTION("""COMPUTED_VALUE"""),100.0)</f>
        <v>100</v>
      </c>
      <c r="M149" s="163">
        <f>IFERROR(__xludf.DUMMYFUNCTION("""COMPUTED_VALUE"""),375.0)</f>
        <v>375</v>
      </c>
      <c r="N149" s="163"/>
      <c r="O149" s="164">
        <f t="array" ref="O149">INDEX('Best Lifts'!E$1:E$279,MATCH(1,($D149='Best Lifts'!$A:$A)*($E149='Best Lifts'!$B:$B),0))</f>
        <v>125</v>
      </c>
      <c r="P149" s="164">
        <f t="array" ref="P149">INDEX('Best Lifts'!F$1:F$279,MATCH(1,($D149='Best Lifts'!$A:$A)*($E149='Best Lifts'!$B:$B),0))</f>
        <v>67.5</v>
      </c>
      <c r="Q149" s="164">
        <f t="array" ref="Q149">INDEX('Best Lifts'!G$1:G$279,MATCH(1,($D149='Best Lifts'!$A:$A)*($E149='Best Lifts'!$B:$B),0))</f>
        <v>135</v>
      </c>
      <c r="R149" s="164">
        <f t="array" ref="R149">INDEX('Best Lifts'!H$1:H$279,MATCH(1,($D149='Best Lifts'!$A:$A)*($E149='Best Lifts'!$B:$B),0))</f>
        <v>327.5</v>
      </c>
      <c r="S149" s="164">
        <f t="array" ref="S149">INDEX('Best Lifts'!I$1:I$279,MATCH(1,($D149='Best Lifts'!$A:$A)*($E149='Best Lifts'!$B:$B),0))</f>
        <v>142.5</v>
      </c>
      <c r="T149" s="164">
        <f t="array" ref="T149">INDEX('Best Lifts'!J$1:J$279,MATCH(1,($D149='Best Lifts'!$A:$A)*($E149='Best Lifts'!$B:$B),0))</f>
        <v>95</v>
      </c>
      <c r="U149" s="164">
        <f t="array" ref="U149">INDEX('Best Lifts'!K$1:K$279,MATCH(1,($D149='Best Lifts'!$A:$A)*($E149='Best Lifts'!$B:$B),0))</f>
        <v>137.5</v>
      </c>
      <c r="V149" s="164">
        <f t="array" ref="V149">INDEX('Best Lifts'!L$1:L$279,MATCH(1,($D149='Best Lifts'!$A:$A)*($E149='Best Lifts'!$B:$B),0))</f>
        <v>375</v>
      </c>
      <c r="W149" s="164">
        <f t="shared" si="31"/>
        <v>375</v>
      </c>
      <c r="X149" s="165" t="str">
        <f t="array" ref="X149">INDEX('Best Lifts'!M$1:M$279,MATCH(1,($D149='Best Lifts'!$A:$A)*($E149='Best Lifts'!$B:$B),0))</f>
        <v/>
      </c>
    </row>
    <row r="150">
      <c r="A150" s="163">
        <f t="shared" si="29"/>
        <v>4</v>
      </c>
      <c r="B150" s="163" t="str">
        <f t="shared" si="30"/>
        <v>Loading...</v>
      </c>
      <c r="C150" s="163"/>
      <c r="D150" s="163" t="str">
        <f>IFERROR(__xludf.DUMMYFUNCTION("""COMPUTED_VALUE"""),"Caminita")</f>
        <v>Caminita</v>
      </c>
      <c r="E150" s="163" t="str">
        <f>IFERROR(__xludf.DUMMYFUNCTION("""COMPUTED_VALUE"""),"Kaitlyn")</f>
        <v>Kaitlyn</v>
      </c>
      <c r="F150" s="163" t="str">
        <f>IFERROR(__xludf.DUMMYFUNCTION("""COMPUTED_VALUE"""),"4 - Sun")</f>
        <v>4 - Sun</v>
      </c>
      <c r="G150" s="163"/>
      <c r="H150" s="163"/>
      <c r="I150" s="163"/>
      <c r="J150" s="163" t="str">
        <f>IFERROR(__xludf.DUMMYFUNCTION("""COMPUTED_VALUE"""),"F")</f>
        <v>F</v>
      </c>
      <c r="K150" s="163" t="str">
        <f>IFERROR(__xludf.DUMMYFUNCTION("""COMPUTED_VALUE"""),"E")</f>
        <v>E</v>
      </c>
      <c r="L150" s="163">
        <f>IFERROR(__xludf.DUMMYFUNCTION("""COMPUTED_VALUE"""),100.0)</f>
        <v>100</v>
      </c>
      <c r="M150" s="163">
        <f>IFERROR(__xludf.DUMMYFUNCTION("""COMPUTED_VALUE"""),367.5)</f>
        <v>367.5</v>
      </c>
      <c r="N150" s="163"/>
      <c r="O150" s="164">
        <f t="array" ref="O150">INDEX('Best Lifts'!E$1:E$279,MATCH(1,($D150='Best Lifts'!$A:$A)*($E150='Best Lifts'!$B:$B),0))</f>
        <v>115</v>
      </c>
      <c r="P150" s="164">
        <f t="array" ref="P150">INDEX('Best Lifts'!F$1:F$279,MATCH(1,($D150='Best Lifts'!$A:$A)*($E150='Best Lifts'!$B:$B),0))</f>
        <v>50</v>
      </c>
      <c r="Q150" s="164">
        <f t="array" ref="Q150">INDEX('Best Lifts'!G$1:G$279,MATCH(1,($D150='Best Lifts'!$A:$A)*($E150='Best Lifts'!$B:$B),0))</f>
        <v>115</v>
      </c>
      <c r="R150" s="164">
        <f t="array" ref="R150">INDEX('Best Lifts'!H$1:H$279,MATCH(1,($D150='Best Lifts'!$A:$A)*($E150='Best Lifts'!$B:$B),0))</f>
        <v>280</v>
      </c>
      <c r="S150" s="164">
        <f t="array" ref="S150">INDEX('Best Lifts'!I$1:I$279,MATCH(1,($D150='Best Lifts'!$A:$A)*($E150='Best Lifts'!$B:$B),0))</f>
        <v>165</v>
      </c>
      <c r="T150" s="164">
        <f t="array" ref="T150">INDEX('Best Lifts'!J$1:J$279,MATCH(1,($D150='Best Lifts'!$A:$A)*($E150='Best Lifts'!$B:$B),0))</f>
        <v>67.5</v>
      </c>
      <c r="U150" s="164">
        <f t="array" ref="U150">INDEX('Best Lifts'!K$1:K$279,MATCH(1,($D150='Best Lifts'!$A:$A)*($E150='Best Lifts'!$B:$B),0))</f>
        <v>135</v>
      </c>
      <c r="V150" s="164">
        <f t="array" ref="V150">INDEX('Best Lifts'!L$1:L$279,MATCH(1,($D150='Best Lifts'!$A:$A)*($E150='Best Lifts'!$B:$B),0))</f>
        <v>367.5</v>
      </c>
      <c r="W150" s="164">
        <f t="shared" si="31"/>
        <v>367.5</v>
      </c>
      <c r="X150" s="165" t="str">
        <f t="array" ref="X150">INDEX('Best Lifts'!M$1:M$279,MATCH(1,($D150='Best Lifts'!$A:$A)*($E150='Best Lifts'!$B:$B),0))</f>
        <v/>
      </c>
    </row>
    <row r="151">
      <c r="A151" s="163">
        <f t="shared" si="29"/>
        <v>4</v>
      </c>
      <c r="B151" s="163" t="str">
        <f t="shared" si="30"/>
        <v>Loading...</v>
      </c>
      <c r="C151" s="163"/>
      <c r="D151" s="163" t="str">
        <f>IFERROR(__xludf.DUMMYFUNCTION("""COMPUTED_VALUE"""),"Hernandez")</f>
        <v>Hernandez</v>
      </c>
      <c r="E151" s="163" t="str">
        <f>IFERROR(__xludf.DUMMYFUNCTION("""COMPUTED_VALUE"""),"Cameron")</f>
        <v>Cameron</v>
      </c>
      <c r="F151" s="163" t="str">
        <f>IFERROR(__xludf.DUMMYFUNCTION("""COMPUTED_VALUE"""),"4 - Sun")</f>
        <v>4 - Sun</v>
      </c>
      <c r="G151" s="163"/>
      <c r="H151" s="163"/>
      <c r="I151" s="163"/>
      <c r="J151" s="163" t="str">
        <f>IFERROR(__xludf.DUMMYFUNCTION("""COMPUTED_VALUE"""),"F")</f>
        <v>F</v>
      </c>
      <c r="K151" s="163" t="str">
        <f>IFERROR(__xludf.DUMMYFUNCTION("""COMPUTED_VALUE"""),"E")</f>
        <v>E</v>
      </c>
      <c r="L151" s="163">
        <f>IFERROR(__xludf.DUMMYFUNCTION("""COMPUTED_VALUE"""),100.0)</f>
        <v>100</v>
      </c>
      <c r="M151" s="163">
        <f>IFERROR(__xludf.DUMMYFUNCTION("""COMPUTED_VALUE"""),367.5)</f>
        <v>367.5</v>
      </c>
      <c r="N151" s="163"/>
      <c r="O151" s="164">
        <f t="array" ref="O151">INDEX('Best Lifts'!E$1:E$279,MATCH(1,($D151='Best Lifts'!$A:$A)*($E151='Best Lifts'!$B:$B),0))</f>
        <v>117.5</v>
      </c>
      <c r="P151" s="164">
        <f t="array" ref="P151">INDEX('Best Lifts'!F$1:F$279,MATCH(1,($D151='Best Lifts'!$A:$A)*($E151='Best Lifts'!$B:$B),0))</f>
        <v>47.5</v>
      </c>
      <c r="Q151" s="164">
        <f t="array" ref="Q151">INDEX('Best Lifts'!G$1:G$279,MATCH(1,($D151='Best Lifts'!$A:$A)*($E151='Best Lifts'!$B:$B),0))</f>
        <v>107.5</v>
      </c>
      <c r="R151" s="164">
        <f t="array" ref="R151">INDEX('Best Lifts'!H$1:H$279,MATCH(1,($D151='Best Lifts'!$A:$A)*($E151='Best Lifts'!$B:$B),0))</f>
        <v>272.5</v>
      </c>
      <c r="S151" s="164" t="str">
        <f t="array" ref="S151">INDEX('Best Lifts'!I$1:I$279,MATCH(1,($D151='Best Lifts'!$A:$A)*($E151='Best Lifts'!$B:$B),0))</f>
        <v>Loading...</v>
      </c>
      <c r="T151" s="164" t="str">
        <f t="array" ref="T151">INDEX('Best Lifts'!J$1:J$279,MATCH(1,($D151='Best Lifts'!$A:$A)*($E151='Best Lifts'!$B:$B),0))</f>
        <v/>
      </c>
      <c r="U151" s="164" t="str">
        <f t="array" ref="U151">INDEX('Best Lifts'!K$1:K$279,MATCH(1,($D151='Best Lifts'!$A:$A)*($E151='Best Lifts'!$B:$B),0))</f>
        <v/>
      </c>
      <c r="V151" s="164" t="str">
        <f t="array" ref="V151">INDEX('Best Lifts'!L$1:L$279,MATCH(1,($D151='Best Lifts'!$A:$A)*($E151='Best Lifts'!$B:$B),0))</f>
        <v/>
      </c>
      <c r="W151" s="164" t="str">
        <f t="shared" si="31"/>
        <v>Loading...</v>
      </c>
      <c r="X151" s="165" t="str">
        <f t="array" ref="X151">INDEX('Best Lifts'!M$1:M$279,MATCH(1,($D151='Best Lifts'!$A:$A)*($E151='Best Lifts'!$B:$B),0))</f>
        <v/>
      </c>
    </row>
    <row r="152">
      <c r="A152" s="163">
        <f t="shared" si="29"/>
        <v>6</v>
      </c>
      <c r="B152" s="163" t="str">
        <f t="shared" si="30"/>
        <v>Loading...</v>
      </c>
      <c r="C152" s="163"/>
      <c r="D152" s="163" t="str">
        <f>IFERROR(__xludf.DUMMYFUNCTION("""COMPUTED_VALUE"""),"Galarza")</f>
        <v>Galarza</v>
      </c>
      <c r="E152" s="163" t="str">
        <f>IFERROR(__xludf.DUMMYFUNCTION("""COMPUTED_VALUE"""),"Jennifer")</f>
        <v>Jennifer</v>
      </c>
      <c r="F152" s="163" t="str">
        <f>IFERROR(__xludf.DUMMYFUNCTION("""COMPUTED_VALUE"""),"4 - Sun")</f>
        <v>4 - Sun</v>
      </c>
      <c r="G152" s="163"/>
      <c r="H152" s="163"/>
      <c r="I152" s="163"/>
      <c r="J152" s="163" t="str">
        <f>IFERROR(__xludf.DUMMYFUNCTION("""COMPUTED_VALUE"""),"F")</f>
        <v>F</v>
      </c>
      <c r="K152" s="163" t="str">
        <f>IFERROR(__xludf.DUMMYFUNCTION("""COMPUTED_VALUE"""),"E")</f>
        <v>E</v>
      </c>
      <c r="L152" s="163">
        <f>IFERROR(__xludf.DUMMYFUNCTION("""COMPUTED_VALUE"""),100.0)</f>
        <v>100</v>
      </c>
      <c r="M152" s="163">
        <f>IFERROR(__xludf.DUMMYFUNCTION("""COMPUTED_VALUE"""),362.5)</f>
        <v>362.5</v>
      </c>
      <c r="N152" s="163"/>
      <c r="O152" s="164">
        <f t="array" ref="O152">INDEX('Best Lifts'!E$1:E$279,MATCH(1,($D152='Best Lifts'!$A:$A)*($E152='Best Lifts'!$B:$B),0))</f>
        <v>140</v>
      </c>
      <c r="P152" s="164">
        <f t="array" ref="P152">INDEX('Best Lifts'!F$1:F$279,MATCH(1,($D152='Best Lifts'!$A:$A)*($E152='Best Lifts'!$B:$B),0))</f>
        <v>65</v>
      </c>
      <c r="Q152" s="164">
        <f t="array" ref="Q152">INDEX('Best Lifts'!G$1:G$279,MATCH(1,($D152='Best Lifts'!$A:$A)*($E152='Best Lifts'!$B:$B),0))</f>
        <v>157.5</v>
      </c>
      <c r="R152" s="164">
        <f t="array" ref="R152">INDEX('Best Lifts'!H$1:H$279,MATCH(1,($D152='Best Lifts'!$A:$A)*($E152='Best Lifts'!$B:$B),0))</f>
        <v>362.5</v>
      </c>
      <c r="S152" s="164">
        <f t="array" ref="S152">INDEX('Best Lifts'!I$1:I$279,MATCH(1,($D152='Best Lifts'!$A:$A)*($E152='Best Lifts'!$B:$B),0))</f>
        <v>145.1</v>
      </c>
      <c r="T152" s="164">
        <f t="array" ref="T152">INDEX('Best Lifts'!J$1:J$279,MATCH(1,($D152='Best Lifts'!$A:$A)*($E152='Best Lifts'!$B:$B),0))</f>
        <v>83.9</v>
      </c>
      <c r="U152" s="164">
        <f t="array" ref="U152">INDEX('Best Lifts'!K$1:K$279,MATCH(1,($D152='Best Lifts'!$A:$A)*($E152='Best Lifts'!$B:$B),0))</f>
        <v>151.9</v>
      </c>
      <c r="V152" s="164">
        <f t="array" ref="V152">INDEX('Best Lifts'!L$1:L$279,MATCH(1,($D152='Best Lifts'!$A:$A)*($E152='Best Lifts'!$B:$B),0))</f>
        <v>381</v>
      </c>
      <c r="W152" s="164">
        <f t="shared" si="31"/>
        <v>380.9</v>
      </c>
      <c r="X152" s="165" t="str">
        <f t="array" ref="X152">INDEX('Best Lifts'!M$1:M$279,MATCH(1,($D152='Best Lifts'!$A:$A)*($E152='Best Lifts'!$B:$B),0))</f>
        <v/>
      </c>
    </row>
    <row r="153">
      <c r="A153" s="163">
        <f t="shared" si="29"/>
        <v>7</v>
      </c>
      <c r="B153" s="163" t="str">
        <f t="shared" si="30"/>
        <v>Loading...</v>
      </c>
      <c r="C153" s="163"/>
      <c r="D153" s="163" t="str">
        <f>IFERROR(__xludf.DUMMYFUNCTION("""COMPUTED_VALUE"""),"Bernard")</f>
        <v>Bernard</v>
      </c>
      <c r="E153" s="163" t="str">
        <f>IFERROR(__xludf.DUMMYFUNCTION("""COMPUTED_VALUE"""),"Darya")</f>
        <v>Darya</v>
      </c>
      <c r="F153" s="163" t="str">
        <f>IFERROR(__xludf.DUMMYFUNCTION("""COMPUTED_VALUE"""),"4 - Sun")</f>
        <v>4 - Sun</v>
      </c>
      <c r="G153" s="163"/>
      <c r="H153" s="163"/>
      <c r="I153" s="163"/>
      <c r="J153" s="163" t="str">
        <f>IFERROR(__xludf.DUMMYFUNCTION("""COMPUTED_VALUE"""),"F")</f>
        <v>F</v>
      </c>
      <c r="K153" s="163" t="str">
        <f>IFERROR(__xludf.DUMMYFUNCTION("""COMPUTED_VALUE"""),"E")</f>
        <v>E</v>
      </c>
      <c r="L153" s="163">
        <f>IFERROR(__xludf.DUMMYFUNCTION("""COMPUTED_VALUE"""),100.0)</f>
        <v>100</v>
      </c>
      <c r="M153" s="163">
        <f>IFERROR(__xludf.DUMMYFUNCTION("""COMPUTED_VALUE"""),352.5)</f>
        <v>352.5</v>
      </c>
      <c r="N153" s="163"/>
      <c r="O153" s="164">
        <f t="array" ref="O153">INDEX('Best Lifts'!E$1:E$279,MATCH(1,($D153='Best Lifts'!$A:$A)*($E153='Best Lifts'!$B:$B),0))</f>
        <v>115</v>
      </c>
      <c r="P153" s="164">
        <f t="array" ref="P153">INDEX('Best Lifts'!F$1:F$279,MATCH(1,($D153='Best Lifts'!$A:$A)*($E153='Best Lifts'!$B:$B),0))</f>
        <v>70</v>
      </c>
      <c r="Q153" s="164">
        <f t="array" ref="Q153">INDEX('Best Lifts'!G$1:G$279,MATCH(1,($D153='Best Lifts'!$A:$A)*($E153='Best Lifts'!$B:$B),0))</f>
        <v>137.5</v>
      </c>
      <c r="R153" s="164">
        <f t="array" ref="R153">INDEX('Best Lifts'!H$1:H$279,MATCH(1,($D153='Best Lifts'!$A:$A)*($E153='Best Lifts'!$B:$B),0))</f>
        <v>322.5</v>
      </c>
      <c r="S153" s="164">
        <f t="array" ref="S153">INDEX('Best Lifts'!I$1:I$279,MATCH(1,($D153='Best Lifts'!$A:$A)*($E153='Best Lifts'!$B:$B),0))</f>
        <v>117.5</v>
      </c>
      <c r="T153" s="164">
        <f t="array" ref="T153">INDEX('Best Lifts'!J$1:J$279,MATCH(1,($D153='Best Lifts'!$A:$A)*($E153='Best Lifts'!$B:$B),0))</f>
        <v>87.5</v>
      </c>
      <c r="U153" s="164">
        <f t="array" ref="U153">INDEX('Best Lifts'!K$1:K$279,MATCH(1,($D153='Best Lifts'!$A:$A)*($E153='Best Lifts'!$B:$B),0))</f>
        <v>147.5</v>
      </c>
      <c r="V153" s="164">
        <f t="array" ref="V153">INDEX('Best Lifts'!L$1:L$279,MATCH(1,($D153='Best Lifts'!$A:$A)*($E153='Best Lifts'!$B:$B),0))</f>
        <v>352.5</v>
      </c>
      <c r="W153" s="164">
        <f t="shared" si="31"/>
        <v>352.5</v>
      </c>
      <c r="X153" s="165" t="str">
        <f t="array" ref="X153">INDEX('Best Lifts'!M$1:M$279,MATCH(1,($D153='Best Lifts'!$A:$A)*($E153='Best Lifts'!$B:$B),0))</f>
        <v/>
      </c>
    </row>
    <row r="154">
      <c r="A154" s="163">
        <f t="shared" si="29"/>
        <v>8</v>
      </c>
      <c r="B154" s="163" t="str">
        <f t="shared" si="30"/>
        <v>Loading...</v>
      </c>
      <c r="C154" s="163"/>
      <c r="D154" s="163" t="str">
        <f>IFERROR(__xludf.DUMMYFUNCTION("""COMPUTED_VALUE"""),"Mixon")</f>
        <v>Mixon</v>
      </c>
      <c r="E154" s="163" t="str">
        <f>IFERROR(__xludf.DUMMYFUNCTION("""COMPUTED_VALUE"""),"Cassandra")</f>
        <v>Cassandra</v>
      </c>
      <c r="F154" s="163" t="str">
        <f>IFERROR(__xludf.DUMMYFUNCTION("""COMPUTED_VALUE"""),"4 - Sun")</f>
        <v>4 - Sun</v>
      </c>
      <c r="G154" s="163"/>
      <c r="H154" s="163"/>
      <c r="I154" s="163"/>
      <c r="J154" s="163" t="str">
        <f>IFERROR(__xludf.DUMMYFUNCTION("""COMPUTED_VALUE"""),"F")</f>
        <v>F</v>
      </c>
      <c r="K154" s="163" t="str">
        <f>IFERROR(__xludf.DUMMYFUNCTION("""COMPUTED_VALUE"""),"E")</f>
        <v>E</v>
      </c>
      <c r="L154" s="163">
        <f>IFERROR(__xludf.DUMMYFUNCTION("""COMPUTED_VALUE"""),100.0)</f>
        <v>100</v>
      </c>
      <c r="M154" s="163">
        <f>IFERROR(__xludf.DUMMYFUNCTION("""COMPUTED_VALUE"""),340.0)</f>
        <v>340</v>
      </c>
      <c r="N154" s="163"/>
      <c r="O154" s="164"/>
      <c r="P154" s="164"/>
      <c r="Q154" s="164"/>
      <c r="R154" s="164"/>
      <c r="S154" s="164">
        <f t="array" ref="S154">INDEX('Best Lifts'!I$1:I$279,MATCH(1,($D154='Best Lifts'!$A:$A)*($E154='Best Lifts'!$B:$B),0))</f>
        <v>112.5</v>
      </c>
      <c r="T154" s="164">
        <f t="array" ref="T154">INDEX('Best Lifts'!J$1:J$279,MATCH(1,($D154='Best Lifts'!$A:$A)*($E154='Best Lifts'!$B:$B),0))</f>
        <v>97.5</v>
      </c>
      <c r="U154" s="164">
        <f t="array" ref="U154">INDEX('Best Lifts'!K$1:K$279,MATCH(1,($D154='Best Lifts'!$A:$A)*($E154='Best Lifts'!$B:$B),0))</f>
        <v>130</v>
      </c>
      <c r="V154" s="164">
        <f t="array" ref="V154">INDEX('Best Lifts'!L$1:L$279,MATCH(1,($D154='Best Lifts'!$A:$A)*($E154='Best Lifts'!$B:$B),0))</f>
        <v>340</v>
      </c>
      <c r="W154" s="164">
        <f t="shared" si="31"/>
        <v>340</v>
      </c>
      <c r="X154" s="165"/>
    </row>
    <row r="155">
      <c r="A155" s="163">
        <f t="shared" si="29"/>
        <v>9</v>
      </c>
      <c r="B155" s="163" t="str">
        <f t="shared" si="30"/>
        <v>Loading...</v>
      </c>
      <c r="C155" s="163"/>
      <c r="D155" s="163" t="str">
        <f>IFERROR(__xludf.DUMMYFUNCTION("""COMPUTED_VALUE"""),"Gagnon")</f>
        <v>Gagnon</v>
      </c>
      <c r="E155" s="163" t="str">
        <f>IFERROR(__xludf.DUMMYFUNCTION("""COMPUTED_VALUE"""),"Kaitlyn")</f>
        <v>Kaitlyn</v>
      </c>
      <c r="F155" s="163" t="str">
        <f>IFERROR(__xludf.DUMMYFUNCTION("""COMPUTED_VALUE"""),"4 - Sun")</f>
        <v>4 - Sun</v>
      </c>
      <c r="G155" s="163"/>
      <c r="H155" s="163"/>
      <c r="I155" s="163"/>
      <c r="J155" s="163" t="str">
        <f>IFERROR(__xludf.DUMMYFUNCTION("""COMPUTED_VALUE"""),"F")</f>
        <v>F</v>
      </c>
      <c r="K155" s="163" t="str">
        <f>IFERROR(__xludf.DUMMYFUNCTION("""COMPUTED_VALUE"""),"E")</f>
        <v>E</v>
      </c>
      <c r="L155" s="163">
        <f>IFERROR(__xludf.DUMMYFUNCTION("""COMPUTED_VALUE"""),100.0)</f>
        <v>100</v>
      </c>
      <c r="M155" s="163">
        <f>IFERROR(__xludf.DUMMYFUNCTION("""COMPUTED_VALUE"""),272.5)</f>
        <v>272.5</v>
      </c>
      <c r="N155" s="163"/>
      <c r="O155" s="164"/>
      <c r="P155" s="164"/>
      <c r="Q155" s="164"/>
      <c r="R155" s="164"/>
      <c r="S155" s="164" t="str">
        <f t="array" ref="S155">INDEX('Best Lifts'!I$1:I$279,MATCH(1,($D155='Best Lifts'!$A:$A)*($E155='Best Lifts'!$B:$B),0))</f>
        <v>#N/A</v>
      </c>
      <c r="T155" s="164" t="str">
        <f t="array" ref="T155">INDEX('Best Lifts'!J$1:J$279,MATCH(1,($D155='Best Lifts'!$A:$A)*($E155='Best Lifts'!$B:$B),0))</f>
        <v/>
      </c>
      <c r="U155" s="164" t="str">
        <f t="array" ref="U155">INDEX('Best Lifts'!K$1:K$279,MATCH(1,($D155='Best Lifts'!$A:$A)*($E155='Best Lifts'!$B:$B),0))</f>
        <v/>
      </c>
      <c r="V155" s="164" t="str">
        <f t="array" ref="V155">INDEX('Best Lifts'!L$1:L$279,MATCH(1,($D155='Best Lifts'!$A:$A)*($E155='Best Lifts'!$B:$B),0))</f>
        <v/>
      </c>
      <c r="W155" s="164">
        <f t="shared" si="31"/>
        <v>0</v>
      </c>
      <c r="X155" s="165"/>
    </row>
    <row r="156">
      <c r="A156" s="154"/>
      <c r="B156" s="154"/>
      <c r="C156" s="154"/>
      <c r="D156" s="154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8"/>
      <c r="Q156" s="158"/>
      <c r="R156" s="159"/>
      <c r="S156" s="160"/>
      <c r="T156" s="158"/>
      <c r="U156" s="158"/>
      <c r="V156" s="159"/>
      <c r="W156" s="159"/>
      <c r="X156" s="159"/>
    </row>
    <row r="157">
      <c r="A157" s="154"/>
      <c r="B157" s="154"/>
      <c r="C157" s="154"/>
      <c r="D157" s="155" t="s">
        <v>387</v>
      </c>
      <c r="E157" s="156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8"/>
      <c r="Q157" s="158"/>
      <c r="R157" s="159"/>
      <c r="S157" s="160"/>
      <c r="T157" s="158"/>
      <c r="U157" s="158"/>
      <c r="V157" s="159"/>
      <c r="W157" s="159"/>
      <c r="X157" s="159"/>
    </row>
    <row r="158">
      <c r="A158" s="161" t="s">
        <v>746</v>
      </c>
      <c r="B158" s="161" t="s">
        <v>747</v>
      </c>
      <c r="C158" s="161" t="s">
        <v>748</v>
      </c>
      <c r="D158" s="161" t="s">
        <v>253</v>
      </c>
      <c r="E158" s="161" t="s">
        <v>254</v>
      </c>
      <c r="F158" s="161" t="s">
        <v>31</v>
      </c>
      <c r="G158" s="161" t="s">
        <v>32</v>
      </c>
      <c r="H158" s="161" t="s">
        <v>33</v>
      </c>
      <c r="I158" s="161" t="s">
        <v>34</v>
      </c>
      <c r="J158" s="161" t="s">
        <v>749</v>
      </c>
      <c r="K158" s="161" t="s">
        <v>257</v>
      </c>
      <c r="L158" s="161" t="s">
        <v>750</v>
      </c>
      <c r="M158" s="161" t="s">
        <v>36</v>
      </c>
      <c r="N158" s="161" t="s">
        <v>261</v>
      </c>
      <c r="O158" s="161" t="s">
        <v>751</v>
      </c>
      <c r="P158" s="162" t="s">
        <v>752</v>
      </c>
      <c r="Q158" s="162" t="s">
        <v>753</v>
      </c>
      <c r="R158" s="162" t="s">
        <v>754</v>
      </c>
      <c r="S158" s="161" t="s">
        <v>755</v>
      </c>
      <c r="T158" s="162" t="s">
        <v>756</v>
      </c>
      <c r="U158" s="162" t="s">
        <v>757</v>
      </c>
      <c r="V158" s="162" t="s">
        <v>758</v>
      </c>
      <c r="W158" s="162" t="s">
        <v>759</v>
      </c>
      <c r="X158" s="162" t="s">
        <v>703</v>
      </c>
    </row>
    <row r="159">
      <c r="A159" s="163">
        <f t="shared" ref="A159:A169" si="32">RANK(M159,$M$159:$M$173)</f>
        <v>1</v>
      </c>
      <c r="B159" s="163" t="str">
        <f t="shared" ref="B159:B169" si="33">RANK(W159,$W$159:$W$173)</f>
        <v>Loading...</v>
      </c>
      <c r="C159" s="163"/>
      <c r="D159" s="163" t="str">
        <f>IFERROR(__xludf.DUMMYFUNCTION("FILTER(Roster!A$2:A176,Roster!$H$2:$H176=""F"",Roster!$J$2:$J176=$D157)"),"AhSang")</f>
        <v>AhSang</v>
      </c>
      <c r="E159" s="163" t="str">
        <f>IFERROR(__xludf.DUMMYFUNCTION("FILTER(Roster!B$2:B176,Roster!$H$2:$H176=""F"",Roster!$J$2:$J176=$D157)"),"Lagi Marina")</f>
        <v>Lagi Marina</v>
      </c>
      <c r="F159" s="163" t="str">
        <f>IFERROR(__xludf.DUMMYFUNCTION("FILTER(Roster!D$2:D176,Roster!$H$2:$H176=""F"",Roster!$J$2:$J176=$D157)"),"4 - Sun")</f>
        <v>4 - Sun</v>
      </c>
      <c r="G159" s="163" t="str">
        <f>IFERROR(__xludf.DUMMYFUNCTION("FILTER(Roster!E$2:E176,Roster!$H$2:$H176=""F"",Roster!$J$2:$J176=$D157)"),"")</f>
        <v/>
      </c>
      <c r="H159" s="163" t="str">
        <f>IFERROR(__xludf.DUMMYFUNCTION("FILTER(Roster!F$2:F176,Roster!$H$2:$H176=""F"",Roster!$J$2:$J176=$D157)"),"")</f>
        <v/>
      </c>
      <c r="I159" s="163" t="str">
        <f>IFERROR(__xludf.DUMMYFUNCTION("FILTER(Roster!G$2:G176,Roster!$H$2:$H176=""F"",Roster!$J$2:$J176=$D157)"),"")</f>
        <v/>
      </c>
      <c r="J159" s="163" t="str">
        <f>IFERROR(__xludf.DUMMYFUNCTION("FILTER(Roster!H$2:H176,Roster!$H$2:$H176=""F"",Roster!$J$2:$J176=$D157)"),"F")</f>
        <v>F</v>
      </c>
      <c r="K159" s="163" t="str">
        <f>IFERROR(__xludf.DUMMYFUNCTION("FILTER(Roster!I$2:I176,Roster!$H$2:$H176=""F"",Roster!$J$2:$J176=$D157)"),"E")</f>
        <v>E</v>
      </c>
      <c r="L159" s="163" t="str">
        <f>IFERROR(__xludf.DUMMYFUNCTION("FILTER(Roster!J$2:J176,Roster!$H$2:$H176=""F"",Roster!$J$2:$J176=$D157)"),"100+")</f>
        <v>100+</v>
      </c>
      <c r="M159" s="163">
        <f>IFERROR(__xludf.DUMMYFUNCTION("FILTER(Roster!M$2:M176,Roster!$H$2:$H176=""F"",Roster!$J$2:$J176=$D157)"),646.0)</f>
        <v>646</v>
      </c>
      <c r="N159" s="163" t="str">
        <f>IFERROR(__xludf.DUMMYFUNCTION("FILTER(Roster!N$2:N176,Roster!$H$2:$H176=""F"",Roster!$J$2:$J176=$D157)"),"")</f>
        <v/>
      </c>
      <c r="O159" s="164">
        <f t="array" ref="O159">INDEX('Best Lifts'!E$1:E$279,MATCH(1,($D159='Best Lifts'!$A:$A)*($E159='Best Lifts'!$B:$B),0))</f>
        <v>200</v>
      </c>
      <c r="P159" s="164">
        <f t="array" ref="P159">INDEX('Best Lifts'!F$1:F$279,MATCH(1,($D159='Best Lifts'!$A:$A)*($E159='Best Lifts'!$B:$B),0))</f>
        <v>95</v>
      </c>
      <c r="Q159" s="164">
        <f t="array" ref="Q159">INDEX('Best Lifts'!G$1:G$279,MATCH(1,($D159='Best Lifts'!$A:$A)*($E159='Best Lifts'!$B:$B),0))</f>
        <v>207.5</v>
      </c>
      <c r="R159" s="164">
        <f t="array" ref="R159">INDEX('Best Lifts'!H$1:H$279,MATCH(1,($D159='Best Lifts'!$A:$A)*($E159='Best Lifts'!$B:$B),0))</f>
        <v>502.5</v>
      </c>
      <c r="S159" s="164">
        <f t="array" ref="S159">INDEX('Best Lifts'!I$1:I$279,MATCH(1,($D159='Best Lifts'!$A:$A)*($E159='Best Lifts'!$B:$B),0))</f>
        <v>290</v>
      </c>
      <c r="T159" s="164">
        <f t="array" ref="T159">INDEX('Best Lifts'!J$1:J$279,MATCH(1,($D159='Best Lifts'!$A:$A)*($E159='Best Lifts'!$B:$B),0))</f>
        <v>142.5</v>
      </c>
      <c r="U159" s="164">
        <f t="array" ref="U159">INDEX('Best Lifts'!K$1:K$279,MATCH(1,($D159='Best Lifts'!$A:$A)*($E159='Best Lifts'!$B:$B),0))</f>
        <v>223.5</v>
      </c>
      <c r="V159" s="164">
        <f t="array" ref="V159">INDEX('Best Lifts'!L$1:L$279,MATCH(1,($D159='Best Lifts'!$A:$A)*($E159='Best Lifts'!$B:$B),0))</f>
        <v>646</v>
      </c>
      <c r="W159" s="164">
        <f t="shared" ref="W159:W169" si="34">IF(ISNA(SUM(S159:U159)),0,SUM(S159:U159))</f>
        <v>656</v>
      </c>
      <c r="X159" s="165"/>
    </row>
    <row r="160">
      <c r="A160" s="163">
        <f t="shared" si="32"/>
        <v>2</v>
      </c>
      <c r="B160" s="163" t="str">
        <f t="shared" si="33"/>
        <v>Loading...</v>
      </c>
      <c r="C160" s="163"/>
      <c r="D160" s="163" t="str">
        <f>IFERROR(__xludf.DUMMYFUNCTION("""COMPUTED_VALUE"""),"Garcia")</f>
        <v>Garcia</v>
      </c>
      <c r="E160" s="163" t="str">
        <f>IFERROR(__xludf.DUMMYFUNCTION("""COMPUTED_VALUE"""),"Aisha")</f>
        <v>Aisha</v>
      </c>
      <c r="F160" s="163" t="str">
        <f>IFERROR(__xludf.DUMMYFUNCTION("""COMPUTED_VALUE"""),"4 - Sun")</f>
        <v>4 - Sun</v>
      </c>
      <c r="G160" s="163"/>
      <c r="H160" s="163"/>
      <c r="I160" s="163"/>
      <c r="J160" s="163" t="str">
        <f>IFERROR(__xludf.DUMMYFUNCTION("""COMPUTED_VALUE"""),"F")</f>
        <v>F</v>
      </c>
      <c r="K160" s="163" t="str">
        <f>IFERROR(__xludf.DUMMYFUNCTION("""COMPUTED_VALUE"""),"E")</f>
        <v>E</v>
      </c>
      <c r="L160" s="163" t="str">
        <f>IFERROR(__xludf.DUMMYFUNCTION("""COMPUTED_VALUE"""),"100+")</f>
        <v>100+</v>
      </c>
      <c r="M160" s="163">
        <f>IFERROR(__xludf.DUMMYFUNCTION("""COMPUTED_VALUE"""),530.0)</f>
        <v>530</v>
      </c>
      <c r="N160" s="163"/>
      <c r="O160" s="164" t="str">
        <f t="array" ref="O160">INDEX('Best Lifts'!E$1:E$279,MATCH(1,($D160='Best Lifts'!$A:$A)*($E160='Best Lifts'!$B:$B),0))</f>
        <v>#N/A</v>
      </c>
      <c r="P160" s="164" t="str">
        <f t="array" ref="P160">INDEX('Best Lifts'!F$1:F$279,MATCH(1,($D160='Best Lifts'!$A:$A)*($E160='Best Lifts'!$B:$B),0))</f>
        <v/>
      </c>
      <c r="Q160" s="164" t="str">
        <f t="array" ref="Q160">INDEX('Best Lifts'!G$1:G$279,MATCH(1,($D160='Best Lifts'!$A:$A)*($E160='Best Lifts'!$B:$B),0))</f>
        <v/>
      </c>
      <c r="R160" s="164" t="str">
        <f t="array" ref="R160">INDEX('Best Lifts'!H$1:H$279,MATCH(1,($D160='Best Lifts'!$A:$A)*($E160='Best Lifts'!$B:$B),0))</f>
        <v/>
      </c>
      <c r="S160" s="164">
        <f t="array" ref="S160">INDEX('Best Lifts'!I$1:I$279,MATCH(1,($D160='Best Lifts'!$A:$A)*($E160='Best Lifts'!$B:$B),0))</f>
        <v>255</v>
      </c>
      <c r="T160" s="164">
        <f t="array" ref="T160">INDEX('Best Lifts'!J$1:J$279,MATCH(1,($D160='Best Lifts'!$A:$A)*($E160='Best Lifts'!$B:$B),0))</f>
        <v>110</v>
      </c>
      <c r="U160" s="164">
        <f t="array" ref="U160">INDEX('Best Lifts'!K$1:K$279,MATCH(1,($D160='Best Lifts'!$A:$A)*($E160='Best Lifts'!$B:$B),0))</f>
        <v>165.5</v>
      </c>
      <c r="V160" s="164">
        <f t="array" ref="V160">INDEX('Best Lifts'!L$1:L$279,MATCH(1,($D160='Best Lifts'!$A:$A)*($E160='Best Lifts'!$B:$B),0))</f>
        <v>530</v>
      </c>
      <c r="W160" s="164">
        <f t="shared" si="34"/>
        <v>530.5</v>
      </c>
      <c r="X160" s="165" t="str">
        <f t="array" ref="X160">INDEX('Best Lifts'!M$1:M$279,MATCH(1,($D160='Best Lifts'!$A:$A)*($E160='Best Lifts'!$B:$B),0))</f>
        <v/>
      </c>
    </row>
    <row r="161">
      <c r="A161" s="163">
        <f t="shared" si="32"/>
        <v>3</v>
      </c>
      <c r="B161" s="163" t="str">
        <f t="shared" si="33"/>
        <v>Loading...</v>
      </c>
      <c r="C161" s="163"/>
      <c r="D161" s="163" t="str">
        <f>IFERROR(__xludf.DUMMYFUNCTION("""COMPUTED_VALUE"""),"Price")</f>
        <v>Price</v>
      </c>
      <c r="E161" s="163" t="str">
        <f>IFERROR(__xludf.DUMMYFUNCTION("""COMPUTED_VALUE"""),"Chelsea")</f>
        <v>Chelsea</v>
      </c>
      <c r="F161" s="163" t="str">
        <f>IFERROR(__xludf.DUMMYFUNCTION("""COMPUTED_VALUE"""),"4 - Sun")</f>
        <v>4 - Sun</v>
      </c>
      <c r="G161" s="163"/>
      <c r="H161" s="163"/>
      <c r="I161" s="163"/>
      <c r="J161" s="163" t="str">
        <f>IFERROR(__xludf.DUMMYFUNCTION("""COMPUTED_VALUE"""),"F")</f>
        <v>F</v>
      </c>
      <c r="K161" s="163" t="str">
        <f>IFERROR(__xludf.DUMMYFUNCTION("""COMPUTED_VALUE"""),"E")</f>
        <v>E</v>
      </c>
      <c r="L161" s="163" t="str">
        <f>IFERROR(__xludf.DUMMYFUNCTION("""COMPUTED_VALUE"""),"100+")</f>
        <v>100+</v>
      </c>
      <c r="M161" s="163">
        <f>IFERROR(__xludf.DUMMYFUNCTION("""COMPUTED_VALUE"""),472.5)</f>
        <v>472.5</v>
      </c>
      <c r="N161" s="163"/>
      <c r="O161" s="164">
        <f t="array" ref="O161">INDEX('Best Lifts'!E$1:E$279,MATCH(1,($D161='Best Lifts'!$A:$A)*($E161='Best Lifts'!$B:$B),0))</f>
        <v>155</v>
      </c>
      <c r="P161" s="164">
        <f t="array" ref="P161">INDEX('Best Lifts'!F$1:F$279,MATCH(1,($D161='Best Lifts'!$A:$A)*($E161='Best Lifts'!$B:$B),0))</f>
        <v>77.5</v>
      </c>
      <c r="Q161" s="164">
        <f t="array" ref="Q161">INDEX('Best Lifts'!G$1:G$279,MATCH(1,($D161='Best Lifts'!$A:$A)*($E161='Best Lifts'!$B:$B),0))</f>
        <v>150</v>
      </c>
      <c r="R161" s="164">
        <f t="array" ref="R161">INDEX('Best Lifts'!H$1:H$279,MATCH(1,($D161='Best Lifts'!$A:$A)*($E161='Best Lifts'!$B:$B),0))</f>
        <v>382.5</v>
      </c>
      <c r="S161" s="164">
        <f t="array" ref="S161">INDEX('Best Lifts'!I$1:I$279,MATCH(1,($D161='Best Lifts'!$A:$A)*($E161='Best Lifts'!$B:$B),0))</f>
        <v>205</v>
      </c>
      <c r="T161" s="164">
        <f t="array" ref="T161">INDEX('Best Lifts'!J$1:J$279,MATCH(1,($D161='Best Lifts'!$A:$A)*($E161='Best Lifts'!$B:$B),0))</f>
        <v>117.5</v>
      </c>
      <c r="U161" s="164">
        <f t="array" ref="U161">INDEX('Best Lifts'!K$1:K$279,MATCH(1,($D161='Best Lifts'!$A:$A)*($E161='Best Lifts'!$B:$B),0))</f>
        <v>150</v>
      </c>
      <c r="V161" s="164">
        <f t="array" ref="V161">INDEX('Best Lifts'!L$1:L$279,MATCH(1,($D161='Best Lifts'!$A:$A)*($E161='Best Lifts'!$B:$B),0))</f>
        <v>472.5</v>
      </c>
      <c r="W161" s="164">
        <f t="shared" si="34"/>
        <v>472.5</v>
      </c>
      <c r="X161" s="165" t="str">
        <f t="array" ref="X161">INDEX('Best Lifts'!M$1:M$279,MATCH(1,($D161='Best Lifts'!$A:$A)*($E161='Best Lifts'!$B:$B),0))</f>
        <v/>
      </c>
    </row>
    <row r="162">
      <c r="A162" s="163">
        <f t="shared" si="32"/>
        <v>4</v>
      </c>
      <c r="B162" s="163" t="str">
        <f t="shared" si="33"/>
        <v>Loading...</v>
      </c>
      <c r="C162" s="163"/>
      <c r="D162" s="163" t="str">
        <f>IFERROR(__xludf.DUMMYFUNCTION("""COMPUTED_VALUE"""),"Day")</f>
        <v>Day</v>
      </c>
      <c r="E162" s="163" t="str">
        <f>IFERROR(__xludf.DUMMYFUNCTION("""COMPUTED_VALUE"""),"Amelia")</f>
        <v>Amelia</v>
      </c>
      <c r="F162" s="163" t="str">
        <f>IFERROR(__xludf.DUMMYFUNCTION("""COMPUTED_VALUE"""),"4 - Sun")</f>
        <v>4 - Sun</v>
      </c>
      <c r="G162" s="163"/>
      <c r="H162" s="163"/>
      <c r="I162" s="163"/>
      <c r="J162" s="163" t="str">
        <f>IFERROR(__xludf.DUMMYFUNCTION("""COMPUTED_VALUE"""),"F")</f>
        <v>F</v>
      </c>
      <c r="K162" s="163" t="str">
        <f>IFERROR(__xludf.DUMMYFUNCTION("""COMPUTED_VALUE"""),"E")</f>
        <v>E</v>
      </c>
      <c r="L162" s="163" t="str">
        <f>IFERROR(__xludf.DUMMYFUNCTION("""COMPUTED_VALUE"""),"100+")</f>
        <v>100+</v>
      </c>
      <c r="M162" s="163">
        <f>IFERROR(__xludf.DUMMYFUNCTION("""COMPUTED_VALUE"""),467.5)</f>
        <v>467.5</v>
      </c>
      <c r="N162" s="163"/>
      <c r="O162" s="164">
        <f t="array" ref="O162">INDEX('Best Lifts'!E$1:E$279,MATCH(1,($D162='Best Lifts'!$A:$A)*($E162='Best Lifts'!$B:$B),0))</f>
        <v>165</v>
      </c>
      <c r="P162" s="164">
        <f t="array" ref="P162">INDEX('Best Lifts'!F$1:F$279,MATCH(1,($D162='Best Lifts'!$A:$A)*($E162='Best Lifts'!$B:$B),0))</f>
        <v>80</v>
      </c>
      <c r="Q162" s="164">
        <f t="array" ref="Q162">INDEX('Best Lifts'!G$1:G$279,MATCH(1,($D162='Best Lifts'!$A:$A)*($E162='Best Lifts'!$B:$B),0))</f>
        <v>165</v>
      </c>
      <c r="R162" s="164">
        <f t="array" ref="R162">INDEX('Best Lifts'!H$1:H$279,MATCH(1,($D162='Best Lifts'!$A:$A)*($E162='Best Lifts'!$B:$B),0))</f>
        <v>405</v>
      </c>
      <c r="S162" s="164">
        <f t="array" ref="S162">INDEX('Best Lifts'!I$1:I$279,MATCH(1,($D162='Best Lifts'!$A:$A)*($E162='Best Lifts'!$B:$B),0))</f>
        <v>200</v>
      </c>
      <c r="T162" s="164">
        <f t="array" ref="T162">INDEX('Best Lifts'!J$1:J$279,MATCH(1,($D162='Best Lifts'!$A:$A)*($E162='Best Lifts'!$B:$B),0))</f>
        <v>97.5</v>
      </c>
      <c r="U162" s="164">
        <f t="array" ref="U162">INDEX('Best Lifts'!K$1:K$279,MATCH(1,($D162='Best Lifts'!$A:$A)*($E162='Best Lifts'!$B:$B),0))</f>
        <v>170</v>
      </c>
      <c r="V162" s="164">
        <f t="array" ref="V162">INDEX('Best Lifts'!L$1:L$279,MATCH(1,($D162='Best Lifts'!$A:$A)*($E162='Best Lifts'!$B:$B),0))</f>
        <v>467.5</v>
      </c>
      <c r="W162" s="164">
        <f t="shared" si="34"/>
        <v>467.5</v>
      </c>
      <c r="X162" s="165" t="str">
        <f t="array" ref="X162">INDEX('Best Lifts'!M$1:M$279,MATCH(1,($D162='Best Lifts'!$A:$A)*($E162='Best Lifts'!$B:$B),0))</f>
        <v/>
      </c>
    </row>
    <row r="163">
      <c r="A163" s="163">
        <f t="shared" si="32"/>
        <v>5</v>
      </c>
      <c r="B163" s="163" t="str">
        <f t="shared" si="33"/>
        <v>Loading...</v>
      </c>
      <c r="C163" s="163"/>
      <c r="D163" s="163" t="str">
        <f>IFERROR(__xludf.DUMMYFUNCTION("""COMPUTED_VALUE"""),"Ruiz")</f>
        <v>Ruiz</v>
      </c>
      <c r="E163" s="163" t="str">
        <f>IFERROR(__xludf.DUMMYFUNCTION("""COMPUTED_VALUE"""),"Trinity")</f>
        <v>Trinity</v>
      </c>
      <c r="F163" s="163" t="str">
        <f>IFERROR(__xludf.DUMMYFUNCTION("""COMPUTED_VALUE"""),"4 - Sun")</f>
        <v>4 - Sun</v>
      </c>
      <c r="G163" s="163"/>
      <c r="H163" s="163"/>
      <c r="I163" s="163"/>
      <c r="J163" s="163" t="str">
        <f>IFERROR(__xludf.DUMMYFUNCTION("""COMPUTED_VALUE"""),"F")</f>
        <v>F</v>
      </c>
      <c r="K163" s="163" t="str">
        <f>IFERROR(__xludf.DUMMYFUNCTION("""COMPUTED_VALUE"""),"E")</f>
        <v>E</v>
      </c>
      <c r="L163" s="163" t="str">
        <f>IFERROR(__xludf.DUMMYFUNCTION("""COMPUTED_VALUE"""),"100+")</f>
        <v>100+</v>
      </c>
      <c r="M163" s="163">
        <f>IFERROR(__xludf.DUMMYFUNCTION("""COMPUTED_VALUE"""),455.0)</f>
        <v>455</v>
      </c>
      <c r="N163" s="163"/>
      <c r="O163" s="164" t="str">
        <f t="array" ref="O163">INDEX('Best Lifts'!E$1:E$279,MATCH(1,($D163='Best Lifts'!$A:$A)*($E163='Best Lifts'!$B:$B),0))</f>
        <v>Loading...</v>
      </c>
      <c r="P163" s="164" t="str">
        <f t="array" ref="P163">INDEX('Best Lifts'!F$1:F$279,MATCH(1,($D163='Best Lifts'!$A:$A)*($E163='Best Lifts'!$B:$B),0))</f>
        <v/>
      </c>
      <c r="Q163" s="164" t="str">
        <f t="array" ref="Q163">INDEX('Best Lifts'!G$1:G$279,MATCH(1,($D163='Best Lifts'!$A:$A)*($E163='Best Lifts'!$B:$B),0))</f>
        <v/>
      </c>
      <c r="R163" s="164" t="str">
        <f t="array" ref="R163">INDEX('Best Lifts'!H$1:H$279,MATCH(1,($D163='Best Lifts'!$A:$A)*($E163='Best Lifts'!$B:$B),0))</f>
        <v/>
      </c>
      <c r="S163" s="164" t="str">
        <f t="array" ref="S163">INDEX('Best Lifts'!I$1:I$279,MATCH(1,($D163='Best Lifts'!$A:$A)*($E163='Best Lifts'!$B:$B),0))</f>
        <v>Loading...</v>
      </c>
      <c r="T163" s="164" t="str">
        <f t="array" ref="T163">INDEX('Best Lifts'!J$1:J$279,MATCH(1,($D163='Best Lifts'!$A:$A)*($E163='Best Lifts'!$B:$B),0))</f>
        <v/>
      </c>
      <c r="U163" s="164" t="str">
        <f t="array" ref="U163">INDEX('Best Lifts'!K$1:K$279,MATCH(1,($D163='Best Lifts'!$A:$A)*($E163='Best Lifts'!$B:$B),0))</f>
        <v/>
      </c>
      <c r="V163" s="164" t="str">
        <f t="array" ref="V163">INDEX('Best Lifts'!L$1:L$279,MATCH(1,($D163='Best Lifts'!$A:$A)*($E163='Best Lifts'!$B:$B),0))</f>
        <v/>
      </c>
      <c r="W163" s="164" t="str">
        <f t="shared" si="34"/>
        <v>Loading...</v>
      </c>
      <c r="X163" s="165" t="str">
        <f t="array" ref="X163">INDEX('Best Lifts'!M$1:M$279,MATCH(1,($D163='Best Lifts'!$A:$A)*($E163='Best Lifts'!$B:$B),0))</f>
        <v/>
      </c>
    </row>
    <row r="164">
      <c r="A164" s="163">
        <f t="shared" si="32"/>
        <v>6</v>
      </c>
      <c r="B164" s="163" t="str">
        <f t="shared" si="33"/>
        <v>Loading...</v>
      </c>
      <c r="C164" s="163"/>
      <c r="D164" s="163" t="str">
        <f>IFERROR(__xludf.DUMMYFUNCTION("""COMPUTED_VALUE"""),"Welch")</f>
        <v>Welch</v>
      </c>
      <c r="E164" s="163" t="str">
        <f>IFERROR(__xludf.DUMMYFUNCTION("""COMPUTED_VALUE"""),"Bennett")</f>
        <v>Bennett</v>
      </c>
      <c r="F164" s="163" t="str">
        <f>IFERROR(__xludf.DUMMYFUNCTION("""COMPUTED_VALUE"""),"4 - Sun")</f>
        <v>4 - Sun</v>
      </c>
      <c r="G164" s="163"/>
      <c r="H164" s="163"/>
      <c r="I164" s="163"/>
      <c r="J164" s="163" t="str">
        <f>IFERROR(__xludf.DUMMYFUNCTION("""COMPUTED_VALUE"""),"F")</f>
        <v>F</v>
      </c>
      <c r="K164" s="163" t="str">
        <f>IFERROR(__xludf.DUMMYFUNCTION("""COMPUTED_VALUE"""),"E")</f>
        <v>E</v>
      </c>
      <c r="L164" s="163" t="str">
        <f>IFERROR(__xludf.DUMMYFUNCTION("""COMPUTED_VALUE"""),"100+")</f>
        <v>100+</v>
      </c>
      <c r="M164" s="163">
        <f>IFERROR(__xludf.DUMMYFUNCTION("""COMPUTED_VALUE"""),447.5)</f>
        <v>447.5</v>
      </c>
      <c r="N164" s="163"/>
      <c r="O164" s="164">
        <f t="array" ref="O164">INDEX('Best Lifts'!E$1:E$279,MATCH(1,($D164='Best Lifts'!$A:$A)*($E164='Best Lifts'!$B:$B),0))</f>
        <v>132.5</v>
      </c>
      <c r="P164" s="164">
        <f t="array" ref="P164">INDEX('Best Lifts'!F$1:F$279,MATCH(1,($D164='Best Lifts'!$A:$A)*($E164='Best Lifts'!$B:$B),0))</f>
        <v>62.5</v>
      </c>
      <c r="Q164" s="164">
        <f t="array" ref="Q164">INDEX('Best Lifts'!G$1:G$279,MATCH(1,($D164='Best Lifts'!$A:$A)*($E164='Best Lifts'!$B:$B),0))</f>
        <v>162.5</v>
      </c>
      <c r="R164" s="164">
        <f t="array" ref="R164">INDEX('Best Lifts'!H$1:H$279,MATCH(1,($D164='Best Lifts'!$A:$A)*($E164='Best Lifts'!$B:$B),0))</f>
        <v>335</v>
      </c>
      <c r="S164" s="164">
        <f t="array" ref="S164">INDEX('Best Lifts'!I$1:I$279,MATCH(1,($D164='Best Lifts'!$A:$A)*($E164='Best Lifts'!$B:$B),0))</f>
        <v>181.4</v>
      </c>
      <c r="T164" s="164">
        <f t="array" ref="T164">INDEX('Best Lifts'!J$1:J$279,MATCH(1,($D164='Best Lifts'!$A:$A)*($E164='Best Lifts'!$B:$B),0))</f>
        <v>107.5</v>
      </c>
      <c r="U164" s="164">
        <f t="array" ref="U164">INDEX('Best Lifts'!K$1:K$279,MATCH(1,($D164='Best Lifts'!$A:$A)*($E164='Best Lifts'!$B:$B),0))</f>
        <v>181.4</v>
      </c>
      <c r="V164" s="164">
        <f t="array" ref="V164">INDEX('Best Lifts'!L$1:L$279,MATCH(1,($D164='Best Lifts'!$A:$A)*($E164='Best Lifts'!$B:$B),0))</f>
        <v>453.5</v>
      </c>
      <c r="W164" s="164">
        <f t="shared" si="34"/>
        <v>470.3</v>
      </c>
      <c r="X164" s="165" t="str">
        <f t="array" ref="X164">INDEX('Best Lifts'!M$1:M$279,MATCH(1,($D164='Best Lifts'!$A:$A)*($E164='Best Lifts'!$B:$B),0))</f>
        <v/>
      </c>
    </row>
    <row r="165">
      <c r="A165" s="163">
        <f t="shared" si="32"/>
        <v>7</v>
      </c>
      <c r="B165" s="163" t="str">
        <f t="shared" si="33"/>
        <v>Loading...</v>
      </c>
      <c r="C165" s="163"/>
      <c r="D165" s="163" t="str">
        <f>IFERROR(__xludf.DUMMYFUNCTION("""COMPUTED_VALUE"""),"Cantu")</f>
        <v>Cantu</v>
      </c>
      <c r="E165" s="163" t="str">
        <f>IFERROR(__xludf.DUMMYFUNCTION("""COMPUTED_VALUE"""),"Gabriela")</f>
        <v>Gabriela</v>
      </c>
      <c r="F165" s="163" t="str">
        <f>IFERROR(__xludf.DUMMYFUNCTION("""COMPUTED_VALUE"""),"4 - Sun")</f>
        <v>4 - Sun</v>
      </c>
      <c r="G165" s="163"/>
      <c r="H165" s="163"/>
      <c r="I165" s="163"/>
      <c r="J165" s="163" t="str">
        <f>IFERROR(__xludf.DUMMYFUNCTION("""COMPUTED_VALUE"""),"F")</f>
        <v>F</v>
      </c>
      <c r="K165" s="163" t="str">
        <f>IFERROR(__xludf.DUMMYFUNCTION("""COMPUTED_VALUE"""),"E")</f>
        <v>E</v>
      </c>
      <c r="L165" s="163" t="str">
        <f>IFERROR(__xludf.DUMMYFUNCTION("""COMPUTED_VALUE"""),"100+")</f>
        <v>100+</v>
      </c>
      <c r="M165" s="163">
        <f>IFERROR(__xludf.DUMMYFUNCTION("""COMPUTED_VALUE"""),435.0)</f>
        <v>435</v>
      </c>
      <c r="N165" s="163"/>
      <c r="O165" s="164">
        <f t="array" ref="O165">INDEX('Best Lifts'!E$1:E$279,MATCH(1,($D165='Best Lifts'!$A:$A)*($E165='Best Lifts'!$B:$B),0))</f>
        <v>160</v>
      </c>
      <c r="P165" s="164">
        <f t="array" ref="P165">INDEX('Best Lifts'!F$1:F$279,MATCH(1,($D165='Best Lifts'!$A:$A)*($E165='Best Lifts'!$B:$B),0))</f>
        <v>80</v>
      </c>
      <c r="Q165" s="164">
        <f t="array" ref="Q165">INDEX('Best Lifts'!G$1:G$279,MATCH(1,($D165='Best Lifts'!$A:$A)*($E165='Best Lifts'!$B:$B),0))</f>
        <v>160</v>
      </c>
      <c r="R165" s="164">
        <f t="array" ref="R165">INDEX('Best Lifts'!H$1:H$279,MATCH(1,($D165='Best Lifts'!$A:$A)*($E165='Best Lifts'!$B:$B),0))</f>
        <v>400</v>
      </c>
      <c r="S165" s="164">
        <f t="array" ref="S165">INDEX('Best Lifts'!I$1:I$279,MATCH(1,($D165='Best Lifts'!$A:$A)*($E165='Best Lifts'!$B:$B),0))</f>
        <v>180</v>
      </c>
      <c r="T165" s="164">
        <f t="array" ref="T165">INDEX('Best Lifts'!J$1:J$279,MATCH(1,($D165='Best Lifts'!$A:$A)*($E165='Best Lifts'!$B:$B),0))</f>
        <v>102.5</v>
      </c>
      <c r="U165" s="164">
        <f t="array" ref="U165">INDEX('Best Lifts'!K$1:K$279,MATCH(1,($D165='Best Lifts'!$A:$A)*($E165='Best Lifts'!$B:$B),0))</f>
        <v>152.5</v>
      </c>
      <c r="V165" s="164">
        <f t="array" ref="V165">INDEX('Best Lifts'!L$1:L$279,MATCH(1,($D165='Best Lifts'!$A:$A)*($E165='Best Lifts'!$B:$B),0))</f>
        <v>435</v>
      </c>
      <c r="W165" s="164">
        <f t="shared" si="34"/>
        <v>435</v>
      </c>
      <c r="X165" s="165" t="str">
        <f t="array" ref="X165">INDEX('Best Lifts'!M$1:M$279,MATCH(1,($D165='Best Lifts'!$A:$A)*($E165='Best Lifts'!$B:$B),0))</f>
        <v/>
      </c>
    </row>
    <row r="166">
      <c r="A166" s="163">
        <f t="shared" si="32"/>
        <v>8</v>
      </c>
      <c r="B166" s="163" t="str">
        <f t="shared" si="33"/>
        <v>Loading...</v>
      </c>
      <c r="C166" s="163"/>
      <c r="D166" s="163" t="str">
        <f>IFERROR(__xludf.DUMMYFUNCTION("""COMPUTED_VALUE"""),"Sanders")</f>
        <v>Sanders</v>
      </c>
      <c r="E166" s="40" t="str">
        <f>IFERROR(__xludf.DUMMYFUNCTION("""COMPUTED_VALUE"""),"Alexandra")</f>
        <v>Alexandra</v>
      </c>
      <c r="F166" s="40" t="str">
        <f>IFERROR(__xludf.DUMMYFUNCTION("""COMPUTED_VALUE"""),"4 - Sun")</f>
        <v>4 - Sun</v>
      </c>
      <c r="G166" s="40"/>
      <c r="H166" s="40"/>
      <c r="I166" s="40"/>
      <c r="J166" s="40" t="str">
        <f>IFERROR(__xludf.DUMMYFUNCTION("""COMPUTED_VALUE"""),"F")</f>
        <v>F</v>
      </c>
      <c r="K166" s="40" t="str">
        <f>IFERROR(__xludf.DUMMYFUNCTION("""COMPUTED_VALUE"""),"E")</f>
        <v>E</v>
      </c>
      <c r="L166" s="40" t="str">
        <f>IFERROR(__xludf.DUMMYFUNCTION("""COMPUTED_VALUE"""),"100+")</f>
        <v>100+</v>
      </c>
      <c r="M166" s="163">
        <f>IFERROR(__xludf.DUMMYFUNCTION("""COMPUTED_VALUE"""),432.5)</f>
        <v>432.5</v>
      </c>
      <c r="N166" s="40"/>
      <c r="O166" s="164">
        <f t="array" ref="O166">INDEX('Best Lifts'!E$1:E$279,MATCH(1,($D166='Best Lifts'!$A:$A)*($E166='Best Lifts'!$B:$B),0))</f>
        <v>115.7</v>
      </c>
      <c r="P166" s="164">
        <f t="array" ref="P166">INDEX('Best Lifts'!F$1:F$279,MATCH(1,($D166='Best Lifts'!$A:$A)*($E166='Best Lifts'!$B:$B),0))</f>
        <v>52.5</v>
      </c>
      <c r="Q166" s="164">
        <f t="array" ref="Q166">INDEX('Best Lifts'!G$1:G$279,MATCH(1,($D166='Best Lifts'!$A:$A)*($E166='Best Lifts'!$B:$B),0))</f>
        <v>155</v>
      </c>
      <c r="R166" s="164">
        <f t="array" ref="R166">INDEX('Best Lifts'!H$1:H$279,MATCH(1,($D166='Best Lifts'!$A:$A)*($E166='Best Lifts'!$B:$B),0))</f>
        <v>315.3</v>
      </c>
      <c r="S166" s="164">
        <f t="array" ref="S166">INDEX('Best Lifts'!I$1:I$279,MATCH(1,($D166='Best Lifts'!$A:$A)*($E166='Best Lifts'!$B:$B),0))</f>
        <v>177.5</v>
      </c>
      <c r="T166" s="164">
        <f t="array" ref="T166">INDEX('Best Lifts'!J$1:J$279,MATCH(1,($D166='Best Lifts'!$A:$A)*($E166='Best Lifts'!$B:$B),0))</f>
        <v>97.5</v>
      </c>
      <c r="U166" s="164">
        <f t="array" ref="U166">INDEX('Best Lifts'!K$1:K$279,MATCH(1,($D166='Best Lifts'!$A:$A)*($E166='Best Lifts'!$B:$B),0))</f>
        <v>158.8</v>
      </c>
      <c r="V166" s="164">
        <f t="array" ref="V166">INDEX('Best Lifts'!L$1:L$279,MATCH(1,($D166='Best Lifts'!$A:$A)*($E166='Best Lifts'!$B:$B),0))</f>
        <v>432.5</v>
      </c>
      <c r="W166" s="164">
        <f t="shared" si="34"/>
        <v>433.8</v>
      </c>
      <c r="X166" s="165" t="str">
        <f t="array" ref="X166">INDEX('Best Lifts'!M$1:M$279,MATCH(1,($D166='Best Lifts'!$A:$A)*($E166='Best Lifts'!$B:$B),0))</f>
        <v/>
      </c>
    </row>
    <row r="167">
      <c r="A167" s="163">
        <f t="shared" si="32"/>
        <v>9</v>
      </c>
      <c r="B167" s="163" t="str">
        <f t="shared" si="33"/>
        <v>Loading...</v>
      </c>
      <c r="C167" s="163"/>
      <c r="D167" s="40" t="str">
        <f>IFERROR(__xludf.DUMMYFUNCTION("""COMPUTED_VALUE"""),"Cantu")</f>
        <v>Cantu</v>
      </c>
      <c r="E167" s="40" t="str">
        <f>IFERROR(__xludf.DUMMYFUNCTION("""COMPUTED_VALUE"""),"Leah")</f>
        <v>Leah</v>
      </c>
      <c r="F167" s="40" t="str">
        <f>IFERROR(__xludf.DUMMYFUNCTION("""COMPUTED_VALUE"""),"4 - Sun")</f>
        <v>4 - Sun</v>
      </c>
      <c r="G167" s="40"/>
      <c r="H167" s="40"/>
      <c r="I167" s="40"/>
      <c r="J167" s="40" t="str">
        <f>IFERROR(__xludf.DUMMYFUNCTION("""COMPUTED_VALUE"""),"F")</f>
        <v>F</v>
      </c>
      <c r="K167" s="40" t="str">
        <f>IFERROR(__xludf.DUMMYFUNCTION("""COMPUTED_VALUE"""),"E")</f>
        <v>E</v>
      </c>
      <c r="L167" s="40" t="str">
        <f>IFERROR(__xludf.DUMMYFUNCTION("""COMPUTED_VALUE"""),"100+")</f>
        <v>100+</v>
      </c>
      <c r="M167" s="163">
        <f>IFERROR(__xludf.DUMMYFUNCTION("""COMPUTED_VALUE"""),425.0)</f>
        <v>425</v>
      </c>
      <c r="N167" s="40"/>
      <c r="O167" s="164" t="str">
        <f t="array" ref="O167">INDEX('Best Lifts'!E$1:E$279,MATCH(1,($D167='Best Lifts'!$A:$A)*($E167='Best Lifts'!$B:$B),0))</f>
        <v>#N/A</v>
      </c>
      <c r="P167" s="164" t="str">
        <f t="array" ref="P167">INDEX('Best Lifts'!F$1:F$279,MATCH(1,($D167='Best Lifts'!$A:$A)*($E167='Best Lifts'!$B:$B),0))</f>
        <v/>
      </c>
      <c r="Q167" s="164" t="str">
        <f t="array" ref="Q167">INDEX('Best Lifts'!G$1:G$279,MATCH(1,($D167='Best Lifts'!$A:$A)*($E167='Best Lifts'!$B:$B),0))</f>
        <v/>
      </c>
      <c r="R167" s="164" t="str">
        <f t="array" ref="R167">INDEX('Best Lifts'!H$1:H$279,MATCH(1,($D167='Best Lifts'!$A:$A)*($E167='Best Lifts'!$B:$B),0))</f>
        <v/>
      </c>
      <c r="S167" s="164">
        <f t="array" ref="S167">INDEX('Best Lifts'!I$1:I$279,MATCH(1,($D167='Best Lifts'!$A:$A)*($E167='Best Lifts'!$B:$B),0))</f>
        <v>187.5</v>
      </c>
      <c r="T167" s="164">
        <f t="array" ref="T167">INDEX('Best Lifts'!J$1:J$279,MATCH(1,($D167='Best Lifts'!$A:$A)*($E167='Best Lifts'!$B:$B),0))</f>
        <v>122.4</v>
      </c>
      <c r="U167" s="164">
        <f t="array" ref="U167">INDEX('Best Lifts'!K$1:K$279,MATCH(1,($D167='Best Lifts'!$A:$A)*($E167='Best Lifts'!$B:$B),0))</f>
        <v>151.9</v>
      </c>
      <c r="V167" s="164">
        <f t="array" ref="V167">INDEX('Best Lifts'!L$1:L$279,MATCH(1,($D167='Best Lifts'!$A:$A)*($E167='Best Lifts'!$B:$B),0))</f>
        <v>453.5</v>
      </c>
      <c r="W167" s="164">
        <f t="shared" si="34"/>
        <v>461.8</v>
      </c>
      <c r="X167" s="165" t="str">
        <f t="array" ref="X167">INDEX('Best Lifts'!M$1:M$279,MATCH(1,($D167='Best Lifts'!$A:$A)*($E167='Best Lifts'!$B:$B),0))</f>
        <v/>
      </c>
    </row>
    <row r="168">
      <c r="A168" s="163">
        <f t="shared" si="32"/>
        <v>10</v>
      </c>
      <c r="B168" s="163" t="str">
        <f t="shared" si="33"/>
        <v>Loading...</v>
      </c>
      <c r="C168" s="163"/>
      <c r="D168" s="40" t="str">
        <f>IFERROR(__xludf.DUMMYFUNCTION("""COMPUTED_VALUE"""),"Hernandez")</f>
        <v>Hernandez</v>
      </c>
      <c r="E168" s="40" t="str">
        <f>IFERROR(__xludf.DUMMYFUNCTION("""COMPUTED_VALUE"""),"Angela")</f>
        <v>Angela</v>
      </c>
      <c r="F168" s="40" t="str">
        <f>IFERROR(__xludf.DUMMYFUNCTION("""COMPUTED_VALUE"""),"4 - Sun")</f>
        <v>4 - Sun</v>
      </c>
      <c r="G168" s="40"/>
      <c r="H168" s="40"/>
      <c r="I168" s="40"/>
      <c r="J168" s="40" t="str">
        <f>IFERROR(__xludf.DUMMYFUNCTION("""COMPUTED_VALUE"""),"F")</f>
        <v>F</v>
      </c>
      <c r="K168" s="40" t="str">
        <f>IFERROR(__xludf.DUMMYFUNCTION("""COMPUTED_VALUE"""),"E")</f>
        <v>E</v>
      </c>
      <c r="L168" s="40" t="str">
        <f>IFERROR(__xludf.DUMMYFUNCTION("""COMPUTED_VALUE"""),"100+")</f>
        <v>100+</v>
      </c>
      <c r="M168" s="163">
        <f>IFERROR(__xludf.DUMMYFUNCTION("""COMPUTED_VALUE"""),402.5)</f>
        <v>402.5</v>
      </c>
      <c r="N168" s="40"/>
      <c r="O168" s="164" t="str">
        <f t="array" ref="O168">INDEX('Best Lifts'!E$1:E$279,MATCH(1,($D168='Best Lifts'!$A:$A)*($E168='Best Lifts'!$B:$B),0))</f>
        <v>#N/A</v>
      </c>
      <c r="P168" s="164" t="str">
        <f t="array" ref="P168">INDEX('Best Lifts'!F$1:F$279,MATCH(1,($D168='Best Lifts'!$A:$A)*($E168='Best Lifts'!$B:$B),0))</f>
        <v/>
      </c>
      <c r="Q168" s="164" t="str">
        <f t="array" ref="Q168">INDEX('Best Lifts'!G$1:G$279,MATCH(1,($D168='Best Lifts'!$A:$A)*($E168='Best Lifts'!$B:$B),0))</f>
        <v/>
      </c>
      <c r="R168" s="164" t="str">
        <f t="array" ref="R168">INDEX('Best Lifts'!H$1:H$279,MATCH(1,($D168='Best Lifts'!$A:$A)*($E168='Best Lifts'!$B:$B),0))</f>
        <v/>
      </c>
      <c r="S168" s="164">
        <f t="array" ref="S168">INDEX('Best Lifts'!I$1:I$279,MATCH(1,($D168='Best Lifts'!$A:$A)*($E168='Best Lifts'!$B:$B),0))</f>
        <v>206.3</v>
      </c>
      <c r="T168" s="164">
        <f t="array" ref="T168">INDEX('Best Lifts'!J$1:J$279,MATCH(1,($D168='Best Lifts'!$A:$A)*($E168='Best Lifts'!$B:$B),0))</f>
        <v>83.9</v>
      </c>
      <c r="U168" s="164">
        <f t="array" ref="U168">INDEX('Best Lifts'!K$1:K$279,MATCH(1,($D168='Best Lifts'!$A:$A)*($E168='Best Lifts'!$B:$B),0))</f>
        <v>142.8</v>
      </c>
      <c r="V168" s="164">
        <f t="array" ref="V168">INDEX('Best Lifts'!L$1:L$279,MATCH(1,($D168='Best Lifts'!$A:$A)*($E168='Best Lifts'!$B:$B),0))</f>
        <v>428.6</v>
      </c>
      <c r="W168" s="164">
        <f t="shared" si="34"/>
        <v>433</v>
      </c>
      <c r="X168" s="165" t="str">
        <f t="array" ref="X168">INDEX('Best Lifts'!M$1:M$279,MATCH(1,($D168='Best Lifts'!$A:$A)*($E168='Best Lifts'!$B:$B),0))</f>
        <v/>
      </c>
    </row>
    <row r="169">
      <c r="A169" s="163">
        <f t="shared" si="32"/>
        <v>11</v>
      </c>
      <c r="B169" s="163" t="str">
        <f t="shared" si="33"/>
        <v>Loading...</v>
      </c>
      <c r="C169" s="163"/>
      <c r="D169" s="40" t="str">
        <f>IFERROR(__xludf.DUMMYFUNCTION("""COMPUTED_VALUE"""),"Johnson")</f>
        <v>Johnson</v>
      </c>
      <c r="E169" s="40" t="str">
        <f>IFERROR(__xludf.DUMMYFUNCTION("""COMPUTED_VALUE"""),"Zakiya")</f>
        <v>Zakiya</v>
      </c>
      <c r="F169" s="40" t="str">
        <f>IFERROR(__xludf.DUMMYFUNCTION("""COMPUTED_VALUE"""),"4 - Sun")</f>
        <v>4 - Sun</v>
      </c>
      <c r="G169" s="40"/>
      <c r="H169" s="40"/>
      <c r="I169" s="40"/>
      <c r="J169" s="40" t="str">
        <f>IFERROR(__xludf.DUMMYFUNCTION("""COMPUTED_VALUE"""),"F")</f>
        <v>F</v>
      </c>
      <c r="K169" s="40" t="str">
        <f>IFERROR(__xludf.DUMMYFUNCTION("""COMPUTED_VALUE"""),"E")</f>
        <v>E</v>
      </c>
      <c r="L169" s="40" t="str">
        <f>IFERROR(__xludf.DUMMYFUNCTION("""COMPUTED_VALUE"""),"100+")</f>
        <v>100+</v>
      </c>
      <c r="M169" s="163">
        <f>IFERROR(__xludf.DUMMYFUNCTION("""COMPUTED_VALUE"""),375.0)</f>
        <v>375</v>
      </c>
      <c r="N169" s="40"/>
      <c r="O169" s="164">
        <f t="array" ref="O169">INDEX('Best Lifts'!E$1:E$279,MATCH(1,($D169='Best Lifts'!$A:$A)*($E169='Best Lifts'!$B:$B),0))</f>
        <v>165</v>
      </c>
      <c r="P169" s="164">
        <f t="array" ref="P169">INDEX('Best Lifts'!F$1:F$279,MATCH(1,($D169='Best Lifts'!$A:$A)*($E169='Best Lifts'!$B:$B),0))</f>
        <v>70</v>
      </c>
      <c r="Q169" s="164">
        <f t="array" ref="Q169">INDEX('Best Lifts'!G$1:G$279,MATCH(1,($D169='Best Lifts'!$A:$A)*($E169='Best Lifts'!$B:$B),0))</f>
        <v>127.5</v>
      </c>
      <c r="R169" s="164">
        <f t="array" ref="R169">INDEX('Best Lifts'!H$1:H$279,MATCH(1,($D169='Best Lifts'!$A:$A)*($E169='Best Lifts'!$B:$B),0))</f>
        <v>357.5</v>
      </c>
      <c r="S169" s="164">
        <f t="array" ref="S169">INDEX('Best Lifts'!I$1:I$279,MATCH(1,($D169='Best Lifts'!$A:$A)*($E169='Best Lifts'!$B:$B),0))</f>
        <v>175</v>
      </c>
      <c r="T169" s="164">
        <f t="array" ref="T169">INDEX('Best Lifts'!J$1:J$279,MATCH(1,($D169='Best Lifts'!$A:$A)*($E169='Best Lifts'!$B:$B),0))</f>
        <v>72.5</v>
      </c>
      <c r="U169" s="164">
        <f t="array" ref="U169">INDEX('Best Lifts'!K$1:K$279,MATCH(1,($D169='Best Lifts'!$A:$A)*($E169='Best Lifts'!$B:$B),0))</f>
        <v>127.5</v>
      </c>
      <c r="V169" s="164">
        <f t="array" ref="V169">INDEX('Best Lifts'!L$1:L$279,MATCH(1,($D169='Best Lifts'!$A:$A)*($E169='Best Lifts'!$B:$B),0))</f>
        <v>375</v>
      </c>
      <c r="W169" s="164">
        <f t="shared" si="34"/>
        <v>375</v>
      </c>
      <c r="X169" s="165" t="str">
        <f t="array" ref="X169">INDEX('Best Lifts'!M$1:M$279,MATCH(1,($D169='Best Lifts'!$A:$A)*($E169='Best Lifts'!$B:$B),0))</f>
        <v/>
      </c>
    </row>
    <row r="170">
      <c r="A170" s="163"/>
      <c r="B170" s="163"/>
      <c r="C170" s="163"/>
      <c r="D170" s="40"/>
      <c r="E170" s="40"/>
      <c r="F170" s="40"/>
      <c r="G170" s="40"/>
      <c r="H170" s="40"/>
      <c r="I170" s="40"/>
      <c r="J170" s="40"/>
      <c r="K170" s="40"/>
      <c r="L170" s="40"/>
      <c r="M170" s="163"/>
      <c r="N170" s="40"/>
      <c r="O170" s="164"/>
      <c r="P170" s="164"/>
      <c r="Q170" s="164"/>
      <c r="R170" s="164"/>
      <c r="S170" s="164"/>
      <c r="T170" s="164"/>
      <c r="U170" s="164"/>
      <c r="V170" s="164"/>
      <c r="W170" s="164"/>
      <c r="X170" s="165"/>
    </row>
    <row r="171">
      <c r="A171" s="163"/>
      <c r="B171" s="163"/>
      <c r="C171" s="163"/>
      <c r="D171" s="40"/>
      <c r="E171" s="40"/>
      <c r="F171" s="40"/>
      <c r="G171" s="40"/>
      <c r="H171" s="40"/>
      <c r="I171" s="40"/>
      <c r="J171" s="40"/>
      <c r="K171" s="40"/>
      <c r="L171" s="40"/>
      <c r="M171" s="163"/>
      <c r="N171" s="66"/>
      <c r="O171" s="164"/>
      <c r="P171" s="164"/>
      <c r="Q171" s="164"/>
      <c r="R171" s="164"/>
      <c r="S171" s="164"/>
      <c r="T171" s="164"/>
      <c r="U171" s="164"/>
      <c r="V171" s="164"/>
      <c r="W171" s="164"/>
      <c r="X171" s="165"/>
    </row>
    <row r="172">
      <c r="A172" s="163"/>
      <c r="B172" s="163"/>
      <c r="C172" s="163"/>
      <c r="D172" s="66"/>
      <c r="E172" s="66"/>
      <c r="F172" s="66"/>
      <c r="G172" s="66"/>
      <c r="H172" s="66"/>
      <c r="I172" s="66"/>
      <c r="J172" s="66"/>
      <c r="K172" s="66"/>
      <c r="L172" s="66"/>
      <c r="M172" s="163"/>
      <c r="N172" s="66"/>
      <c r="O172" s="164"/>
      <c r="P172" s="164"/>
      <c r="Q172" s="164"/>
      <c r="R172" s="164"/>
      <c r="S172" s="164"/>
      <c r="T172" s="164"/>
      <c r="U172" s="164"/>
      <c r="V172" s="164"/>
      <c r="W172" s="164"/>
      <c r="X172" s="165"/>
    </row>
    <row r="173">
      <c r="A173" s="163"/>
      <c r="B173" s="163"/>
      <c r="C173" s="163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163"/>
      <c r="P173" s="163"/>
      <c r="Q173" s="163"/>
      <c r="R173" s="163"/>
      <c r="S173" s="164"/>
      <c r="T173" s="164"/>
      <c r="U173" s="164"/>
      <c r="V173" s="164"/>
      <c r="W173" s="164"/>
      <c r="X173" s="165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163"/>
      <c r="P174" s="163"/>
      <c r="Q174" s="163"/>
      <c r="R174" s="163"/>
      <c r="S174" s="163"/>
      <c r="T174" s="66"/>
      <c r="U174" s="66"/>
      <c r="V174" s="66"/>
      <c r="W174" s="66"/>
      <c r="X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163"/>
      <c r="P175" s="163"/>
      <c r="Q175" s="163"/>
      <c r="R175" s="163"/>
      <c r="S175" s="163"/>
      <c r="T175" s="66"/>
      <c r="U175" s="66"/>
      <c r="V175" s="66"/>
      <c r="W175" s="66"/>
      <c r="X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163"/>
      <c r="P176" s="163"/>
      <c r="Q176" s="163"/>
      <c r="R176" s="163"/>
      <c r="S176" s="163"/>
      <c r="T176" s="66"/>
      <c r="U176" s="66"/>
      <c r="V176" s="66"/>
      <c r="W176" s="66"/>
      <c r="X176" s="66"/>
    </row>
  </sheetData>
  <mergeCells count="11">
    <mergeCell ref="D115:E115"/>
    <mergeCell ref="D129:E129"/>
    <mergeCell ref="D145:E145"/>
    <mergeCell ref="D157:E157"/>
    <mergeCell ref="D1:E1"/>
    <mergeCell ref="D6:E6"/>
    <mergeCell ref="D16:E16"/>
    <mergeCell ref="D32:E32"/>
    <mergeCell ref="D43:E43"/>
    <mergeCell ref="D62:E62"/>
    <mergeCell ref="D93:E93"/>
  </mergeCells>
  <conditionalFormatting sqref="A3:X4 A8:X14 A18:C30 D18:N28 O18:X30 A34:X42 A45:X60 A64:X91 A95:X113 A117:W127 X117:X128 A131:W143 X131:X144 A147:X155 O159:R172 S159:X173">
    <cfRule type="expression" dxfId="8" priority="1">
      <formula>$N3="Northeastern University - F-C"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7.25"/>
    <col customWidth="1" hidden="1" min="3" max="3" width="7.25"/>
    <col customWidth="1" min="4" max="4" width="7.63"/>
    <col customWidth="1" min="5" max="5" width="12.63"/>
    <col customWidth="1" min="6" max="6" width="9.88"/>
    <col customWidth="1" min="7" max="7" width="6.88"/>
    <col customWidth="1" min="8" max="8" width="5.38"/>
    <col customWidth="1" min="9" max="9" width="5.63"/>
    <col customWidth="1" min="10" max="10" width="6.63"/>
    <col customWidth="1" min="11" max="11" width="7.63"/>
    <col customWidth="1" min="12" max="13" width="8.88"/>
    <col customWidth="1" min="14" max="14" width="7.75"/>
    <col customWidth="1" min="15" max="15" width="9.0"/>
    <col customWidth="1" min="16" max="16" width="12.63"/>
    <col customWidth="1" min="17" max="17" width="9.88"/>
    <col customWidth="1" min="18" max="18" width="6.88"/>
    <col customWidth="1" min="19" max="19" width="5.38"/>
    <col customWidth="1" min="20" max="20" width="5.63"/>
    <col customWidth="1" min="21" max="21" width="6.63"/>
    <col customWidth="1" min="22" max="22" width="7.63"/>
    <col customWidth="1" min="23" max="24" width="8.88"/>
    <col customWidth="1" min="25" max="25" width="7.75"/>
    <col customWidth="1" min="26" max="26" width="9.0"/>
    <col customWidth="1" min="27" max="27" width="12.63"/>
    <col customWidth="1" min="28" max="28" width="9.88"/>
    <col customWidth="1" min="29" max="29" width="6.88"/>
    <col customWidth="1" min="30" max="30" width="5.38"/>
    <col customWidth="1" min="31" max="31" width="5.63"/>
    <col customWidth="1" min="32" max="32" width="6.63"/>
    <col customWidth="1" min="33" max="33" width="7.63"/>
    <col customWidth="1" min="34" max="35" width="8.88"/>
    <col customWidth="1" min="36" max="36" width="7.75"/>
    <col customWidth="1" min="37" max="37" width="9.0"/>
    <col customWidth="1" min="38" max="38" width="12.63"/>
    <col customWidth="1" min="39" max="39" width="9.88"/>
    <col customWidth="1" min="40" max="40" width="6.88"/>
    <col customWidth="1" min="41" max="41" width="5.38"/>
    <col customWidth="1" min="42" max="42" width="5.63"/>
    <col customWidth="1" min="43" max="43" width="6.63"/>
    <col customWidth="1" min="44" max="44" width="7.63"/>
    <col customWidth="1" min="45" max="46" width="8.88"/>
    <col customWidth="1" min="47" max="47" width="7.75"/>
    <col customWidth="1" min="48" max="48" width="9.0"/>
    <col customWidth="1" min="49" max="49" width="12.63"/>
    <col customWidth="1" min="50" max="50" width="9.88"/>
    <col customWidth="1" min="51" max="51" width="6.88"/>
    <col customWidth="1" min="52" max="52" width="5.38"/>
    <col customWidth="1" min="53" max="53" width="5.63"/>
    <col customWidth="1" min="54" max="54" width="6.63"/>
    <col customWidth="1" min="55" max="55" width="7.63"/>
    <col customWidth="1" min="56" max="57" width="8.88"/>
    <col customWidth="1" min="58" max="58" width="7.75"/>
    <col customWidth="1" min="59" max="59" width="9.0"/>
    <col customWidth="1" min="60" max="60" width="12.63"/>
    <col customWidth="1" min="61" max="61" width="9.88"/>
    <col customWidth="1" min="62" max="62" width="6.88"/>
    <col customWidth="1" min="63" max="63" width="5.38"/>
    <col customWidth="1" min="64" max="64" width="5.63"/>
    <col customWidth="1" min="65" max="65" width="6.63"/>
    <col customWidth="1" min="66" max="66" width="7.63"/>
    <col customWidth="1" min="67" max="68" width="8.88"/>
    <col customWidth="1" min="69" max="69" width="7.75"/>
    <col customWidth="1" min="70" max="70" width="9.0"/>
    <col customWidth="1" min="71" max="71" width="12.63"/>
    <col customWidth="1" min="72" max="72" width="9.88"/>
    <col customWidth="1" min="73" max="73" width="6.88"/>
    <col customWidth="1" min="74" max="74" width="5.38"/>
    <col customWidth="1" min="75" max="75" width="5.63"/>
    <col customWidth="1" min="76" max="76" width="6.63"/>
    <col customWidth="1" min="77" max="77" width="7.63"/>
    <col customWidth="1" min="78" max="79" width="8.88"/>
    <col customWidth="1" min="80" max="80" width="7.75"/>
    <col customWidth="1" min="81" max="81" width="9.0"/>
    <col customWidth="1" min="82" max="82" width="12.63"/>
    <col customWidth="1" min="83" max="83" width="9.88"/>
    <col customWidth="1" min="84" max="84" width="6.88"/>
    <col customWidth="1" min="85" max="85" width="5.38"/>
    <col customWidth="1" min="86" max="86" width="5.63"/>
    <col customWidth="1" min="87" max="87" width="6.63"/>
    <col customWidth="1" min="88" max="88" width="7.63"/>
    <col customWidth="1" min="89" max="90" width="8.88"/>
    <col customWidth="1" min="91" max="91" width="7.75"/>
    <col customWidth="1" min="92" max="92" width="9.0"/>
    <col customWidth="1" min="93" max="93" width="12.63"/>
    <col customWidth="1" min="94" max="94" width="9.88"/>
    <col customWidth="1" min="95" max="95" width="6.88"/>
    <col customWidth="1" min="96" max="96" width="5.38"/>
    <col customWidth="1" min="97" max="97" width="5.63"/>
    <col customWidth="1" min="98" max="98" width="6.63"/>
    <col customWidth="1" min="99" max="99" width="7.63"/>
    <col customWidth="1" min="100" max="101" width="8.88"/>
    <col customWidth="1" min="102" max="102" width="7.75"/>
    <col customWidth="1" min="103" max="103" width="9.0"/>
    <col customWidth="1" min="104" max="104" width="12.63"/>
    <col customWidth="1" min="105" max="105" width="9.88"/>
    <col customWidth="1" min="106" max="106" width="6.88"/>
    <col customWidth="1" min="107" max="107" width="5.38"/>
    <col customWidth="1" min="108" max="108" width="5.63"/>
    <col customWidth="1" min="109" max="109" width="6.63"/>
    <col customWidth="1" min="110" max="110" width="7.63"/>
    <col customWidth="1" min="111" max="112" width="8.88"/>
    <col customWidth="1" min="113" max="113" width="7.75"/>
    <col customWidth="1" min="114" max="114" width="9.0"/>
    <col customWidth="1" min="115" max="115" width="12.63"/>
    <col customWidth="1" min="116" max="116" width="9.88"/>
    <col customWidth="1" min="117" max="117" width="6.88"/>
    <col customWidth="1" min="118" max="118" width="5.38"/>
    <col customWidth="1" min="119" max="119" width="5.63"/>
    <col customWidth="1" min="120" max="120" width="6.63"/>
    <col customWidth="1" min="121" max="121" width="7.63"/>
    <col customWidth="1" min="122" max="123" width="8.88"/>
    <col customWidth="1" min="124" max="124" width="7.75"/>
    <col customWidth="1" min="125" max="125" width="9.0"/>
  </cols>
  <sheetData>
    <row r="1">
      <c r="A1" s="168"/>
      <c r="B1" s="169"/>
      <c r="C1" s="170"/>
      <c r="D1" s="170"/>
      <c r="E1" s="171" t="s">
        <v>761</v>
      </c>
      <c r="F1" s="172"/>
      <c r="G1" s="172"/>
      <c r="H1" s="172"/>
      <c r="I1" s="172"/>
      <c r="J1" s="172"/>
      <c r="K1" s="172"/>
      <c r="L1" s="172"/>
      <c r="M1" s="172"/>
      <c r="N1" s="172"/>
      <c r="O1" s="173"/>
      <c r="P1" s="171" t="s">
        <v>762</v>
      </c>
      <c r="Q1" s="172"/>
      <c r="R1" s="172"/>
      <c r="S1" s="172"/>
      <c r="T1" s="172"/>
      <c r="U1" s="172"/>
      <c r="V1" s="172"/>
      <c r="W1" s="172"/>
      <c r="X1" s="172"/>
      <c r="Y1" s="172"/>
      <c r="Z1" s="173"/>
      <c r="AA1" s="171" t="s">
        <v>763</v>
      </c>
      <c r="AB1" s="172"/>
      <c r="AC1" s="172"/>
      <c r="AD1" s="172"/>
      <c r="AE1" s="172"/>
      <c r="AF1" s="172"/>
      <c r="AG1" s="172"/>
      <c r="AH1" s="172"/>
      <c r="AI1" s="172"/>
      <c r="AJ1" s="172"/>
      <c r="AK1" s="173"/>
      <c r="AL1" s="171" t="s">
        <v>764</v>
      </c>
      <c r="AM1" s="172"/>
      <c r="AN1" s="172"/>
      <c r="AO1" s="172"/>
      <c r="AP1" s="172"/>
      <c r="AQ1" s="172"/>
      <c r="AR1" s="172"/>
      <c r="AS1" s="172"/>
      <c r="AT1" s="172"/>
      <c r="AU1" s="172"/>
      <c r="AV1" s="173"/>
      <c r="AW1" s="171" t="s">
        <v>765</v>
      </c>
      <c r="AX1" s="172"/>
      <c r="AY1" s="172"/>
      <c r="AZ1" s="172"/>
      <c r="BA1" s="172"/>
      <c r="BB1" s="172"/>
      <c r="BC1" s="172"/>
      <c r="BD1" s="172"/>
      <c r="BE1" s="172"/>
      <c r="BF1" s="172"/>
      <c r="BG1" s="173"/>
      <c r="BH1" s="171" t="s">
        <v>766</v>
      </c>
      <c r="BI1" s="172"/>
      <c r="BJ1" s="172"/>
      <c r="BK1" s="172"/>
      <c r="BL1" s="172"/>
      <c r="BM1" s="172"/>
      <c r="BN1" s="172"/>
      <c r="BO1" s="172"/>
      <c r="BP1" s="172"/>
      <c r="BQ1" s="172"/>
      <c r="BR1" s="173"/>
      <c r="BS1" s="171" t="s">
        <v>767</v>
      </c>
      <c r="BT1" s="172"/>
      <c r="BU1" s="172"/>
      <c r="BV1" s="172"/>
      <c r="BW1" s="172"/>
      <c r="BX1" s="172"/>
      <c r="BY1" s="172"/>
      <c r="BZ1" s="172"/>
      <c r="CA1" s="172"/>
      <c r="CB1" s="172"/>
      <c r="CC1" s="173"/>
      <c r="CD1" s="171" t="s">
        <v>768</v>
      </c>
      <c r="CE1" s="172"/>
      <c r="CF1" s="172"/>
      <c r="CG1" s="172"/>
      <c r="CH1" s="172"/>
      <c r="CI1" s="172"/>
      <c r="CJ1" s="172"/>
      <c r="CK1" s="172"/>
      <c r="CL1" s="172"/>
      <c r="CM1" s="172"/>
      <c r="CN1" s="173"/>
      <c r="CO1" s="171" t="s">
        <v>769</v>
      </c>
      <c r="CP1" s="172"/>
      <c r="CQ1" s="172"/>
      <c r="CR1" s="172"/>
      <c r="CS1" s="172"/>
      <c r="CT1" s="172"/>
      <c r="CU1" s="172"/>
      <c r="CV1" s="172"/>
      <c r="CW1" s="172"/>
      <c r="CX1" s="172"/>
      <c r="CY1" s="173"/>
      <c r="CZ1" s="171" t="s">
        <v>770</v>
      </c>
      <c r="DA1" s="172"/>
      <c r="DB1" s="172"/>
      <c r="DC1" s="172"/>
      <c r="DD1" s="172"/>
      <c r="DE1" s="172"/>
      <c r="DF1" s="172"/>
      <c r="DG1" s="172"/>
      <c r="DH1" s="172"/>
      <c r="DI1" s="172"/>
      <c r="DJ1" s="173"/>
      <c r="DK1" s="171" t="s">
        <v>771</v>
      </c>
      <c r="DL1" s="172"/>
      <c r="DM1" s="172"/>
      <c r="DN1" s="172"/>
      <c r="DO1" s="172"/>
      <c r="DP1" s="172"/>
      <c r="DQ1" s="172"/>
      <c r="DR1" s="172"/>
      <c r="DS1" s="172"/>
      <c r="DT1" s="172"/>
      <c r="DU1" s="173"/>
    </row>
    <row r="2">
      <c r="A2" s="168"/>
      <c r="B2" s="169"/>
      <c r="C2" s="170"/>
      <c r="D2" s="170"/>
      <c r="E2" s="174"/>
      <c r="F2" s="175"/>
      <c r="G2" s="175"/>
      <c r="H2" s="175"/>
      <c r="I2" s="175"/>
      <c r="J2" s="175"/>
      <c r="K2" s="176" t="s">
        <v>772</v>
      </c>
      <c r="L2" s="177">
        <f t="shared" ref="L2:M2" si="1">SUM(SORTN(L4:L25,5,0,1,false))</f>
        <v>0</v>
      </c>
      <c r="M2" s="177">
        <f t="shared" si="1"/>
        <v>0</v>
      </c>
      <c r="N2" s="178" t="s">
        <v>773</v>
      </c>
      <c r="O2" s="177">
        <f t="array" ref="O2">SUM(SORTN(O4:O25,5,0,1,false))</f>
        <v>0</v>
      </c>
      <c r="P2" s="174"/>
      <c r="Q2" s="175"/>
      <c r="R2" s="175"/>
      <c r="S2" s="175"/>
      <c r="T2" s="175"/>
      <c r="U2" s="175"/>
      <c r="V2" s="176" t="s">
        <v>772</v>
      </c>
      <c r="W2" s="177">
        <f t="shared" ref="W2:X2" si="2">SUM(SORTN(W4:W25,5,0,1,false))</f>
        <v>0</v>
      </c>
      <c r="X2" s="177">
        <f t="shared" si="2"/>
        <v>0</v>
      </c>
      <c r="Y2" s="178" t="s">
        <v>773</v>
      </c>
      <c r="Z2" s="177">
        <f t="array" ref="Z2">SUM(SORTN(Z4:Z25,5,0,1,false))</f>
        <v>0</v>
      </c>
      <c r="AA2" s="174"/>
      <c r="AB2" s="175"/>
      <c r="AC2" s="175"/>
      <c r="AD2" s="175"/>
      <c r="AE2" s="175"/>
      <c r="AF2" s="175"/>
      <c r="AG2" s="176" t="s">
        <v>772</v>
      </c>
      <c r="AH2" s="177">
        <f t="shared" ref="AH2:AI2" si="3">SUM(SORTN(AH4:AH25,5,0,1,false))</f>
        <v>0</v>
      </c>
      <c r="AI2" s="177">
        <f t="shared" si="3"/>
        <v>0</v>
      </c>
      <c r="AJ2" s="178" t="s">
        <v>773</v>
      </c>
      <c r="AK2" s="177">
        <f t="array" ref="AK2">SUM(SORTN(AK4:AK25,5,0,1,false))</f>
        <v>0</v>
      </c>
      <c r="AL2" s="174"/>
      <c r="AM2" s="175"/>
      <c r="AN2" s="175"/>
      <c r="AO2" s="175"/>
      <c r="AP2" s="175"/>
      <c r="AQ2" s="175"/>
      <c r="AR2" s="176" t="s">
        <v>772</v>
      </c>
      <c r="AS2" s="177">
        <f t="shared" ref="AS2:AT2" si="4">SUM(SORTN(AS4:AS25,5,0,1,false))</f>
        <v>0</v>
      </c>
      <c r="AT2" s="177">
        <f t="shared" si="4"/>
        <v>0</v>
      </c>
      <c r="AU2" s="178" t="s">
        <v>773</v>
      </c>
      <c r="AV2" s="177">
        <f t="array" ref="AV2">SUM(SORTN(AV4:AV25,5,0,1,false))</f>
        <v>0</v>
      </c>
      <c r="AW2" s="174"/>
      <c r="AX2" s="175"/>
      <c r="AY2" s="175"/>
      <c r="AZ2" s="175"/>
      <c r="BA2" s="175"/>
      <c r="BB2" s="175"/>
      <c r="BD2" s="177">
        <f t="shared" ref="BD2:BE2" si="5">SUM(SORTN(BD4:BD25,5,0,1,false))</f>
        <v>0</v>
      </c>
      <c r="BE2" s="177">
        <f t="shared" si="5"/>
        <v>0</v>
      </c>
      <c r="BF2" s="178" t="s">
        <v>773</v>
      </c>
      <c r="BG2" s="177">
        <f t="array" ref="BG2">SUM(SORTN(BG4:BG25,5,0,1,false))</f>
        <v>3</v>
      </c>
      <c r="BH2" s="174"/>
      <c r="BI2" s="175"/>
      <c r="BJ2" s="175"/>
      <c r="BK2" s="175"/>
      <c r="BL2" s="175"/>
      <c r="BM2" s="175"/>
      <c r="BN2" s="176" t="s">
        <v>772</v>
      </c>
      <c r="BO2" s="177">
        <f t="shared" ref="BO2:BP2" si="6">SUM(SORTN(BO4:BO25,5,0,1,false))</f>
        <v>0</v>
      </c>
      <c r="BP2" s="177">
        <f t="shared" si="6"/>
        <v>0</v>
      </c>
      <c r="BQ2" s="178" t="s">
        <v>773</v>
      </c>
      <c r="BR2" s="177">
        <f t="array" ref="BR2">SUM(SORTN(BR4:BR25,5,0,1,false))</f>
        <v>0</v>
      </c>
      <c r="BS2" s="174"/>
      <c r="BT2" s="175"/>
      <c r="BU2" s="175"/>
      <c r="BV2" s="175"/>
      <c r="BW2" s="175"/>
      <c r="BX2" s="175"/>
      <c r="BY2" s="176" t="s">
        <v>772</v>
      </c>
      <c r="BZ2" s="177">
        <f t="shared" ref="BZ2:CA2" si="7">SUM(SORTN(BZ4:BZ25,5,0,1,false))</f>
        <v>0</v>
      </c>
      <c r="CA2" s="177">
        <f t="shared" si="7"/>
        <v>0</v>
      </c>
      <c r="CB2" s="178" t="s">
        <v>773</v>
      </c>
      <c r="CC2" s="177">
        <f t="array" ref="CC2">SUM(SORTN(CC4:CC25,5,0,1,false))</f>
        <v>0</v>
      </c>
      <c r="CD2" s="174"/>
      <c r="CE2" s="175"/>
      <c r="CF2" s="175"/>
      <c r="CG2" s="175"/>
      <c r="CH2" s="175"/>
      <c r="CI2" s="175"/>
      <c r="CJ2" s="176" t="s">
        <v>772</v>
      </c>
      <c r="CK2" s="177">
        <f t="shared" ref="CK2:CL2" si="8">SUM(SORTN(CK4:CK25,5,0,1,false))</f>
        <v>0</v>
      </c>
      <c r="CL2" s="177">
        <f t="shared" si="8"/>
        <v>0</v>
      </c>
      <c r="CM2" s="178" t="s">
        <v>773</v>
      </c>
      <c r="CN2" s="177">
        <f t="array" ref="CN2">SUM(SORTN(CN4:CN25,5,0,1,false))</f>
        <v>0</v>
      </c>
      <c r="CO2" s="174"/>
      <c r="CP2" s="175"/>
      <c r="CQ2" s="175"/>
      <c r="CR2" s="175"/>
      <c r="CS2" s="175"/>
      <c r="CT2" s="175"/>
      <c r="CU2" s="176" t="s">
        <v>772</v>
      </c>
      <c r="CV2" s="177">
        <f t="shared" ref="CV2:CW2" si="9">SUM(SORTN(CV4:CV25,5,0,1,false))</f>
        <v>0</v>
      </c>
      <c r="CW2" s="177">
        <f t="shared" si="9"/>
        <v>0</v>
      </c>
      <c r="CX2" s="178" t="s">
        <v>773</v>
      </c>
      <c r="CY2" s="177">
        <f t="array" ref="CY2">SUM(SORTN(CY4:CY25,5,0,1,false))</f>
        <v>0</v>
      </c>
      <c r="CZ2" s="174"/>
      <c r="DA2" s="175"/>
      <c r="DB2" s="175"/>
      <c r="DC2" s="175"/>
      <c r="DD2" s="175"/>
      <c r="DE2" s="175"/>
      <c r="DF2" s="176" t="s">
        <v>772</v>
      </c>
      <c r="DG2" s="177">
        <f t="shared" ref="DG2:DH2" si="10">SUM(SORTN(DG4:DG25,5,0,1,false))</f>
        <v>0</v>
      </c>
      <c r="DH2" s="177">
        <f t="shared" si="10"/>
        <v>0</v>
      </c>
      <c r="DI2" s="178" t="s">
        <v>773</v>
      </c>
      <c r="DJ2" s="177">
        <f t="array" ref="DJ2">SUM(SORTN(DJ4:DJ25,5,0,1,false))</f>
        <v>0</v>
      </c>
      <c r="DK2" s="174"/>
      <c r="DL2" s="175"/>
      <c r="DM2" s="175"/>
      <c r="DN2" s="175"/>
      <c r="DO2" s="175"/>
      <c r="DP2" s="175"/>
      <c r="DQ2" s="176" t="s">
        <v>772</v>
      </c>
      <c r="DR2" s="177">
        <f t="shared" ref="DR2:DS2" si="11">SUM(SORTN(DR4:DR25,5,0,1,false))</f>
        <v>0</v>
      </c>
      <c r="DS2" s="177">
        <f t="shared" si="11"/>
        <v>0</v>
      </c>
      <c r="DT2" s="178" t="s">
        <v>773</v>
      </c>
      <c r="DU2" s="177">
        <f t="array" ref="DU2">SUM(SORTN(DU4:DU25,5,0,1,false))</f>
        <v>0</v>
      </c>
    </row>
    <row r="3">
      <c r="A3" s="168"/>
      <c r="B3" s="169"/>
      <c r="C3" s="170"/>
      <c r="D3" s="170"/>
      <c r="E3" s="179" t="s">
        <v>27</v>
      </c>
      <c r="F3" s="180" t="s">
        <v>26</v>
      </c>
      <c r="G3" s="181" t="s">
        <v>29</v>
      </c>
      <c r="H3" s="181" t="s">
        <v>36</v>
      </c>
      <c r="I3" s="181" t="s">
        <v>774</v>
      </c>
      <c r="J3" s="180" t="s">
        <v>775</v>
      </c>
      <c r="K3" s="180" t="s">
        <v>776</v>
      </c>
      <c r="L3" s="180" t="s">
        <v>772</v>
      </c>
      <c r="M3" s="180" t="s">
        <v>777</v>
      </c>
      <c r="N3" s="180" t="s">
        <v>778</v>
      </c>
      <c r="O3" s="182" t="s">
        <v>779</v>
      </c>
      <c r="P3" s="179" t="s">
        <v>27</v>
      </c>
      <c r="Q3" s="180" t="s">
        <v>26</v>
      </c>
      <c r="R3" s="181" t="s">
        <v>29</v>
      </c>
      <c r="S3" s="181" t="s">
        <v>36</v>
      </c>
      <c r="T3" s="181" t="s">
        <v>774</v>
      </c>
      <c r="U3" s="180" t="s">
        <v>775</v>
      </c>
      <c r="V3" s="180" t="s">
        <v>776</v>
      </c>
      <c r="W3" s="180" t="s">
        <v>772</v>
      </c>
      <c r="X3" s="180" t="s">
        <v>777</v>
      </c>
      <c r="Y3" s="180" t="s">
        <v>778</v>
      </c>
      <c r="Z3" s="182" t="s">
        <v>779</v>
      </c>
      <c r="AA3" s="179" t="s">
        <v>27</v>
      </c>
      <c r="AB3" s="180" t="s">
        <v>26</v>
      </c>
      <c r="AC3" s="181" t="s">
        <v>29</v>
      </c>
      <c r="AD3" s="181" t="s">
        <v>36</v>
      </c>
      <c r="AE3" s="181" t="s">
        <v>774</v>
      </c>
      <c r="AF3" s="180" t="s">
        <v>775</v>
      </c>
      <c r="AG3" s="180" t="s">
        <v>776</v>
      </c>
      <c r="AH3" s="180" t="s">
        <v>772</v>
      </c>
      <c r="AI3" s="180" t="s">
        <v>777</v>
      </c>
      <c r="AJ3" s="180" t="s">
        <v>778</v>
      </c>
      <c r="AK3" s="182" t="s">
        <v>779</v>
      </c>
      <c r="AL3" s="179" t="s">
        <v>27</v>
      </c>
      <c r="AM3" s="180" t="s">
        <v>26</v>
      </c>
      <c r="AN3" s="181" t="s">
        <v>29</v>
      </c>
      <c r="AO3" s="181" t="s">
        <v>36</v>
      </c>
      <c r="AP3" s="181" t="s">
        <v>774</v>
      </c>
      <c r="AQ3" s="180" t="s">
        <v>775</v>
      </c>
      <c r="AR3" s="180" t="s">
        <v>776</v>
      </c>
      <c r="AS3" s="180" t="s">
        <v>772</v>
      </c>
      <c r="AT3" s="180" t="s">
        <v>777</v>
      </c>
      <c r="AU3" s="180" t="s">
        <v>778</v>
      </c>
      <c r="AV3" s="182" t="s">
        <v>779</v>
      </c>
      <c r="AW3" s="179" t="s">
        <v>27</v>
      </c>
      <c r="AX3" s="180" t="s">
        <v>26</v>
      </c>
      <c r="AY3" s="181" t="s">
        <v>29</v>
      </c>
      <c r="AZ3" s="181" t="s">
        <v>36</v>
      </c>
      <c r="BA3" s="181" t="s">
        <v>774</v>
      </c>
      <c r="BB3" s="180" t="s">
        <v>775</v>
      </c>
      <c r="BC3" s="180" t="s">
        <v>776</v>
      </c>
      <c r="BD3" s="180" t="s">
        <v>772</v>
      </c>
      <c r="BE3" s="180" t="s">
        <v>777</v>
      </c>
      <c r="BF3" s="180" t="s">
        <v>778</v>
      </c>
      <c r="BG3" s="182" t="s">
        <v>779</v>
      </c>
      <c r="BH3" s="179" t="s">
        <v>27</v>
      </c>
      <c r="BI3" s="180" t="s">
        <v>26</v>
      </c>
      <c r="BJ3" s="181" t="s">
        <v>29</v>
      </c>
      <c r="BK3" s="181" t="s">
        <v>36</v>
      </c>
      <c r="BL3" s="181" t="s">
        <v>774</v>
      </c>
      <c r="BM3" s="180" t="s">
        <v>775</v>
      </c>
      <c r="BN3" s="180" t="s">
        <v>776</v>
      </c>
      <c r="BO3" s="180" t="s">
        <v>772</v>
      </c>
      <c r="BP3" s="180" t="s">
        <v>777</v>
      </c>
      <c r="BQ3" s="180" t="s">
        <v>778</v>
      </c>
      <c r="BR3" s="182" t="s">
        <v>779</v>
      </c>
      <c r="BS3" s="179" t="s">
        <v>27</v>
      </c>
      <c r="BT3" s="180" t="s">
        <v>26</v>
      </c>
      <c r="BU3" s="181" t="s">
        <v>29</v>
      </c>
      <c r="BV3" s="181" t="s">
        <v>36</v>
      </c>
      <c r="BW3" s="181" t="s">
        <v>774</v>
      </c>
      <c r="BX3" s="180" t="s">
        <v>775</v>
      </c>
      <c r="BY3" s="180" t="s">
        <v>776</v>
      </c>
      <c r="BZ3" s="180" t="s">
        <v>772</v>
      </c>
      <c r="CA3" s="180" t="s">
        <v>777</v>
      </c>
      <c r="CB3" s="180" t="s">
        <v>778</v>
      </c>
      <c r="CC3" s="182" t="s">
        <v>779</v>
      </c>
      <c r="CD3" s="179" t="s">
        <v>27</v>
      </c>
      <c r="CE3" s="180" t="s">
        <v>26</v>
      </c>
      <c r="CF3" s="181" t="s">
        <v>29</v>
      </c>
      <c r="CG3" s="181" t="s">
        <v>36</v>
      </c>
      <c r="CH3" s="181" t="s">
        <v>774</v>
      </c>
      <c r="CI3" s="180" t="s">
        <v>775</v>
      </c>
      <c r="CJ3" s="180" t="s">
        <v>776</v>
      </c>
      <c r="CK3" s="180" t="s">
        <v>772</v>
      </c>
      <c r="CL3" s="180" t="s">
        <v>777</v>
      </c>
      <c r="CM3" s="180" t="s">
        <v>778</v>
      </c>
      <c r="CN3" s="182" t="s">
        <v>779</v>
      </c>
      <c r="CO3" s="179" t="s">
        <v>27</v>
      </c>
      <c r="CP3" s="180" t="s">
        <v>26</v>
      </c>
      <c r="CQ3" s="181" t="s">
        <v>29</v>
      </c>
      <c r="CR3" s="181" t="s">
        <v>36</v>
      </c>
      <c r="CS3" s="181" t="s">
        <v>774</v>
      </c>
      <c r="CT3" s="180" t="s">
        <v>775</v>
      </c>
      <c r="CU3" s="180" t="s">
        <v>776</v>
      </c>
      <c r="CV3" s="180" t="s">
        <v>772</v>
      </c>
      <c r="CW3" s="180" t="s">
        <v>777</v>
      </c>
      <c r="CX3" s="180" t="s">
        <v>778</v>
      </c>
      <c r="CY3" s="182" t="s">
        <v>779</v>
      </c>
      <c r="CZ3" s="179" t="s">
        <v>27</v>
      </c>
      <c r="DA3" s="180" t="s">
        <v>26</v>
      </c>
      <c r="DB3" s="181" t="s">
        <v>29</v>
      </c>
      <c r="DC3" s="181" t="s">
        <v>36</v>
      </c>
      <c r="DD3" s="181" t="s">
        <v>774</v>
      </c>
      <c r="DE3" s="180" t="s">
        <v>775</v>
      </c>
      <c r="DF3" s="180" t="s">
        <v>776</v>
      </c>
      <c r="DG3" s="180" t="s">
        <v>772</v>
      </c>
      <c r="DH3" s="180" t="s">
        <v>777</v>
      </c>
      <c r="DI3" s="180" t="s">
        <v>778</v>
      </c>
      <c r="DJ3" s="182" t="s">
        <v>779</v>
      </c>
      <c r="DK3" s="179" t="s">
        <v>27</v>
      </c>
      <c r="DL3" s="180" t="s">
        <v>26</v>
      </c>
      <c r="DM3" s="181" t="s">
        <v>29</v>
      </c>
      <c r="DN3" s="181" t="s">
        <v>36</v>
      </c>
      <c r="DO3" s="181" t="s">
        <v>774</v>
      </c>
      <c r="DP3" s="180" t="s">
        <v>775</v>
      </c>
      <c r="DQ3" s="180" t="s">
        <v>776</v>
      </c>
      <c r="DR3" s="180" t="s">
        <v>772</v>
      </c>
      <c r="DS3" s="180" t="s">
        <v>777</v>
      </c>
      <c r="DT3" s="180" t="s">
        <v>778</v>
      </c>
      <c r="DU3" s="182" t="s">
        <v>779</v>
      </c>
    </row>
    <row r="4">
      <c r="A4" s="183"/>
      <c r="B4" s="184" t="s">
        <v>780</v>
      </c>
      <c r="C4" s="184" t="s">
        <v>781</v>
      </c>
      <c r="D4" s="185" t="s">
        <v>748</v>
      </c>
      <c r="E4" s="186" t="str">
        <f>IFERROR(__xludf.DUMMYFUNCTION("FILTER('Rankings-Women'!$D3:$D115,'Rankings-Women'!$N$3:$N115=E$1)"),"#N/A")</f>
        <v>#N/A</v>
      </c>
      <c r="F4" s="187" t="str">
        <f>IFERROR(__xludf.DUMMYFUNCTION("FILTER('Rankings-Women'!$E3:$E115,'Rankings-Women'!$N$3:$N115=E$1)"),"#N/A")</f>
        <v>#N/A</v>
      </c>
      <c r="G4" s="187" t="str">
        <f>IFERROR(__xludf.DUMMYFUNCTION("FILTER('Rankings-Women'!$L3:$L115,'Rankings-Women'!$N$3:$N115=E$1)"),"#N/A")</f>
        <v>#N/A</v>
      </c>
      <c r="H4" s="187" t="str">
        <f>IFERROR(__xludf.DUMMYFUNCTION("FILTER('Rankings-Women'!$M3:$M115,'Rankings-Women'!$N$3:$N115=E$1)"),"#N/A")</f>
        <v>#N/A</v>
      </c>
      <c r="I4" s="187" t="str">
        <f>IFERROR(__xludf.DUMMYFUNCTION("FILTER('Rankings-Women'!$A3:$A115,'Rankings-Women'!$N$3:$N115=E$1)"),"#N/A")</f>
        <v>#N/A</v>
      </c>
      <c r="J4" s="187" t="str">
        <f>IFERROR(__xludf.DUMMYFUNCTION("FILTER('Rankings-Women'!$B3:$B115,'Rankings-Women'!$N$3:$N115=E$1)"),"#N/A")</f>
        <v>#N/A</v>
      </c>
      <c r="K4" s="187">
        <f>COUNTIF('Rankings-Women'!$L:$L,G4)</f>
        <v>0</v>
      </c>
      <c r="L4" s="187">
        <f t="shared" ref="L4:M4" si="12">IFNA(INDEX($P$83:$Q$112,MATCH(I4,$P$83:$P112,0),2),0)</f>
        <v>0</v>
      </c>
      <c r="M4" s="187">
        <f t="shared" si="12"/>
        <v>0</v>
      </c>
      <c r="N4" s="187" t="str">
        <f t="array" ref="N4">INDEX('Rankings-Women'!$C:$C,MATCH(1,(E4='Rankings-Women'!$D:$D)*(F4='Rankings-Women'!$E:$E),0))</f>
        <v>#N/A</v>
      </c>
      <c r="O4" s="188">
        <f t="shared" ref="O4:O7" si="24">IFNA(INDEX($P$83:$Q$112,MATCH(N4,$P$83:$P112,0),2),0)</f>
        <v>0</v>
      </c>
      <c r="P4" s="186" t="str">
        <f>IFERROR(__xludf.DUMMYFUNCTION("FILTER('Rankings-Women'!$D3:$D115,'Rankings-Women'!$N$3:$N115=P$1)"),"#N/A")</f>
        <v>#N/A</v>
      </c>
      <c r="Q4" s="187" t="str">
        <f>IFERROR(__xludf.DUMMYFUNCTION("FILTER('Rankings-Women'!$E3:$E115,'Rankings-Women'!$N$3:$N115=P$1)"),"#N/A")</f>
        <v>#N/A</v>
      </c>
      <c r="R4" s="187" t="str">
        <f>IFERROR(__xludf.DUMMYFUNCTION("FILTER('Rankings-Women'!$L3:$L115,'Rankings-Women'!$N$3:$N115=P$1)"),"#N/A")</f>
        <v>#N/A</v>
      </c>
      <c r="S4" s="187" t="str">
        <f>IFERROR(__xludf.DUMMYFUNCTION("FILTER('Rankings-Women'!$M3:$M115,'Rankings-Women'!$N$3:$N115=P$1)"),"#N/A")</f>
        <v>#N/A</v>
      </c>
      <c r="T4" s="187" t="str">
        <f>IFERROR(__xludf.DUMMYFUNCTION("FILTER('Rankings-Women'!$A3:$A115,'Rankings-Women'!$N$3:$N115=P$1)"),"#N/A")</f>
        <v>#N/A</v>
      </c>
      <c r="U4" s="187" t="str">
        <f>IFERROR(__xludf.DUMMYFUNCTION("FILTER('Rankings-Women'!$B3:$B115,'Rankings-Women'!$N$3:$N115=P$1)"),"#N/A")</f>
        <v>#N/A</v>
      </c>
      <c r="V4" s="187">
        <f>COUNTIF('Rankings-Women'!$L:$L,R4)</f>
        <v>0</v>
      </c>
      <c r="W4" s="187">
        <f t="shared" ref="W4:X4" si="13">IFNA(INDEX($P$83:$Q$112,MATCH(T4,$P$83:$P112,0),2),0)</f>
        <v>0</v>
      </c>
      <c r="X4" s="187">
        <f t="shared" si="13"/>
        <v>0</v>
      </c>
      <c r="Y4" s="187" t="str">
        <f t="array" ref="Y4">INDEX('Rankings-Women'!$C:$C,MATCH(1,(P4='Rankings-Women'!$D:$D)*(Q4='Rankings-Women'!$E:$E),0))</f>
        <v>#N/A</v>
      </c>
      <c r="Z4" s="188">
        <f t="shared" ref="Z4:Z7" si="26">IFNA(INDEX($P$83:$Q$112,MATCH(Y4,$P$83:$P112,0),2),0)</f>
        <v>0</v>
      </c>
      <c r="AA4" s="186" t="str">
        <f>IFERROR(__xludf.DUMMYFUNCTION("FILTER('Rankings-Women'!$D3:$D115,'Rankings-Women'!$N$3:$N115=AA$1)"),"#N/A")</f>
        <v>#N/A</v>
      </c>
      <c r="AB4" s="187" t="str">
        <f>IFERROR(__xludf.DUMMYFUNCTION("FILTER('Rankings-Women'!$E3:$E115,'Rankings-Women'!$N$3:$N115=AA$1)"),"#N/A")</f>
        <v>#N/A</v>
      </c>
      <c r="AC4" s="187" t="str">
        <f>IFERROR(__xludf.DUMMYFUNCTION("FILTER('Rankings-Women'!$L3:$L115,'Rankings-Women'!$N$3:$N115=AA$1)"),"#N/A")</f>
        <v>#N/A</v>
      </c>
      <c r="AD4" s="187" t="str">
        <f>IFERROR(__xludf.DUMMYFUNCTION("FILTER('Rankings-Women'!$M3:$M115,'Rankings-Women'!$N$3:$N115=AA$1)"),"#N/A")</f>
        <v>#N/A</v>
      </c>
      <c r="AE4" s="187" t="str">
        <f>IFERROR(__xludf.DUMMYFUNCTION("FILTER('Rankings-Women'!$A3:$A115,'Rankings-Women'!$N$3:$N115=AA$1)"),"#N/A")</f>
        <v>#N/A</v>
      </c>
      <c r="AF4" s="187" t="str">
        <f>IFERROR(__xludf.DUMMYFUNCTION("FILTER('Rankings-Women'!$B3:$B115,'Rankings-Women'!$N$3:$N115=AA$1)"),"#N/A")</f>
        <v>#N/A</v>
      </c>
      <c r="AG4" s="187">
        <f>COUNTIF('Rankings-Women'!$L:$L,AC4)</f>
        <v>0</v>
      </c>
      <c r="AH4" s="187">
        <f t="shared" ref="AH4:AI4" si="14">IFNA(INDEX($P$83:$Q$112,MATCH(AE4,$P$83:$P112,0),2),0)</f>
        <v>0</v>
      </c>
      <c r="AI4" s="187">
        <f t="shared" si="14"/>
        <v>0</v>
      </c>
      <c r="AJ4" s="187" t="str">
        <f t="array" ref="AJ4">INDEX('Rankings-Women'!$C:$C,MATCH(1,(AA4='Rankings-Women'!$D:$D)*(AB4='Rankings-Women'!$E:$E),0))</f>
        <v>#N/A</v>
      </c>
      <c r="AK4" s="188">
        <f t="shared" ref="AK4:AK7" si="28">IFNA(INDEX($P$83:$Q$112,MATCH(AJ4,$P$83:$P112,0),2),0)</f>
        <v>0</v>
      </c>
      <c r="AL4" s="186" t="str">
        <f>IFERROR(__xludf.DUMMYFUNCTION("FILTER('Rankings-Women'!$D3:$D115,'Rankings-Women'!$N$3:$N115=AL$1)"),"#N/A")</f>
        <v>#N/A</v>
      </c>
      <c r="AM4" s="187" t="str">
        <f>IFERROR(__xludf.DUMMYFUNCTION("FILTER('Rankings-Women'!$E3:$E115,'Rankings-Women'!$N$3:$N115=AL$1)"),"#N/A")</f>
        <v>#N/A</v>
      </c>
      <c r="AN4" s="187" t="str">
        <f>IFERROR(__xludf.DUMMYFUNCTION("FILTER('Rankings-Women'!$L3:$L115,'Rankings-Women'!$N$3:$N115=AL$1)"),"#N/A")</f>
        <v>#N/A</v>
      </c>
      <c r="AO4" s="187" t="str">
        <f>IFERROR(__xludf.DUMMYFUNCTION("FILTER('Rankings-Women'!$M3:$M115,'Rankings-Women'!$N$3:$N115=AL$1)"),"#N/A")</f>
        <v>#N/A</v>
      </c>
      <c r="AP4" s="187" t="str">
        <f>IFERROR(__xludf.DUMMYFUNCTION("FILTER('Rankings-Women'!$A3:$A115,'Rankings-Women'!$N$3:$N115=AL$1)"),"#N/A")</f>
        <v>#N/A</v>
      </c>
      <c r="AQ4" s="187" t="str">
        <f>IFERROR(__xludf.DUMMYFUNCTION("FILTER('Rankings-Women'!$B3:$B115,'Rankings-Women'!$N$3:$N115=AL$1)"),"#N/A")</f>
        <v>#N/A</v>
      </c>
      <c r="AR4" s="187">
        <f>COUNTIF('Rankings-Women'!$L:$L,AN4)</f>
        <v>0</v>
      </c>
      <c r="AS4" s="187">
        <f t="shared" ref="AS4:AT4" si="15">IFNA(INDEX($P$83:$Q$112,MATCH(AP4,$P$83:$P112,0),2),0)</f>
        <v>0</v>
      </c>
      <c r="AT4" s="187">
        <f t="shared" si="15"/>
        <v>0</v>
      </c>
      <c r="AU4" s="187" t="str">
        <f t="array" ref="AU4">INDEX('Rankings-Women'!$C:$C,MATCH(1,(AL4='Rankings-Women'!$D:$D)*(AM4='Rankings-Women'!$E:$E),0))</f>
        <v>#N/A</v>
      </c>
      <c r="AV4" s="188">
        <f t="shared" ref="AV4:AV7" si="30">IFNA(INDEX($P$83:$Q$112,MATCH(AU4,$P$83:$P112,0),2),0)</f>
        <v>0</v>
      </c>
      <c r="AW4" s="186" t="str">
        <f>IFERROR(__xludf.DUMMYFUNCTION("FILTER('Rankings-Women'!$D3:$D115,'Rankings-Women'!$N$3:$N115=AW$1)"),"#N/A")</f>
        <v>#N/A</v>
      </c>
      <c r="AX4" s="187" t="str">
        <f>IFERROR(__xludf.DUMMYFUNCTION("FILTER('Rankings-Women'!$E3:$E115,'Rankings-Women'!$N$3:$N115=AW$1)"),"#N/A")</f>
        <v>#N/A</v>
      </c>
      <c r="AY4" s="187" t="str">
        <f>IFERROR(__xludf.DUMMYFUNCTION("FILTER('Rankings-Women'!$L3:$L115,'Rankings-Women'!$N$3:$N115=AW$1)"),"#N/A")</f>
        <v>#N/A</v>
      </c>
      <c r="AZ4" s="187" t="str">
        <f>IFERROR(__xludf.DUMMYFUNCTION("FILTER('Rankings-Women'!$M3:$M115,'Rankings-Women'!$N$3:$N115=AW$1)"),"#N/A")</f>
        <v>#N/A</v>
      </c>
      <c r="BA4" s="187" t="str">
        <f>IFERROR(__xludf.DUMMYFUNCTION("FILTER('Rankings-Women'!$A3:$A115,'Rankings-Women'!$N$3:$N115=AW$1)"),"#N/A")</f>
        <v>#N/A</v>
      </c>
      <c r="BB4" s="187" t="str">
        <f>IFERROR(__xludf.DUMMYFUNCTION("FILTER('Rankings-Women'!$B3:$B115,'Rankings-Women'!$N$3:$N115=AW$1)"),"#N/A")</f>
        <v>#N/A</v>
      </c>
      <c r="BC4" s="187">
        <f>COUNTIF('Rankings-Women'!$L:$L,AY4)</f>
        <v>0</v>
      </c>
      <c r="BD4" s="187">
        <f t="shared" ref="BD4:BE4" si="16">IFNA(INDEX($P$83:$Q$112,MATCH(BA4,$P$83:$P112,0),2),0)</f>
        <v>0</v>
      </c>
      <c r="BE4" s="187">
        <f t="shared" si="16"/>
        <v>0</v>
      </c>
      <c r="BF4" s="187" t="str">
        <f t="array" ref="BF4">INDEX('Rankings-Women'!$C:$C,MATCH(1,(AW4='Rankings-Women'!$D:$D)*(AX4='Rankings-Women'!$E:$E),0))</f>
        <v>#N/A</v>
      </c>
      <c r="BG4" s="188">
        <f t="shared" ref="BG4:BG7" si="32">IFNA(INDEX($P$83:$Q$112,MATCH(BF4,$P$83:$P112,0),2),0)</f>
        <v>0</v>
      </c>
      <c r="BH4" s="186" t="str">
        <f>IFERROR(__xludf.DUMMYFUNCTION("FILTER('Rankings-Women'!$D3:$D115,'Rankings-Women'!$N$3:$N115=BH$1)"),"#N/A")</f>
        <v>#N/A</v>
      </c>
      <c r="BI4" s="187" t="str">
        <f>IFERROR(__xludf.DUMMYFUNCTION("FILTER('Rankings-Women'!$E3:$E115,'Rankings-Women'!$N$3:$N115=BH$1)"),"#N/A")</f>
        <v>#N/A</v>
      </c>
      <c r="BJ4" s="187" t="str">
        <f>IFERROR(__xludf.DUMMYFUNCTION("FILTER('Rankings-Women'!$L3:$L115,'Rankings-Women'!$N$3:$N115=BH$1)"),"#N/A")</f>
        <v>#N/A</v>
      </c>
      <c r="BK4" s="187" t="str">
        <f>IFERROR(__xludf.DUMMYFUNCTION("FILTER('Rankings-Women'!$M3:$M115,'Rankings-Women'!$N$3:$N115=BH$1)"),"#N/A")</f>
        <v>#N/A</v>
      </c>
      <c r="BL4" s="187" t="str">
        <f>IFERROR(__xludf.DUMMYFUNCTION("FILTER('Rankings-Women'!$A3:$A115,'Rankings-Women'!$N$3:$N115=BH$1)"),"#N/A")</f>
        <v>#N/A</v>
      </c>
      <c r="BM4" s="187" t="str">
        <f>IFERROR(__xludf.DUMMYFUNCTION("FILTER('Rankings-Women'!$B3:$B115,'Rankings-Women'!$N$3:$N115=BH$1)"),"#N/A")</f>
        <v>#N/A</v>
      </c>
      <c r="BN4" s="187">
        <f>COUNTIF('Rankings-Women'!$L:$L,BJ4)</f>
        <v>0</v>
      </c>
      <c r="BO4" s="187">
        <f t="shared" ref="BO4:BP4" si="17">IFNA(INDEX($P$83:$Q$112,MATCH(BL4,$P$83:$P112,0),2),0)</f>
        <v>0</v>
      </c>
      <c r="BP4" s="187">
        <f t="shared" si="17"/>
        <v>0</v>
      </c>
      <c r="BQ4" s="187" t="str">
        <f t="array" ref="BQ4">INDEX('Rankings-Women'!$C:$C,MATCH(1,(BH4='Rankings-Women'!$D:$D)*(BI4='Rankings-Women'!$E:$E),0))</f>
        <v>#N/A</v>
      </c>
      <c r="BR4" s="188">
        <f t="shared" ref="BR4:BR6" si="34">IFNA(INDEX($P$83:$Q$112,MATCH(BQ4,$P$83:$P112,0),2),0)</f>
        <v>0</v>
      </c>
      <c r="BS4" s="186" t="str">
        <f>IFERROR(__xludf.DUMMYFUNCTION("FILTER('Rankings-Women'!$D3:$D115,'Rankings-Women'!$N$3:$N115=BS$1)"),"#N/A")</f>
        <v>#N/A</v>
      </c>
      <c r="BT4" s="187" t="str">
        <f>IFERROR(__xludf.DUMMYFUNCTION("FILTER('Rankings-Women'!$E3:$E115,'Rankings-Women'!$N$3:$N115=BS$1)"),"#N/A")</f>
        <v>#N/A</v>
      </c>
      <c r="BU4" s="187" t="str">
        <f>IFERROR(__xludf.DUMMYFUNCTION("FILTER('Rankings-Women'!$L3:$L115,'Rankings-Women'!$N$3:$N115=BS$1)"),"#N/A")</f>
        <v>#N/A</v>
      </c>
      <c r="BV4" s="187" t="str">
        <f>IFERROR(__xludf.DUMMYFUNCTION("FILTER('Rankings-Women'!$M3:$M115,'Rankings-Women'!$N$3:$N115=BS$1)"),"#N/A")</f>
        <v>#N/A</v>
      </c>
      <c r="BW4" s="187" t="str">
        <f>IFERROR(__xludf.DUMMYFUNCTION("FILTER('Rankings-Women'!$A3:$A115,'Rankings-Women'!$N$3:$N115=BS$1)"),"#N/A")</f>
        <v>#N/A</v>
      </c>
      <c r="BX4" s="187" t="str">
        <f>IFERROR(__xludf.DUMMYFUNCTION("FILTER('Rankings-Women'!$B3:$B115,'Rankings-Women'!$N$3:$N115=BS$1)"),"#N/A")</f>
        <v>#N/A</v>
      </c>
      <c r="BY4" s="187">
        <f>COUNTIF('Rankings-Women'!$L:$L,BU4)</f>
        <v>0</v>
      </c>
      <c r="BZ4" s="187">
        <f t="shared" ref="BZ4:CA4" si="18">IFNA(INDEX($P$83:$Q$112,MATCH(BW4,$P$83:$P112,0),2),0)</f>
        <v>0</v>
      </c>
      <c r="CA4" s="187">
        <f t="shared" si="18"/>
        <v>0</v>
      </c>
      <c r="CB4" s="187" t="str">
        <f t="array" ref="CB4">INDEX('Rankings-Women'!$C:$C,MATCH(1,(BS4='Rankings-Women'!$D:$D)*(BT4='Rankings-Women'!$E:$E),0))</f>
        <v>#N/A</v>
      </c>
      <c r="CC4" s="188">
        <f t="shared" ref="CC4:CC7" si="36">IFNA(INDEX($P$83:$Q$112,MATCH(CB4,$P$83:$P112,0),2),0)</f>
        <v>0</v>
      </c>
      <c r="CD4" s="186" t="str">
        <f>IFERROR(__xludf.DUMMYFUNCTION("FILTER('Rankings-Women'!$D3:$D115,'Rankings-Women'!$N$3:$N115=CD$1)"),"#N/A")</f>
        <v>#N/A</v>
      </c>
      <c r="CE4" s="187" t="str">
        <f>IFERROR(__xludf.DUMMYFUNCTION("FILTER('Rankings-Women'!$E3:$E115,'Rankings-Women'!$N$3:$N115=CD$1)"),"#N/A")</f>
        <v>#N/A</v>
      </c>
      <c r="CF4" s="187" t="str">
        <f>IFERROR(__xludf.DUMMYFUNCTION("FILTER('Rankings-Women'!$L3:$L115,'Rankings-Women'!$N$3:$N115=CD$1)"),"#N/A")</f>
        <v>#N/A</v>
      </c>
      <c r="CG4" s="187" t="str">
        <f>IFERROR(__xludf.DUMMYFUNCTION("FILTER('Rankings-Women'!$M3:$M115,'Rankings-Women'!$N$3:$N115=CD$1)"),"#N/A")</f>
        <v>#N/A</v>
      </c>
      <c r="CH4" s="187" t="str">
        <f>IFERROR(__xludf.DUMMYFUNCTION("FILTER('Rankings-Women'!$A3:$A115,'Rankings-Women'!$N$3:$N115=CD$1)"),"#N/A")</f>
        <v>#N/A</v>
      </c>
      <c r="CI4" s="187" t="str">
        <f>IFERROR(__xludf.DUMMYFUNCTION("FILTER('Rankings-Women'!$B3:$B115,'Rankings-Women'!$N$3:$N115=CD$1)"),"#N/A")</f>
        <v>#N/A</v>
      </c>
      <c r="CJ4" s="187">
        <f>COUNTIF('Rankings-Women'!$L:$L,CF4)</f>
        <v>0</v>
      </c>
      <c r="CK4" s="187">
        <f t="shared" ref="CK4:CL4" si="19">IFNA(INDEX($P$83:$Q$112,MATCH(CH4,$P$83:$P112,0),2),0)</f>
        <v>0</v>
      </c>
      <c r="CL4" s="187">
        <f t="shared" si="19"/>
        <v>0</v>
      </c>
      <c r="CM4" s="187" t="str">
        <f t="array" ref="CM4">INDEX('Rankings-Women'!$C:$C,MATCH(1,(CD4='Rankings-Women'!$D:$D)*(CE4='Rankings-Women'!$E:$E),0))</f>
        <v>#N/A</v>
      </c>
      <c r="CN4" s="188">
        <f t="shared" ref="CN4:CN7" si="38">IFNA(INDEX($P$83:$Q$112,MATCH(CM4,$P$83:$P112,0),2),0)</f>
        <v>0</v>
      </c>
      <c r="CO4" s="186" t="str">
        <f>IFERROR(__xludf.DUMMYFUNCTION("FILTER('Rankings-Women'!$D3:$D115,'Rankings-Women'!$N$3:$N115=CO$1)"),"#N/A")</f>
        <v>#N/A</v>
      </c>
      <c r="CP4" s="187" t="str">
        <f>IFERROR(__xludf.DUMMYFUNCTION("FILTER('Rankings-Women'!$E3:$E115,'Rankings-Women'!$N$3:$N115=CO$1)"),"#N/A")</f>
        <v>#N/A</v>
      </c>
      <c r="CQ4" s="187" t="str">
        <f>IFERROR(__xludf.DUMMYFUNCTION("FILTER('Rankings-Women'!$L3:$L115,'Rankings-Women'!$N$3:$N115=CO$1)"),"#N/A")</f>
        <v>#N/A</v>
      </c>
      <c r="CR4" s="187" t="str">
        <f>IFERROR(__xludf.DUMMYFUNCTION("FILTER('Rankings-Women'!$M3:$M115,'Rankings-Women'!$N$3:$N115=CO$1)"),"#N/A")</f>
        <v>#N/A</v>
      </c>
      <c r="CS4" s="187" t="str">
        <f>IFERROR(__xludf.DUMMYFUNCTION("FILTER('Rankings-Women'!$A3:$A115,'Rankings-Women'!$N$3:$N115=CO$1)"),"#N/A")</f>
        <v>#N/A</v>
      </c>
      <c r="CT4" s="187" t="str">
        <f>IFERROR(__xludf.DUMMYFUNCTION("FILTER('Rankings-Women'!$B3:$B115,'Rankings-Women'!$N$3:$N115=CO$1)"),"#N/A")</f>
        <v>#N/A</v>
      </c>
      <c r="CU4" s="187">
        <f>COUNTIF('Rankings-Women'!$L:$L,CQ4)</f>
        <v>0</v>
      </c>
      <c r="CV4" s="187">
        <f t="shared" ref="CV4:CW4" si="20">IFNA(INDEX($P$83:$Q$112,MATCH(CS4,$P$83:$P112,0),2),0)</f>
        <v>0</v>
      </c>
      <c r="CW4" s="187">
        <f t="shared" si="20"/>
        <v>0</v>
      </c>
      <c r="CX4" s="187" t="str">
        <f t="array" ref="CX4">INDEX('Rankings-Women'!$C:$C,MATCH(1,(CO4='Rankings-Women'!$D:$D)*(CP4='Rankings-Women'!$E:$E),0))</f>
        <v>#N/A</v>
      </c>
      <c r="CY4" s="188">
        <f t="shared" ref="CY4:CY7" si="40">IFNA(INDEX($P$83:$Q$112,MATCH(CX4,$P$83:$P112,0),2),0)</f>
        <v>0</v>
      </c>
      <c r="CZ4" s="186" t="str">
        <f>IFERROR(__xludf.DUMMYFUNCTION("FILTER('Rankings-Women'!$D3:$D115,'Rankings-Women'!$N$3:$N115=CZ$1)"),"#N/A")</f>
        <v>#N/A</v>
      </c>
      <c r="DA4" s="187" t="str">
        <f>IFERROR(__xludf.DUMMYFUNCTION("FILTER('Rankings-Women'!$E3:$E115,'Rankings-Women'!$N$3:$N115=CZ$1)"),"#N/A")</f>
        <v>#N/A</v>
      </c>
      <c r="DB4" s="187" t="str">
        <f>IFERROR(__xludf.DUMMYFUNCTION("FILTER('Rankings-Women'!$L3:$L115,'Rankings-Women'!$N$3:$N115=CZ$1)"),"#N/A")</f>
        <v>#N/A</v>
      </c>
      <c r="DC4" s="187" t="str">
        <f>IFERROR(__xludf.DUMMYFUNCTION("FILTER('Rankings-Women'!$M3:$M115,'Rankings-Women'!$N$3:$N115=CZ$1)"),"#N/A")</f>
        <v>#N/A</v>
      </c>
      <c r="DD4" s="187" t="str">
        <f>IFERROR(__xludf.DUMMYFUNCTION("FILTER('Rankings-Women'!$A3:$A115,'Rankings-Women'!$N$3:$N115=CZ$1)"),"#N/A")</f>
        <v>#N/A</v>
      </c>
      <c r="DE4" s="187" t="str">
        <f>IFERROR(__xludf.DUMMYFUNCTION("FILTER('Rankings-Women'!$B3:$B115,'Rankings-Women'!$N$3:$N115=CZ$1)"),"#N/A")</f>
        <v>#N/A</v>
      </c>
      <c r="DF4" s="187">
        <f>COUNTIF('Rankings-Women'!$L:$L,DB4)</f>
        <v>0</v>
      </c>
      <c r="DG4" s="187">
        <f t="shared" ref="DG4:DH4" si="21">IFNA(INDEX($P$83:$Q$112,MATCH(DD4,$P$83:$P112,0),2),0)</f>
        <v>0</v>
      </c>
      <c r="DH4" s="187">
        <f t="shared" si="21"/>
        <v>0</v>
      </c>
      <c r="DI4" s="187" t="str">
        <f t="array" ref="DI4">INDEX('Rankings-Women'!$C:$C,MATCH(1,(CZ4='Rankings-Women'!$D:$D)*(DA4='Rankings-Women'!$E:$E),0))</f>
        <v>#N/A</v>
      </c>
      <c r="DJ4" s="188">
        <f t="array" ref="DJ4">IFNA(INDEX($P$83:$Q$112,MATCH('Team Scoring-Men'!N4,$P$83:$P112,0),2),0)</f>
        <v>0</v>
      </c>
      <c r="DK4" s="186" t="str">
        <f>IFERROR(__xludf.DUMMYFUNCTION("FILTER('Rankings-Women'!$D3:$D115,'Rankings-Women'!$N$3:$N115=DK$1)"),"#N/A")</f>
        <v>#N/A</v>
      </c>
      <c r="DL4" s="187" t="str">
        <f>IFERROR(__xludf.DUMMYFUNCTION("FILTER('Rankings-Women'!$E3:$E115,'Rankings-Women'!$N$3:$N115=DK$1)"),"#N/A")</f>
        <v>#N/A</v>
      </c>
      <c r="DM4" s="187" t="str">
        <f>IFERROR(__xludf.DUMMYFUNCTION("FILTER('Rankings-Women'!$L3:$L115,'Rankings-Women'!$N$3:$N115=DK$1)"),"#N/A")</f>
        <v>#N/A</v>
      </c>
      <c r="DN4" s="187" t="str">
        <f>IFERROR(__xludf.DUMMYFUNCTION("FILTER('Rankings-Women'!$M3:$M115,'Rankings-Women'!$N$3:$N115=DK$1)"),"#N/A")</f>
        <v>#N/A</v>
      </c>
      <c r="DO4" s="187" t="str">
        <f>IFERROR(__xludf.DUMMYFUNCTION("FILTER('Rankings-Women'!$A3:$A115,'Rankings-Women'!$N$3:$N115=DK$1)"),"#N/A")</f>
        <v>#N/A</v>
      </c>
      <c r="DP4" s="187" t="str">
        <f>IFERROR(__xludf.DUMMYFUNCTION("FILTER('Rankings-Women'!$B3:$B115,'Rankings-Women'!$N$3:$N115=DK$1)"),"#N/A")</f>
        <v>#N/A</v>
      </c>
      <c r="DQ4" s="187">
        <f>COUNTIF('Rankings-Women'!$L:$L,DM4)</f>
        <v>0</v>
      </c>
      <c r="DR4" s="187">
        <f t="shared" ref="DR4:DS4" si="22">IFNA(INDEX($P$83:$Q$112,MATCH(DO4,$P$83:$P112,0),2),0)</f>
        <v>0</v>
      </c>
      <c r="DS4" s="187">
        <f t="shared" si="22"/>
        <v>0</v>
      </c>
      <c r="DT4" s="187" t="str">
        <f t="array" ref="DT4">INDEX('Rankings-Women'!$C:$C,MATCH(1,(DK4='Rankings-Women'!$D:$D)*(DL4='Rankings-Women'!$E:$E),0))</f>
        <v>#N/A</v>
      </c>
      <c r="DU4" s="188">
        <f t="shared" ref="DU4:DU7" si="43">IFNA(INDEX($P$83:$Q$112,MATCH(DT4,$P$83:$P112,0),2),0)</f>
        <v>0</v>
      </c>
    </row>
    <row r="5">
      <c r="A5" s="189" t="s">
        <v>763</v>
      </c>
      <c r="B5" s="187">
        <f>midlandwpot</f>
        <v>0</v>
      </c>
      <c r="C5" s="187">
        <f>midlandpotbests</f>
        <v>0</v>
      </c>
      <c r="D5" s="188">
        <f>midlandwactual</f>
        <v>0</v>
      </c>
      <c r="E5" s="186"/>
      <c r="F5" s="187"/>
      <c r="G5" s="187"/>
      <c r="H5" s="187"/>
      <c r="I5" s="187"/>
      <c r="J5" s="187"/>
      <c r="K5" s="187">
        <f>COUNTIF('Rankings-Women'!$L:$L,G5)</f>
        <v>0</v>
      </c>
      <c r="L5" s="187">
        <f t="shared" ref="L5:M5" si="23">IFNA(INDEX($P$83:$Q$112,MATCH(I5,$P$83:$P113,0),2),0)</f>
        <v>0</v>
      </c>
      <c r="M5" s="187">
        <f t="shared" si="23"/>
        <v>0</v>
      </c>
      <c r="N5" s="187" t="str">
        <f t="array" ref="N5">INDEX('Rankings-Women'!$C:$C,MATCH(1,(E5='Rankings-Women'!$D:$D)*(F5='Rankings-Women'!$E:$E),0))</f>
        <v/>
      </c>
      <c r="O5" s="188">
        <f t="shared" si="24"/>
        <v>0</v>
      </c>
      <c r="P5" s="186"/>
      <c r="Q5" s="187"/>
      <c r="R5" s="187"/>
      <c r="S5" s="187"/>
      <c r="T5" s="187"/>
      <c r="U5" s="187"/>
      <c r="V5" s="187">
        <f>COUNTIF('Rankings-Women'!$L:$L,R5)</f>
        <v>0</v>
      </c>
      <c r="W5" s="187">
        <f t="shared" ref="W5:X5" si="25">IFNA(INDEX($P$83:$Q$112,MATCH(T5,$P$83:$P113,0),2),0)</f>
        <v>0</v>
      </c>
      <c r="X5" s="187">
        <f t="shared" si="25"/>
        <v>0</v>
      </c>
      <c r="Y5" s="187" t="str">
        <f t="array" ref="Y5">INDEX('Rankings-Women'!$C:$C,MATCH(1,(P5='Rankings-Women'!$D:$D)*(Q5='Rankings-Women'!$E:$E),0))</f>
        <v/>
      </c>
      <c r="Z5" s="188">
        <f t="shared" si="26"/>
        <v>0</v>
      </c>
      <c r="AA5" s="186"/>
      <c r="AB5" s="187"/>
      <c r="AC5" s="187"/>
      <c r="AD5" s="187"/>
      <c r="AE5" s="187"/>
      <c r="AF5" s="187"/>
      <c r="AG5" s="187">
        <f>COUNTIF('Rankings-Women'!$L:$L,AC5)</f>
        <v>0</v>
      </c>
      <c r="AH5" s="187">
        <f t="shared" ref="AH5:AI5" si="27">IFNA(INDEX($P$83:$Q$112,MATCH(AE5,$P$83:$P113,0),2),0)</f>
        <v>0</v>
      </c>
      <c r="AI5" s="187">
        <f t="shared" si="27"/>
        <v>0</v>
      </c>
      <c r="AJ5" s="187" t="str">
        <f t="array" ref="AJ5">INDEX('Rankings-Women'!$C:$C,MATCH(1,(AA5='Rankings-Women'!$D:$D)*(AB5='Rankings-Women'!$E:$E),0))</f>
        <v/>
      </c>
      <c r="AK5" s="188">
        <f t="shared" si="28"/>
        <v>0</v>
      </c>
      <c r="AL5" s="186"/>
      <c r="AM5" s="187"/>
      <c r="AN5" s="187"/>
      <c r="AO5" s="187"/>
      <c r="AP5" s="187"/>
      <c r="AQ5" s="187"/>
      <c r="AR5" s="187">
        <f>COUNTIF('Rankings-Women'!$L:$L,AN5)</f>
        <v>0</v>
      </c>
      <c r="AS5" s="187">
        <f t="shared" ref="AS5:AT5" si="29">IFNA(INDEX($P$83:$Q$112,MATCH(AP5,$P$83:$P113,0),2),0)</f>
        <v>0</v>
      </c>
      <c r="AT5" s="187">
        <f t="shared" si="29"/>
        <v>0</v>
      </c>
      <c r="AU5" s="187" t="str">
        <f t="array" ref="AU5">INDEX('Rankings-Women'!$C:$C,MATCH(1,(AL5='Rankings-Women'!$D:$D)*(AM5='Rankings-Women'!$E:$E),0))</f>
        <v/>
      </c>
      <c r="AV5" s="188">
        <f t="shared" si="30"/>
        <v>0</v>
      </c>
      <c r="AW5" s="186"/>
      <c r="AX5" s="187"/>
      <c r="AY5" s="187"/>
      <c r="AZ5" s="187"/>
      <c r="BA5" s="187"/>
      <c r="BB5" s="187"/>
      <c r="BC5" s="187">
        <f>COUNTIF('Rankings-Women'!$L:$L,AY5)</f>
        <v>0</v>
      </c>
      <c r="BD5" s="187">
        <f t="shared" ref="BD5:BE5" si="31">IFNA(INDEX($P$83:$Q$112,MATCH(BA5,$P$83:$P113,0),2),0)</f>
        <v>0</v>
      </c>
      <c r="BE5" s="187">
        <f t="shared" si="31"/>
        <v>0</v>
      </c>
      <c r="BF5" s="187" t="str">
        <f t="array" ref="BF5">INDEX('Rankings-Women'!$C:$C,MATCH(1,(AW5='Rankings-Women'!$D:$D)*(AX5='Rankings-Women'!$E:$E),0))</f>
        <v/>
      </c>
      <c r="BG5" s="188">
        <f t="shared" si="32"/>
        <v>0</v>
      </c>
      <c r="BH5" s="186"/>
      <c r="BI5" s="187"/>
      <c r="BJ5" s="187"/>
      <c r="BK5" s="187"/>
      <c r="BL5" s="187"/>
      <c r="BM5" s="187"/>
      <c r="BN5" s="187">
        <f>COUNTIF('Rankings-Women'!$L:$L,BJ5)</f>
        <v>0</v>
      </c>
      <c r="BO5" s="187">
        <f t="shared" ref="BO5:BP5" si="33">IFNA(INDEX($P$83:$Q$112,MATCH(BL5,$P$83:$P113,0),2),0)</f>
        <v>0</v>
      </c>
      <c r="BP5" s="187">
        <f t="shared" si="33"/>
        <v>0</v>
      </c>
      <c r="BQ5" s="187" t="str">
        <f t="array" ref="BQ5">INDEX('Rankings-Women'!$C:$C,MATCH(1,(BH5='Rankings-Women'!$D:$D)*(BI5='Rankings-Women'!$E:$E),0))</f>
        <v/>
      </c>
      <c r="BR5" s="188">
        <f t="shared" si="34"/>
        <v>0</v>
      </c>
      <c r="BS5" s="186"/>
      <c r="BT5" s="187"/>
      <c r="BU5" s="187"/>
      <c r="BV5" s="187"/>
      <c r="BW5" s="187"/>
      <c r="BX5" s="187"/>
      <c r="BY5" s="187">
        <f>COUNTIF('Rankings-Women'!$L:$L,BU5)</f>
        <v>0</v>
      </c>
      <c r="BZ5" s="187">
        <f t="shared" ref="BZ5:CA5" si="35">IFNA(INDEX($P$83:$Q$112,MATCH(BW5,$P$83:$P113,0),2),0)</f>
        <v>0</v>
      </c>
      <c r="CA5" s="187">
        <f t="shared" si="35"/>
        <v>0</v>
      </c>
      <c r="CB5" s="187" t="str">
        <f t="array" ref="CB5">INDEX('Rankings-Women'!$C:$C,MATCH(1,(BS5='Rankings-Women'!$D:$D)*(BT5='Rankings-Women'!$E:$E),0))</f>
        <v/>
      </c>
      <c r="CC5" s="188">
        <f t="shared" si="36"/>
        <v>0</v>
      </c>
      <c r="CD5" s="186"/>
      <c r="CE5" s="187"/>
      <c r="CF5" s="187"/>
      <c r="CG5" s="187"/>
      <c r="CH5" s="187"/>
      <c r="CI5" s="187"/>
      <c r="CJ5" s="187">
        <f>COUNTIF('Rankings-Women'!$L:$L,CF5)</f>
        <v>0</v>
      </c>
      <c r="CK5" s="187">
        <f t="shared" ref="CK5:CL5" si="37">IFNA(INDEX($P$83:$Q$112,MATCH(CH5,$P$83:$P113,0),2),0)</f>
        <v>0</v>
      </c>
      <c r="CL5" s="187">
        <f t="shared" si="37"/>
        <v>0</v>
      </c>
      <c r="CM5" s="187" t="str">
        <f t="array" ref="CM5">INDEX('Rankings-Women'!$C:$C,MATCH(1,(CD5='Rankings-Women'!$D:$D)*(CE5='Rankings-Women'!$E:$E),0))</f>
        <v/>
      </c>
      <c r="CN5" s="188">
        <f t="shared" si="38"/>
        <v>0</v>
      </c>
      <c r="CO5" s="186"/>
      <c r="CP5" s="187"/>
      <c r="CQ5" s="187"/>
      <c r="CR5" s="187"/>
      <c r="CS5" s="187"/>
      <c r="CT5" s="187"/>
      <c r="CU5" s="187">
        <f>COUNTIF('Rankings-Women'!$L:$L,CQ5)</f>
        <v>0</v>
      </c>
      <c r="CV5" s="187">
        <f t="shared" ref="CV5:CW5" si="39">IFNA(INDEX($P$83:$Q$112,MATCH(CS5,$P$83:$P113,0),2),0)</f>
        <v>0</v>
      </c>
      <c r="CW5" s="187">
        <f t="shared" si="39"/>
        <v>0</v>
      </c>
      <c r="CX5" s="187" t="str">
        <f t="array" ref="CX5">INDEX('Rankings-Women'!$C:$C,MATCH(1,(CO5='Rankings-Women'!$D:$D)*(CP5='Rankings-Women'!$E:$E),0))</f>
        <v/>
      </c>
      <c r="CY5" s="188">
        <f t="shared" si="40"/>
        <v>0</v>
      </c>
      <c r="CZ5" s="186"/>
      <c r="DA5" s="187"/>
      <c r="DB5" s="187"/>
      <c r="DC5" s="187"/>
      <c r="DD5" s="187"/>
      <c r="DE5" s="187"/>
      <c r="DF5" s="187">
        <f>COUNTIF('Rankings-Women'!$L:$L,DB5)</f>
        <v>0</v>
      </c>
      <c r="DG5" s="187">
        <f t="shared" ref="DG5:DH5" si="41">IFNA(INDEX($P$83:$Q$112,MATCH(DD5,$P$83:$P113,0),2),0)</f>
        <v>0</v>
      </c>
      <c r="DH5" s="187">
        <f t="shared" si="41"/>
        <v>0</v>
      </c>
      <c r="DI5" s="187" t="str">
        <f t="array" ref="DI5">INDEX('Rankings-Women'!$C:$C,MATCH(1,(CZ5='Rankings-Women'!$D:$D)*(DA5='Rankings-Women'!$E:$E),0))</f>
        <v/>
      </c>
      <c r="DJ5" s="188">
        <f t="shared" ref="DJ5:DJ6" si="53">IFNA(INDEX($P$83:$Q$112,MATCH(DI5,$P$83:$P113,0),2),0)</f>
        <v>0</v>
      </c>
      <c r="DK5" s="186"/>
      <c r="DL5" s="187"/>
      <c r="DM5" s="187"/>
      <c r="DN5" s="187"/>
      <c r="DO5" s="187"/>
      <c r="DP5" s="187"/>
      <c r="DQ5" s="187">
        <f>COUNTIF('Rankings-Women'!$L:$L,DM5)</f>
        <v>0</v>
      </c>
      <c r="DR5" s="187">
        <f t="shared" ref="DR5:DS5" si="42">IFNA(INDEX($P$83:$Q$112,MATCH(DO5,$P$83:$P113,0),2),0)</f>
        <v>0</v>
      </c>
      <c r="DS5" s="187">
        <f t="shared" si="42"/>
        <v>0</v>
      </c>
      <c r="DT5" s="187" t="str">
        <f t="array" ref="DT5">INDEX('Rankings-Women'!$C:$C,MATCH(1,(DK5='Rankings-Women'!$D:$D)*(DL5='Rankings-Women'!$E:$E),0))</f>
        <v/>
      </c>
      <c r="DU5" s="188">
        <f t="shared" si="43"/>
        <v>0</v>
      </c>
    </row>
    <row r="6">
      <c r="A6" s="189" t="s">
        <v>765</v>
      </c>
      <c r="B6" s="187">
        <f>ullwpot</f>
        <v>0</v>
      </c>
      <c r="C6" s="187"/>
      <c r="D6" s="188">
        <f>ullwact</f>
        <v>3</v>
      </c>
      <c r="E6" s="186"/>
      <c r="F6" s="187"/>
      <c r="G6" s="187"/>
      <c r="H6" s="187"/>
      <c r="I6" s="187"/>
      <c r="J6" s="187"/>
      <c r="K6" s="187">
        <f>COUNTIF('Rankings-Women'!$L:$L,G6)</f>
        <v>0</v>
      </c>
      <c r="L6" s="187">
        <f t="shared" ref="L6:M6" si="44">IFNA(INDEX($P$83:$Q$112,MATCH(I6,$P$83:$P114,0),2),0)</f>
        <v>0</v>
      </c>
      <c r="M6" s="187">
        <f t="shared" si="44"/>
        <v>0</v>
      </c>
      <c r="N6" s="187" t="str">
        <f t="array" ref="N6">INDEX('Rankings-Women'!$C:$C,MATCH(1,(E6='Rankings-Women'!$D:$D)*(F6='Rankings-Women'!$E:$E),0))</f>
        <v/>
      </c>
      <c r="O6" s="188">
        <f t="shared" si="24"/>
        <v>0</v>
      </c>
      <c r="P6" s="186"/>
      <c r="Q6" s="187"/>
      <c r="R6" s="187"/>
      <c r="S6" s="187"/>
      <c r="T6" s="187"/>
      <c r="U6" s="187"/>
      <c r="V6" s="187">
        <f>COUNTIF('Rankings-Women'!$L:$L,R6)</f>
        <v>0</v>
      </c>
      <c r="W6" s="187">
        <f t="shared" ref="W6:X6" si="45">IFNA(INDEX($P$83:$Q$112,MATCH(T6,$P$83:$P114,0),2),0)</f>
        <v>0</v>
      </c>
      <c r="X6" s="187">
        <f t="shared" si="45"/>
        <v>0</v>
      </c>
      <c r="Y6" s="187" t="str">
        <f t="array" ref="Y6">INDEX('Rankings-Women'!$C:$C,MATCH(1,(P6='Rankings-Women'!$D:$D)*(Q6='Rankings-Women'!$E:$E),0))</f>
        <v/>
      </c>
      <c r="Z6" s="188">
        <f t="shared" si="26"/>
        <v>0</v>
      </c>
      <c r="AA6" s="186"/>
      <c r="AB6" s="187"/>
      <c r="AC6" s="187"/>
      <c r="AD6" s="187"/>
      <c r="AE6" s="187"/>
      <c r="AF6" s="187"/>
      <c r="AG6" s="187">
        <f>COUNTIF('Rankings-Women'!$L:$L,AC6)</f>
        <v>0</v>
      </c>
      <c r="AH6" s="187">
        <f t="shared" ref="AH6:AI6" si="46">IFNA(INDEX($P$83:$Q$112,MATCH(AE6,$P$83:$P114,0),2),0)</f>
        <v>0</v>
      </c>
      <c r="AI6" s="187">
        <f t="shared" si="46"/>
        <v>0</v>
      </c>
      <c r="AJ6" s="187" t="str">
        <f t="array" ref="AJ6">INDEX('Rankings-Women'!$C:$C,MATCH(1,(AA6='Rankings-Women'!$D:$D)*(AB6='Rankings-Women'!$E:$E),0))</f>
        <v/>
      </c>
      <c r="AK6" s="188">
        <f t="shared" si="28"/>
        <v>0</v>
      </c>
      <c r="AL6" s="186"/>
      <c r="AM6" s="187"/>
      <c r="AN6" s="187"/>
      <c r="AO6" s="187"/>
      <c r="AP6" s="187"/>
      <c r="AQ6" s="187"/>
      <c r="AR6" s="187">
        <f>COUNTIF('Rankings-Women'!$L:$L,AN6)</f>
        <v>0</v>
      </c>
      <c r="AS6" s="187">
        <f t="shared" ref="AS6:AT6" si="47">IFNA(INDEX($P$83:$Q$112,MATCH(AP6,$P$83:$P114,0),2),0)</f>
        <v>0</v>
      </c>
      <c r="AT6" s="187">
        <f t="shared" si="47"/>
        <v>0</v>
      </c>
      <c r="AU6" s="187" t="str">
        <f t="array" ref="AU6">INDEX('Rankings-Women'!$C:$C,MATCH(1,(AL6='Rankings-Women'!$D:$D)*(AM6='Rankings-Women'!$E:$E),0))</f>
        <v/>
      </c>
      <c r="AV6" s="188">
        <f t="shared" si="30"/>
        <v>0</v>
      </c>
      <c r="AW6" s="186"/>
      <c r="AX6" s="187"/>
      <c r="AY6" s="187"/>
      <c r="AZ6" s="187"/>
      <c r="BA6" s="187"/>
      <c r="BB6" s="187"/>
      <c r="BC6" s="187">
        <f>COUNTIF('Rankings-Women'!$L:$L,AY6)</f>
        <v>0</v>
      </c>
      <c r="BD6" s="187">
        <f t="shared" ref="BD6:BE6" si="48">IFNA(INDEX($P$83:$Q$112,MATCH(BA6,$P$83:$P114,0),2),0)</f>
        <v>0</v>
      </c>
      <c r="BE6" s="187">
        <f t="shared" si="48"/>
        <v>0</v>
      </c>
      <c r="BF6" s="187" t="str">
        <f t="array" ref="BF6">INDEX('Rankings-Women'!$C:$C,MATCH(1,(AW6='Rankings-Women'!$D:$D)*(AX6='Rankings-Women'!$E:$E),0))</f>
        <v/>
      </c>
      <c r="BG6" s="188">
        <f t="shared" si="32"/>
        <v>0</v>
      </c>
      <c r="BH6" s="186"/>
      <c r="BI6" s="187"/>
      <c r="BJ6" s="187"/>
      <c r="BK6" s="187"/>
      <c r="BL6" s="187"/>
      <c r="BM6" s="187"/>
      <c r="BN6" s="187">
        <f>COUNTIF('Rankings-Women'!$L:$L,BJ6)</f>
        <v>0</v>
      </c>
      <c r="BO6" s="187">
        <f t="shared" ref="BO6:BP6" si="49">IFNA(INDEX($P$83:$Q$112,MATCH(BL6,$P$83:$P114,0),2),0)</f>
        <v>0</v>
      </c>
      <c r="BP6" s="187">
        <f t="shared" si="49"/>
        <v>0</v>
      </c>
      <c r="BQ6" s="187" t="str">
        <f t="array" ref="BQ6">INDEX('Rankings-Women'!$C:$C,MATCH(1,(BH6='Rankings-Women'!$D:$D)*(BI6='Rankings-Women'!$E:$E),0))</f>
        <v/>
      </c>
      <c r="BR6" s="188">
        <f t="shared" si="34"/>
        <v>0</v>
      </c>
      <c r="BS6" s="186"/>
      <c r="BT6" s="187"/>
      <c r="BU6" s="187"/>
      <c r="BV6" s="187"/>
      <c r="BW6" s="187"/>
      <c r="BX6" s="187"/>
      <c r="BY6" s="187">
        <f>COUNTIF('Rankings-Women'!$L:$L,BU6)</f>
        <v>0</v>
      </c>
      <c r="BZ6" s="187">
        <f t="shared" ref="BZ6:CA6" si="50">IFNA(INDEX($P$83:$Q$112,MATCH(BW6,$P$83:$P114,0),2),0)</f>
        <v>0</v>
      </c>
      <c r="CA6" s="187">
        <f t="shared" si="50"/>
        <v>0</v>
      </c>
      <c r="CB6" s="187" t="str">
        <f t="array" ref="CB6">INDEX('Rankings-Women'!$C:$C,MATCH(1,(BS6='Rankings-Women'!$D:$D)*(BT6='Rankings-Women'!$E:$E),0))</f>
        <v/>
      </c>
      <c r="CC6" s="188">
        <f t="shared" si="36"/>
        <v>0</v>
      </c>
      <c r="CD6" s="186"/>
      <c r="CE6" s="187"/>
      <c r="CF6" s="187"/>
      <c r="CG6" s="187"/>
      <c r="CH6" s="187"/>
      <c r="CI6" s="187"/>
      <c r="CJ6" s="187">
        <f>COUNTIF('Rankings-Women'!$L:$L,CF6)</f>
        <v>0</v>
      </c>
      <c r="CK6" s="187">
        <f t="shared" ref="CK6:CL6" si="51">IFNA(INDEX($P$83:$Q$112,MATCH(CH6,$P$83:$P114,0),2),0)</f>
        <v>0</v>
      </c>
      <c r="CL6" s="187">
        <f t="shared" si="51"/>
        <v>0</v>
      </c>
      <c r="CM6" s="187" t="str">
        <f t="array" ref="CM6">INDEX('Rankings-Women'!$C:$C,MATCH(1,(CD6='Rankings-Women'!$D:$D)*(CE6='Rankings-Women'!$E:$E),0))</f>
        <v/>
      </c>
      <c r="CN6" s="188">
        <f t="shared" si="38"/>
        <v>0</v>
      </c>
      <c r="CO6" s="186"/>
      <c r="CP6" s="187"/>
      <c r="CQ6" s="187"/>
      <c r="CR6" s="187"/>
      <c r="CS6" s="187"/>
      <c r="CT6" s="187"/>
      <c r="CU6" s="187">
        <f>COUNTIF('Rankings-Women'!$L:$L,CQ6)</f>
        <v>0</v>
      </c>
      <c r="CV6" s="187">
        <f t="shared" ref="CV6:CW6" si="52">IFNA(INDEX($P$83:$Q$112,MATCH(CS6,$P$83:$P114,0),2),0)</f>
        <v>0</v>
      </c>
      <c r="CW6" s="187">
        <f t="shared" si="52"/>
        <v>0</v>
      </c>
      <c r="CX6" s="187" t="str">
        <f t="array" ref="CX6">INDEX('Rankings-Women'!$C:$C,MATCH(1,(CO6='Rankings-Women'!$D:$D)*(CP6='Rankings-Women'!$E:$E),0))</f>
        <v/>
      </c>
      <c r="CY6" s="188">
        <f t="shared" si="40"/>
        <v>0</v>
      </c>
      <c r="CZ6" s="186"/>
      <c r="DA6" s="187"/>
      <c r="DB6" s="187"/>
      <c r="DC6" s="187"/>
      <c r="DD6" s="187"/>
      <c r="DE6" s="187"/>
      <c r="DF6" s="187"/>
      <c r="DG6" s="187"/>
      <c r="DH6" s="187"/>
      <c r="DI6" s="187" t="str">
        <f t="array" ref="DI6">INDEX('Rankings-Women'!$C:$C,MATCH(1,(CZ6='Rankings-Women'!$D:$D)*(DA6='Rankings-Women'!$E:$E),0))</f>
        <v/>
      </c>
      <c r="DJ6" s="188">
        <f t="shared" si="53"/>
        <v>0</v>
      </c>
      <c r="DK6" s="186"/>
      <c r="DL6" s="187"/>
      <c r="DM6" s="187"/>
      <c r="DN6" s="187"/>
      <c r="DO6" s="187"/>
      <c r="DP6" s="187"/>
      <c r="DQ6" s="187">
        <f>COUNTIF('Rankings-Women'!$L:$L,DM6)</f>
        <v>0</v>
      </c>
      <c r="DR6" s="187">
        <f t="shared" ref="DR6:DS6" si="54">IFNA(INDEX($P$83:$Q$112,MATCH(DO6,$P$83:$P114,0),2),0)</f>
        <v>0</v>
      </c>
      <c r="DS6" s="187">
        <f t="shared" si="54"/>
        <v>0</v>
      </c>
      <c r="DT6" s="187" t="str">
        <f t="array" ref="DT6">INDEX('Rankings-Women'!$C:$C,MATCH(1,(DK6='Rankings-Women'!$D:$D)*(DL6='Rankings-Women'!$E:$E),0))</f>
        <v/>
      </c>
      <c r="DU6" s="188">
        <f t="shared" si="43"/>
        <v>0</v>
      </c>
    </row>
    <row r="7">
      <c r="A7" s="190" t="s">
        <v>761</v>
      </c>
      <c r="B7" s="187">
        <f>nuwpot</f>
        <v>0</v>
      </c>
      <c r="C7" s="187"/>
      <c r="D7" s="188">
        <f>nuwact</f>
        <v>0</v>
      </c>
      <c r="E7" s="186"/>
      <c r="F7" s="187"/>
      <c r="G7" s="187"/>
      <c r="H7" s="187"/>
      <c r="I7" s="187"/>
      <c r="J7" s="187"/>
      <c r="K7" s="187">
        <f>COUNTIF('Rankings-Women'!$L:$L,G7)</f>
        <v>0</v>
      </c>
      <c r="L7" s="187">
        <f t="shared" ref="L7:M7" si="55">IFNA(INDEX($P$83:$Q$112,MATCH(I7,$P$83:$P115,0),2),0)</f>
        <v>0</v>
      </c>
      <c r="M7" s="187">
        <f t="shared" si="55"/>
        <v>0</v>
      </c>
      <c r="N7" s="187" t="str">
        <f t="array" ref="N7">INDEX('Rankings-Women'!$C:$C,MATCH(1,(E7='Rankings-Women'!$D:$D)*(F7='Rankings-Women'!$E:$E),0))</f>
        <v/>
      </c>
      <c r="O7" s="188">
        <f t="shared" si="24"/>
        <v>0</v>
      </c>
      <c r="P7" s="186"/>
      <c r="Q7" s="187"/>
      <c r="R7" s="187"/>
      <c r="S7" s="187"/>
      <c r="T7" s="187"/>
      <c r="U7" s="187"/>
      <c r="V7" s="187">
        <f>COUNTIF('Rankings-Women'!$L:$L,R7)</f>
        <v>0</v>
      </c>
      <c r="W7" s="187">
        <f t="shared" ref="W7:X7" si="56">IFNA(INDEX($P$83:$Q$112,MATCH(T7,$P$83:$P115,0),2),0)</f>
        <v>0</v>
      </c>
      <c r="X7" s="187">
        <f t="shared" si="56"/>
        <v>0</v>
      </c>
      <c r="Y7" s="187" t="str">
        <f t="array" ref="Y7">INDEX('Rankings-Women'!$C:$C,MATCH(1,(P7='Rankings-Women'!$D:$D)*(Q7='Rankings-Women'!$E:$E),0))</f>
        <v/>
      </c>
      <c r="Z7" s="188">
        <f t="shared" si="26"/>
        <v>0</v>
      </c>
      <c r="AA7" s="186"/>
      <c r="AB7" s="187"/>
      <c r="AC7" s="187"/>
      <c r="AD7" s="187"/>
      <c r="AE7" s="187"/>
      <c r="AF7" s="187"/>
      <c r="AG7" s="187">
        <f>COUNTIF('Rankings-Women'!$L:$L,AC7)</f>
        <v>0</v>
      </c>
      <c r="AH7" s="187">
        <f t="shared" ref="AH7:AI7" si="57">IFNA(INDEX($P$83:$Q$112,MATCH(AE7,$P$83:$P115,0),2),0)</f>
        <v>0</v>
      </c>
      <c r="AI7" s="187">
        <f t="shared" si="57"/>
        <v>0</v>
      </c>
      <c r="AJ7" s="187" t="str">
        <f t="array" ref="AJ7">INDEX('Rankings-Women'!$C:$C,MATCH(1,(AA7='Rankings-Women'!$D:$D)*(AB7='Rankings-Women'!$E:$E),0))</f>
        <v/>
      </c>
      <c r="AK7" s="188">
        <f t="shared" si="28"/>
        <v>0</v>
      </c>
      <c r="AL7" s="186"/>
      <c r="AM7" s="187"/>
      <c r="AN7" s="187"/>
      <c r="AO7" s="187"/>
      <c r="AP7" s="187"/>
      <c r="AQ7" s="187"/>
      <c r="AR7" s="187">
        <f>COUNTIF('Rankings-Women'!$L:$L,AN7)</f>
        <v>0</v>
      </c>
      <c r="AS7" s="187">
        <f t="shared" ref="AS7:AT7" si="58">IFNA(INDEX($P$83:$Q$112,MATCH(AP7,$P$83:$P115,0),2),0)</f>
        <v>0</v>
      </c>
      <c r="AT7" s="187">
        <f t="shared" si="58"/>
        <v>0</v>
      </c>
      <c r="AU7" s="187" t="str">
        <f t="array" ref="AU7">INDEX('Rankings-Women'!$C:$C,MATCH(1,(AL7='Rankings-Women'!$D:$D)*(AM7='Rankings-Women'!$E:$E),0))</f>
        <v/>
      </c>
      <c r="AV7" s="188">
        <f t="shared" si="30"/>
        <v>0</v>
      </c>
      <c r="AW7" s="186"/>
      <c r="AX7" s="187"/>
      <c r="AY7" s="187"/>
      <c r="AZ7" s="187"/>
      <c r="BA7" s="187"/>
      <c r="BB7" s="187"/>
      <c r="BC7" s="187">
        <f>COUNTIF('Rankings-Women'!$L:$L,AY7)</f>
        <v>0</v>
      </c>
      <c r="BD7" s="187">
        <f t="shared" ref="BD7:BE7" si="59">IFNA(INDEX($P$83:$Q$112,MATCH(BA7,$P$83:$P115,0),2),0)</f>
        <v>0</v>
      </c>
      <c r="BE7" s="187">
        <f t="shared" si="59"/>
        <v>0</v>
      </c>
      <c r="BF7" s="187" t="str">
        <f t="array" ref="BF7">INDEX('Rankings-Women'!$C:$C,MATCH(1,(AW7='Rankings-Women'!$D:$D)*(AX7='Rankings-Women'!$E:$E),0))</f>
        <v/>
      </c>
      <c r="BG7" s="188">
        <f t="shared" si="32"/>
        <v>0</v>
      </c>
      <c r="BH7" s="186"/>
      <c r="BI7" s="187"/>
      <c r="BJ7" s="187"/>
      <c r="BK7" s="187"/>
      <c r="BL7" s="187"/>
      <c r="BM7" s="187"/>
      <c r="BN7" s="187"/>
      <c r="BO7" s="187"/>
      <c r="BP7" s="187"/>
      <c r="BQ7" s="187" t="str">
        <f t="array" ref="BQ7">INDEX('Rankings-Women'!$C:$C,MATCH(1,(BH7='Rankings-Women'!$D:$D)*(BI7='Rankings-Women'!$E:$E),0))</f>
        <v/>
      </c>
      <c r="BR7" s="188"/>
      <c r="BS7" s="186"/>
      <c r="BT7" s="187"/>
      <c r="BU7" s="187"/>
      <c r="BV7" s="187"/>
      <c r="BW7" s="187"/>
      <c r="BX7" s="187"/>
      <c r="BY7" s="187">
        <f>COUNTIF('Rankings-Women'!$L:$L,BU7)</f>
        <v>0</v>
      </c>
      <c r="BZ7" s="187">
        <f t="shared" ref="BZ7:CA7" si="60">IFNA(INDEX($P$83:$Q$112,MATCH(BW7,$P$83:$P115,0),2),0)</f>
        <v>0</v>
      </c>
      <c r="CA7" s="187">
        <f t="shared" si="60"/>
        <v>0</v>
      </c>
      <c r="CB7" s="187" t="str">
        <f t="array" ref="CB7">INDEX('Rankings-Women'!$C:$C,MATCH(1,(BS7='Rankings-Women'!$D:$D)*(BT7='Rankings-Women'!$E:$E),0))</f>
        <v/>
      </c>
      <c r="CC7" s="188">
        <f t="shared" si="36"/>
        <v>0</v>
      </c>
      <c r="CD7" s="186"/>
      <c r="CE7" s="187"/>
      <c r="CF7" s="187"/>
      <c r="CG7" s="187"/>
      <c r="CH7" s="187"/>
      <c r="CI7" s="187"/>
      <c r="CJ7" s="187">
        <f>COUNTIF('Rankings-Women'!$L:$L,CF7)</f>
        <v>0</v>
      </c>
      <c r="CK7" s="187">
        <f t="shared" ref="CK7:CL7" si="61">IFNA(INDEX($P$83:$Q$112,MATCH(CH7,$P$83:$P115,0),2),0)</f>
        <v>0</v>
      </c>
      <c r="CL7" s="187">
        <f t="shared" si="61"/>
        <v>0</v>
      </c>
      <c r="CM7" s="187" t="str">
        <f t="array" ref="CM7">INDEX('Rankings-Women'!$C:$C,MATCH(1,(CD7='Rankings-Women'!$D:$D)*(CE7='Rankings-Women'!$E:$E),0))</f>
        <v/>
      </c>
      <c r="CN7" s="188">
        <f t="shared" si="38"/>
        <v>0</v>
      </c>
      <c r="CO7" s="186"/>
      <c r="CP7" s="187"/>
      <c r="CQ7" s="187"/>
      <c r="CR7" s="187"/>
      <c r="CS7" s="187"/>
      <c r="CT7" s="187"/>
      <c r="CU7" s="187">
        <f>COUNTIF('Rankings-Women'!$L:$L,CQ7)</f>
        <v>0</v>
      </c>
      <c r="CV7" s="187">
        <f t="shared" ref="CV7:CW7" si="62">IFNA(INDEX($P$83:$Q$112,MATCH(CS7,$P$83:$P115,0),2),0)</f>
        <v>0</v>
      </c>
      <c r="CW7" s="187">
        <f t="shared" si="62"/>
        <v>0</v>
      </c>
      <c r="CX7" s="187" t="str">
        <f t="array" ref="CX7">INDEX('Rankings-Women'!$C:$C,MATCH(1,(CO7='Rankings-Women'!$D:$D)*(CP7='Rankings-Women'!$E:$E),0))</f>
        <v/>
      </c>
      <c r="CY7" s="188">
        <f t="shared" si="40"/>
        <v>0</v>
      </c>
      <c r="CZ7" s="186"/>
      <c r="DA7" s="187"/>
      <c r="DB7" s="187"/>
      <c r="DC7" s="187"/>
      <c r="DD7" s="187"/>
      <c r="DE7" s="187"/>
      <c r="DF7" s="187"/>
      <c r="DG7" s="187"/>
      <c r="DH7" s="187"/>
      <c r="DI7" s="187" t="str">
        <f t="array" ref="DI7">INDEX('Rankings-Women'!$C:$C,MATCH(1,(CZ7='Rankings-Women'!$D:$D)*(DA7='Rankings-Women'!$E:$E),0))</f>
        <v/>
      </c>
      <c r="DJ7" s="188"/>
      <c r="DK7" s="186"/>
      <c r="DL7" s="187"/>
      <c r="DM7" s="187"/>
      <c r="DN7" s="187"/>
      <c r="DO7" s="187"/>
      <c r="DP7" s="187"/>
      <c r="DQ7" s="187">
        <f>COUNTIF('Rankings-Women'!$L:$L,DM7)</f>
        <v>0</v>
      </c>
      <c r="DR7" s="187">
        <f t="shared" ref="DR7:DS7" si="63">IFNA(INDEX($P$83:$Q$112,MATCH(DO7,$P$83:$P115,0),2),0)</f>
        <v>0</v>
      </c>
      <c r="DS7" s="187">
        <f t="shared" si="63"/>
        <v>0</v>
      </c>
      <c r="DT7" s="187" t="str">
        <f t="array" ref="DT7">INDEX('Rankings-Women'!$C:$C,MATCH(1,(DK7='Rankings-Women'!$D:$D)*(DL7='Rankings-Women'!$E:$E),0))</f>
        <v/>
      </c>
      <c r="DU7" s="188">
        <f t="shared" si="43"/>
        <v>0</v>
      </c>
    </row>
    <row r="8">
      <c r="A8" s="189" t="s">
        <v>762</v>
      </c>
      <c r="B8" s="191">
        <f>LtechwPot</f>
        <v>0</v>
      </c>
      <c r="C8" s="191"/>
      <c r="D8" s="192">
        <f>LTechwact</f>
        <v>0</v>
      </c>
      <c r="E8" s="187"/>
      <c r="F8" s="187"/>
      <c r="G8" s="187"/>
      <c r="H8" s="187"/>
      <c r="I8" s="187"/>
      <c r="J8" s="187"/>
      <c r="K8" s="187">
        <f>COUNTIF('Rankings-Women'!$L:$L,G8)</f>
        <v>0</v>
      </c>
      <c r="L8" s="187">
        <f t="array" ref="L8">IFNA(INDEX($P$83:$Q$112,MATCH(I8,$P$83:$P115,0),2),0)</f>
        <v>0</v>
      </c>
      <c r="M8" s="187">
        <f t="shared" ref="M8:M25" si="65">IFNA(INDEX($P$83:$Q$112,MATCH(J8,$P$83:$P116,0),2),0)</f>
        <v>0</v>
      </c>
      <c r="N8" s="187" t="str">
        <f t="array" ref="N8">INDEX('Rankings-Women'!$C:$C,MATCH(1,(E8='Rankings-Women'!$D:$D)*(F8='Rankings-Women'!$E:$E),0))</f>
        <v/>
      </c>
      <c r="O8" s="188">
        <f t="array" ref="O8">IFNA(INDEX($P$83:$Q$112,MATCH(N8,$P$83:$P115,0),2),0)</f>
        <v>0</v>
      </c>
      <c r="P8" s="187"/>
      <c r="Q8" s="187"/>
      <c r="R8" s="187"/>
      <c r="S8" s="187"/>
      <c r="T8" s="187"/>
      <c r="U8" s="187"/>
      <c r="V8" s="187">
        <f>COUNTIF('Rankings-Women'!$L:$L,R8)</f>
        <v>0</v>
      </c>
      <c r="W8" s="187">
        <f t="array" ref="W8">IFNA(INDEX($P$83:$Q$112,MATCH(T8,$P$83:$P115,0),2),0)</f>
        <v>0</v>
      </c>
      <c r="X8" s="187">
        <f t="shared" ref="X8:X12" si="66">IFNA(INDEX($P$83:$Q$112,MATCH(U8,$P$83:$P116,0),2),0)</f>
        <v>0</v>
      </c>
      <c r="Y8" s="187" t="str">
        <f t="array" ref="Y8">INDEX('Rankings-Women'!$C:$C,MATCH(1,(P8='Rankings-Women'!$D:$D)*(Q8='Rankings-Women'!$E:$E),0))</f>
        <v/>
      </c>
      <c r="Z8" s="188">
        <f t="array" ref="Z8">IFNA(INDEX($P$83:$Q$112,MATCH(Y8,$P$83:$P115,0),2),0)</f>
        <v>0</v>
      </c>
      <c r="AA8" s="187"/>
      <c r="AB8" s="187"/>
      <c r="AC8" s="187"/>
      <c r="AD8" s="187"/>
      <c r="AE8" s="187"/>
      <c r="AF8" s="187"/>
      <c r="AG8" s="187">
        <f>COUNTIF('Rankings-Women'!$L:$L,AC8)</f>
        <v>0</v>
      </c>
      <c r="AH8" s="187">
        <f t="shared" ref="AH8:AI8" si="64">IFNA(INDEX($P$83:$Q$112,MATCH(AE8,$P$83:$P116,0),2),0)</f>
        <v>0</v>
      </c>
      <c r="AI8" s="187">
        <f t="shared" si="64"/>
        <v>0</v>
      </c>
      <c r="AJ8" s="187" t="str">
        <f t="array" ref="AJ8">INDEX('Rankings-Women'!$C:$C,MATCH(1,(AA8='Rankings-Women'!$D:$D)*(AB8='Rankings-Women'!$E:$E),0))</f>
        <v/>
      </c>
      <c r="AK8" s="188">
        <f t="array" ref="AK8">IFNA(INDEX($P$83:$Q$112,MATCH(AJ8,$P$83:$P115,0),2),0)</f>
        <v>0</v>
      </c>
      <c r="AL8" s="187"/>
      <c r="AM8" s="187"/>
      <c r="AN8" s="187"/>
      <c r="AO8" s="187"/>
      <c r="AP8" s="187"/>
      <c r="AQ8" s="187"/>
      <c r="AR8" s="187">
        <f>COUNTIF('Rankings-Women'!$L:$L,AN8)</f>
        <v>0</v>
      </c>
      <c r="AS8" s="187">
        <f t="array" ref="AS8">IFNA(INDEX($P$83:$Q$112,MATCH(AP8,$P$83:$P115,0),2),0)</f>
        <v>0</v>
      </c>
      <c r="AT8" s="187">
        <f t="shared" ref="AT8:AT12" si="68">IFNA(INDEX($P$83:$Q$112,MATCH(AQ8,$P$83:$P116,0),2),0)</f>
        <v>0</v>
      </c>
      <c r="AU8" s="187" t="str">
        <f t="array" ref="AU8">INDEX('Rankings-Women'!$C:$C,MATCH(1,(AL8='Rankings-Women'!$D:$D)*(AM8='Rankings-Women'!$E:$E),0))</f>
        <v/>
      </c>
      <c r="AV8" s="188">
        <f t="array" ref="AV8">IFNA(INDEX($P$83:$Q$112,MATCH(AU8,$P$83:$P115,0),2),0)</f>
        <v>0</v>
      </c>
      <c r="AW8" s="187"/>
      <c r="AX8" s="187"/>
      <c r="AY8" s="187"/>
      <c r="AZ8" s="187"/>
      <c r="BA8" s="187"/>
      <c r="BB8" s="187"/>
      <c r="BC8" s="187">
        <f>COUNTIF('Rankings-Women'!$L:$L,AY8)</f>
        <v>0</v>
      </c>
      <c r="BD8" s="187">
        <f t="array" ref="BD8">IFNA(INDEX($P$83:$Q$112,MATCH(BA8,$P$83:$P115,0),2),0)</f>
        <v>0</v>
      </c>
      <c r="BE8" s="187">
        <f t="shared" ref="BE8:BE18" si="69">IFNA(INDEX($P$83:$Q$112,MATCH(BB8,$P$83:$P116,0),2),0)</f>
        <v>0</v>
      </c>
      <c r="BF8" s="187" t="str">
        <f t="array" ref="BF8">INDEX('Rankings-Women'!$C:$C,MATCH(1,(AW8='Rankings-Women'!$D:$D)*(AX8='Rankings-Women'!$E:$E),0))</f>
        <v/>
      </c>
      <c r="BG8" s="188">
        <f t="array" ref="BG8">IFNA(INDEX($P$83:$Q$112,MATCH(BF8,$P$83:$P115,0),2),0)</f>
        <v>0</v>
      </c>
      <c r="BH8" s="187"/>
      <c r="BI8" s="187"/>
      <c r="BJ8" s="187"/>
      <c r="BK8" s="187"/>
      <c r="BL8" s="187"/>
      <c r="BM8" s="187"/>
      <c r="BN8" s="187"/>
      <c r="BO8" s="187"/>
      <c r="BP8" s="187"/>
      <c r="BQ8" s="187" t="str">
        <f t="array" ref="BQ8">INDEX('Rankings-Women'!$C:$C,MATCH(1,(BH8='Rankings-Women'!$D:$D)*(BI8='Rankings-Women'!$E:$E),0))</f>
        <v/>
      </c>
      <c r="BR8" s="188"/>
      <c r="BS8" s="187"/>
      <c r="BT8" s="187"/>
      <c r="BU8" s="187"/>
      <c r="BV8" s="187"/>
      <c r="BW8" s="187"/>
      <c r="BX8" s="187"/>
      <c r="BY8" s="187">
        <f>COUNTIF('Rankings-Women'!$L:$L,BU8)</f>
        <v>0</v>
      </c>
      <c r="BZ8" s="187">
        <f t="array" ref="BZ8">IFNA(INDEX($P$83:$Q$112,MATCH(BW8,$P$83:$P115,0),2),0)</f>
        <v>0</v>
      </c>
      <c r="CA8" s="187">
        <f t="shared" ref="CA8:CA15" si="70">IFNA(INDEX($P$83:$Q$112,MATCH(BX8,$P$83:$P116,0),2),0)</f>
        <v>0</v>
      </c>
      <c r="CB8" s="187" t="str">
        <f t="array" ref="CB8">INDEX('Rankings-Women'!$C:$C,MATCH(1,(BS8='Rankings-Women'!$D:$D)*(BT8='Rankings-Women'!$E:$E),0))</f>
        <v/>
      </c>
      <c r="CC8" s="188">
        <f t="shared" ref="CC8:CC9" si="71">IFNA(INDEX($P$83:$Q$112,MATCH(CB8,$P$83:$P115,0),2),0)</f>
        <v>0</v>
      </c>
      <c r="CD8" s="187"/>
      <c r="CE8" s="187"/>
      <c r="CF8" s="187"/>
      <c r="CG8" s="187"/>
      <c r="CH8" s="187"/>
      <c r="CI8" s="187"/>
      <c r="CJ8" s="187">
        <f>COUNTIF('Rankings-Women'!$L:$L,CF8)</f>
        <v>0</v>
      </c>
      <c r="CK8" s="187">
        <f t="array" ref="CK8">IFNA(INDEX($P$83:$Q$112,MATCH(CH8,$P$83:$P115,0),2),0)</f>
        <v>0</v>
      </c>
      <c r="CL8" s="187">
        <f t="shared" ref="CL8:CL11" si="72">IFNA(INDEX($P$83:$Q$112,MATCH(CI8,$P$83:$P116,0),2),0)</f>
        <v>0</v>
      </c>
      <c r="CM8" s="187" t="str">
        <f t="array" ref="CM8">INDEX('Rankings-Women'!$C:$C,MATCH(1,(CD8='Rankings-Women'!$D:$D)*(CE8='Rankings-Women'!$E:$E),0))</f>
        <v/>
      </c>
      <c r="CN8" s="188">
        <f t="array" ref="CN8">IFNA(INDEX($P$83:$Q$112,MATCH(CM8,$P$83:$P115,0),2),0)</f>
        <v>0</v>
      </c>
      <c r="CO8" s="187"/>
      <c r="CP8" s="187"/>
      <c r="CQ8" s="187"/>
      <c r="CR8" s="187"/>
      <c r="CS8" s="187"/>
      <c r="CT8" s="187"/>
      <c r="CU8" s="187">
        <f>COUNTIF('Rankings-Women'!$L:$L,CQ8)</f>
        <v>0</v>
      </c>
      <c r="CV8" s="187">
        <f t="array" ref="CV8">IFNA(INDEX($P$83:$Q$112,MATCH(CS8,$P$83:$P115,0),2),0)</f>
        <v>0</v>
      </c>
      <c r="CW8" s="187">
        <f t="shared" ref="CW8:CW19" si="73">IFNA(INDEX($P$83:$Q$112,MATCH(CT8,$P$83:$P116,0),2),0)</f>
        <v>0</v>
      </c>
      <c r="CX8" s="187"/>
      <c r="CY8" s="188"/>
      <c r="CZ8" s="187"/>
      <c r="DA8" s="187"/>
      <c r="DB8" s="187"/>
      <c r="DC8" s="187"/>
      <c r="DD8" s="187"/>
      <c r="DE8" s="187"/>
      <c r="DF8" s="187"/>
      <c r="DG8" s="187"/>
      <c r="DH8" s="187"/>
      <c r="DI8" s="187" t="str">
        <f t="array" ref="DI8">INDEX('Rankings-Women'!$C:$C,MATCH(1,(CZ8='Rankings-Women'!$D:$D)*(DA8='Rankings-Women'!$E:$E),0))</f>
        <v/>
      </c>
      <c r="DJ8" s="188"/>
      <c r="DK8" s="187"/>
      <c r="DL8" s="187"/>
      <c r="DM8" s="187"/>
      <c r="DN8" s="187"/>
      <c r="DO8" s="187"/>
      <c r="DP8" s="187"/>
      <c r="DQ8" s="187"/>
      <c r="DR8" s="187"/>
      <c r="DS8" s="187"/>
      <c r="DT8" s="187" t="str">
        <f t="array" ref="DT8">INDEX('Rankings-Women'!$C:$C,MATCH(1,(DK8='Rankings-Women'!$D:$D)*(DL8='Rankings-Women'!$E:$E),0))</f>
        <v/>
      </c>
      <c r="DU8" s="188"/>
    </row>
    <row r="9">
      <c r="A9" s="190" t="s">
        <v>769</v>
      </c>
      <c r="B9" s="187">
        <f>utsawpot</f>
        <v>0</v>
      </c>
      <c r="C9" s="187"/>
      <c r="D9" s="188">
        <f>utsawact</f>
        <v>0</v>
      </c>
      <c r="E9" s="187"/>
      <c r="F9" s="187"/>
      <c r="G9" s="187"/>
      <c r="H9" s="187"/>
      <c r="I9" s="187"/>
      <c r="J9" s="187"/>
      <c r="K9" s="187">
        <f>COUNTIF('Rankings-Women'!$L:$L,G9)</f>
        <v>0</v>
      </c>
      <c r="L9" s="187">
        <f t="array" ref="L9">IFNA(INDEX($P$83:$Q$112,MATCH(I9,$P$83:$P115,0),2),0)</f>
        <v>0</v>
      </c>
      <c r="M9" s="187">
        <f t="shared" si="65"/>
        <v>0</v>
      </c>
      <c r="N9" s="187" t="str">
        <f t="array" ref="N9">INDEX('Rankings-Women'!$C:$C,MATCH(1,(E9='Rankings-Women'!$D:$D)*(F9='Rankings-Women'!$E:$E),0))</f>
        <v/>
      </c>
      <c r="O9" s="188">
        <f t="array" ref="O9">IFNA(INDEX($P$83:$Q$112,MATCH(N9,$P$83:$P115,0),2),0)</f>
        <v>0</v>
      </c>
      <c r="P9" s="187"/>
      <c r="Q9" s="187"/>
      <c r="R9" s="187"/>
      <c r="S9" s="187"/>
      <c r="T9" s="187"/>
      <c r="U9" s="187"/>
      <c r="V9" s="187">
        <f>COUNTIF('Rankings-Women'!$L:$L,R9)</f>
        <v>0</v>
      </c>
      <c r="W9" s="187">
        <f t="array" ref="W9">IFNA(INDEX($P$83:$Q$112,MATCH(T9,$P$83:$P115,0),2),0)</f>
        <v>0</v>
      </c>
      <c r="X9" s="187">
        <f t="shared" si="66"/>
        <v>0</v>
      </c>
      <c r="Y9" s="187"/>
      <c r="Z9" s="188"/>
      <c r="AA9" s="187"/>
      <c r="AB9" s="187"/>
      <c r="AC9" s="187"/>
      <c r="AD9" s="187"/>
      <c r="AE9" s="187"/>
      <c r="AF9" s="187"/>
      <c r="AG9" s="187">
        <f>COUNTIF('Rankings-Women'!$L:$L,AC9)</f>
        <v>0</v>
      </c>
      <c r="AH9" s="187">
        <f t="shared" ref="AH9:AI9" si="67">IFNA(INDEX($P$83:$Q$112,MATCH(AE9,$P$83:$P117,0),2),0)</f>
        <v>0</v>
      </c>
      <c r="AI9" s="187">
        <f t="shared" si="67"/>
        <v>0</v>
      </c>
      <c r="AJ9" s="187" t="str">
        <f t="array" ref="AJ9">INDEX('Rankings-Women'!$C:$C,MATCH(1,(AA9='Rankings-Women'!$D:$D)*(AB9='Rankings-Women'!$E:$E),0))</f>
        <v/>
      </c>
      <c r="AK9" s="188">
        <f t="array" ref="AK9">IFNA(INDEX($P$83:$Q$112,MATCH(AJ9,$P$83:$P115,0),2),0)</f>
        <v>0</v>
      </c>
      <c r="AL9" s="187"/>
      <c r="AM9" s="187"/>
      <c r="AN9" s="187"/>
      <c r="AO9" s="187"/>
      <c r="AP9" s="187"/>
      <c r="AQ9" s="187"/>
      <c r="AR9" s="187">
        <f>COUNTIF('Rankings-Women'!$L:$L,AN9)</f>
        <v>0</v>
      </c>
      <c r="AS9" s="187">
        <f t="array" ref="AS9">IFNA(INDEX($P$83:$Q$112,MATCH(AP9,$P$83:$P115,0),2),0)</f>
        <v>0</v>
      </c>
      <c r="AT9" s="187">
        <f t="shared" si="68"/>
        <v>0</v>
      </c>
      <c r="AU9" s="187" t="str">
        <f t="array" ref="AU9">INDEX('Rankings-Women'!$C:$C,MATCH(1,(AL9='Rankings-Women'!$D:$D)*(AM9='Rankings-Women'!$E:$E),0))</f>
        <v/>
      </c>
      <c r="AV9" s="188">
        <f t="array" ref="AV9">IFNA(INDEX($P$83:$Q$112,MATCH(AU9,$P$83:$P115,0),2),0)</f>
        <v>0</v>
      </c>
      <c r="AW9" s="187"/>
      <c r="AX9" s="187"/>
      <c r="AY9" s="187"/>
      <c r="AZ9" s="187"/>
      <c r="BA9" s="187"/>
      <c r="BB9" s="187"/>
      <c r="BC9" s="187">
        <f>COUNTIF('Rankings-Women'!$L:$L,AY9)</f>
        <v>0</v>
      </c>
      <c r="BD9" s="187">
        <f t="array" ref="BD9">IFNA(INDEX($P$83:$Q$112,MATCH(BA9,$P$83:$P115,0),2),0)</f>
        <v>0</v>
      </c>
      <c r="BE9" s="187">
        <f t="shared" si="69"/>
        <v>0</v>
      </c>
      <c r="BF9" s="187"/>
      <c r="BG9" s="188"/>
      <c r="BH9" s="187"/>
      <c r="BI9" s="187"/>
      <c r="BJ9" s="187"/>
      <c r="BK9" s="187"/>
      <c r="BL9" s="187"/>
      <c r="BM9" s="187"/>
      <c r="BN9" s="187"/>
      <c r="BO9" s="187"/>
      <c r="BP9" s="187"/>
      <c r="BQ9" s="187" t="str">
        <f t="array" ref="BQ9">INDEX('Rankings-Women'!$C:$C,MATCH(1,(BH9='Rankings-Women'!$D:$D)*(BI9='Rankings-Women'!$E:$E),0))</f>
        <v/>
      </c>
      <c r="BR9" s="188"/>
      <c r="BS9" s="187"/>
      <c r="BT9" s="187"/>
      <c r="BU9" s="187"/>
      <c r="BV9" s="187"/>
      <c r="BW9" s="187"/>
      <c r="BX9" s="187"/>
      <c r="BY9" s="187">
        <f>COUNTIF('Rankings-Women'!$L:$L,BU9)</f>
        <v>0</v>
      </c>
      <c r="BZ9" s="187">
        <f t="array" ref="BZ9">IFNA(INDEX($P$83:$Q$112,MATCH(BW9,$P$83:$P115,0),2),0)</f>
        <v>0</v>
      </c>
      <c r="CA9" s="187">
        <f t="shared" si="70"/>
        <v>0</v>
      </c>
      <c r="CB9" s="187" t="str">
        <f t="array" ref="CB9">INDEX('Rankings-Women'!$C:$C,MATCH(1,(BS9='Rankings-Women'!$D:$D)*(BT9='Rankings-Women'!$E:$E),0))</f>
        <v/>
      </c>
      <c r="CC9" s="188">
        <f t="shared" si="71"/>
        <v>0</v>
      </c>
      <c r="CD9" s="187"/>
      <c r="CE9" s="187"/>
      <c r="CF9" s="187"/>
      <c r="CG9" s="187"/>
      <c r="CH9" s="187"/>
      <c r="CI9" s="187"/>
      <c r="CJ9" s="187">
        <f>COUNTIF('Rankings-Women'!$L:$L,CF9)</f>
        <v>0</v>
      </c>
      <c r="CK9" s="187">
        <f t="array" ref="CK9">IFNA(INDEX($P$83:$Q$112,MATCH(CH9,$P$83:$P115,0),2),0)</f>
        <v>0</v>
      </c>
      <c r="CL9" s="187">
        <f t="shared" si="72"/>
        <v>0</v>
      </c>
      <c r="CM9" s="187" t="str">
        <f t="array" ref="CM9">INDEX('Rankings-Women'!$C:$C,MATCH(1,(CD9='Rankings-Women'!$D:$D)*(CE9='Rankings-Women'!$E:$E),0))</f>
        <v/>
      </c>
      <c r="CN9" s="188">
        <f t="array" ref="CN9">IFNA(INDEX($P$83:$Q$112,MATCH(CM9,$P$83:$P115,0),2),0)</f>
        <v>0</v>
      </c>
      <c r="CO9" s="187"/>
      <c r="CP9" s="187"/>
      <c r="CQ9" s="187"/>
      <c r="CR9" s="187"/>
      <c r="CS9" s="187"/>
      <c r="CT9" s="187"/>
      <c r="CU9" s="187">
        <f>COUNTIF('Rankings-Women'!$L:$L,CQ9)</f>
        <v>0</v>
      </c>
      <c r="CV9" s="187">
        <f t="array" ref="CV9">IFNA(INDEX($P$83:$Q$112,MATCH(CS9,$P$83:$P115,0),2),0)</f>
        <v>0</v>
      </c>
      <c r="CW9" s="187">
        <f t="shared" si="73"/>
        <v>0</v>
      </c>
      <c r="CX9" s="187" t="str">
        <f t="array" ref="CX9">INDEX('Rankings-Women'!$C:$C,MATCH(1,(CO9='Rankings-Women'!$D:$D)*(CP9='Rankings-Women'!$E:$E),0))</f>
        <v/>
      </c>
      <c r="CY9" s="188">
        <f t="array" ref="CY9">IFNA(INDEX($P$83:$Q$112,MATCH(CX9,$P$83:$P115,0),2),0)</f>
        <v>0</v>
      </c>
      <c r="CZ9" s="187"/>
      <c r="DA9" s="187"/>
      <c r="DB9" s="187"/>
      <c r="DC9" s="187"/>
      <c r="DD9" s="187"/>
      <c r="DE9" s="187"/>
      <c r="DF9" s="187"/>
      <c r="DG9" s="187"/>
      <c r="DH9" s="187"/>
      <c r="DI9" s="187" t="str">
        <f t="array" ref="DI9">INDEX('Rankings-Women'!$C:$C,MATCH(1,(CZ9='Rankings-Women'!$D:$D)*(DA9='Rankings-Women'!$E:$E),0))</f>
        <v/>
      </c>
      <c r="DJ9" s="188"/>
      <c r="DK9" s="187"/>
      <c r="DL9" s="187"/>
      <c r="DM9" s="187"/>
      <c r="DN9" s="187"/>
      <c r="DO9" s="187"/>
      <c r="DP9" s="187"/>
      <c r="DQ9" s="187"/>
      <c r="DR9" s="187"/>
      <c r="DS9" s="187"/>
      <c r="DT9" s="187" t="str">
        <f t="array" ref="DT9">INDEX('Rankings-Women'!$C:$C,MATCH(1,(DK9='Rankings-Women'!$D:$D)*(DL9='Rankings-Women'!$E:$E),0))</f>
        <v/>
      </c>
      <c r="DU9" s="188"/>
    </row>
    <row r="10">
      <c r="A10" s="190" t="s">
        <v>767</v>
      </c>
      <c r="B10" s="187">
        <f>longhornwpot</f>
        <v>0</v>
      </c>
      <c r="C10" s="187"/>
      <c r="D10" s="188">
        <f>longhornwact</f>
        <v>0</v>
      </c>
      <c r="E10" s="187"/>
      <c r="F10" s="187"/>
      <c r="G10" s="187"/>
      <c r="H10" s="187"/>
      <c r="I10" s="187"/>
      <c r="J10" s="187"/>
      <c r="K10" s="187">
        <f>COUNTIF('Rankings-Women'!$L:$L,G10)</f>
        <v>0</v>
      </c>
      <c r="L10" s="187">
        <f t="array" ref="L10">IFNA(INDEX($P$83:$Q$112,MATCH(I10,$P$83:$P115,0),2),0)</f>
        <v>0</v>
      </c>
      <c r="M10" s="187">
        <f t="shared" si="65"/>
        <v>0</v>
      </c>
      <c r="N10" s="187" t="str">
        <f t="array" ref="N10">INDEX('Rankings-Women'!$C:$C,MATCH(1,(E10='Rankings-Women'!$D:$D)*(F10='Rankings-Women'!$E:$E),0))</f>
        <v/>
      </c>
      <c r="O10" s="188">
        <f t="array" ref="O10">IFNA(INDEX($P$83:$Q$112,MATCH(N10,$P$83:$P115,0),2),0)</f>
        <v>0</v>
      </c>
      <c r="P10" s="187"/>
      <c r="Q10" s="187"/>
      <c r="R10" s="187"/>
      <c r="S10" s="187"/>
      <c r="T10" s="187"/>
      <c r="U10" s="187"/>
      <c r="V10" s="187">
        <f>COUNTIF('Rankings-Women'!$L:$L,R10)</f>
        <v>0</v>
      </c>
      <c r="W10" s="187">
        <f t="array" ref="W10">IFNA(INDEX($P$83:$Q$112,MATCH(T10,$P$83:$P115,0),2),0)</f>
        <v>0</v>
      </c>
      <c r="X10" s="187">
        <f t="shared" si="66"/>
        <v>0</v>
      </c>
      <c r="Y10" s="187" t="str">
        <f t="array" ref="Y10">INDEX('Rankings-Women'!$C:$C,MATCH(1,(P10='Rankings-Women'!$D:$D)*(Q10='Rankings-Women'!$E:$E),0))</f>
        <v/>
      </c>
      <c r="Z10" s="188">
        <f t="array" ref="Z10">IFNA(INDEX($P$83:$Q$112,MATCH(Y10,$P$83:$P115,0),2),0)</f>
        <v>0</v>
      </c>
      <c r="AA10" s="187"/>
      <c r="AB10" s="187"/>
      <c r="AC10" s="187"/>
      <c r="AD10" s="187"/>
      <c r="AE10" s="187"/>
      <c r="AF10" s="187"/>
      <c r="AG10" s="187">
        <f>COUNTIF('Rankings-Women'!$L:$L,AC10)</f>
        <v>0</v>
      </c>
      <c r="AH10" s="187">
        <f t="shared" ref="AH10:AI10" si="74">IFNA(INDEX($P$83:$Q$112,MATCH(AE10,$P$83:$P118,0),2),0)</f>
        <v>0</v>
      </c>
      <c r="AI10" s="187">
        <f t="shared" si="74"/>
        <v>0</v>
      </c>
      <c r="AJ10" s="187" t="str">
        <f t="array" ref="AJ10">INDEX('Rankings-Women'!$C:$C,MATCH(1,(AA10='Rankings-Women'!$D:$D)*(AB10='Rankings-Women'!$E:$E),0))</f>
        <v/>
      </c>
      <c r="AK10" s="188">
        <f t="array" ref="AK10">IFNA(INDEX($P$83:$Q$112,MATCH(AJ10,$P$83:$P115,0),2),0)</f>
        <v>0</v>
      </c>
      <c r="AL10" s="187"/>
      <c r="AM10" s="187"/>
      <c r="AN10" s="187"/>
      <c r="AO10" s="187"/>
      <c r="AP10" s="187"/>
      <c r="AQ10" s="187"/>
      <c r="AR10" s="187">
        <f>COUNTIF('Rankings-Women'!$L:$L,AN10)</f>
        <v>0</v>
      </c>
      <c r="AS10" s="187">
        <f t="array" ref="AS10">IFNA(INDEX($P$83:$Q$112,MATCH(AP10,$P$83:$P115,0),2),0)</f>
        <v>0</v>
      </c>
      <c r="AT10" s="187">
        <f t="shared" si="68"/>
        <v>0</v>
      </c>
      <c r="AU10" s="187" t="str">
        <f t="array" ref="AU10">INDEX('Rankings-Women'!$C:$C,MATCH(1,(AL10='Rankings-Women'!$D:$D)*(AM10='Rankings-Women'!$E:$E),0))</f>
        <v/>
      </c>
      <c r="AV10" s="188">
        <f t="array" ref="AV10">IFNA(INDEX($P$83:$Q$112,MATCH(AU10,$P$83:$P115,0),2),0)</f>
        <v>0</v>
      </c>
      <c r="AW10" s="187"/>
      <c r="AX10" s="187"/>
      <c r="AY10" s="187"/>
      <c r="AZ10" s="187"/>
      <c r="BA10" s="187"/>
      <c r="BB10" s="187"/>
      <c r="BC10" s="187">
        <f>COUNTIF('Rankings-Women'!$L:$L,AY10)</f>
        <v>0</v>
      </c>
      <c r="BD10" s="187">
        <f t="array" ref="BD10">IFNA(INDEX($P$83:$Q$112,MATCH(BA10,$P$83:$P115,0),2),0)</f>
        <v>0</v>
      </c>
      <c r="BE10" s="187">
        <f t="shared" si="69"/>
        <v>0</v>
      </c>
      <c r="BF10" s="187" t="str">
        <f t="array" ref="BF10">INDEX('Rankings-Women'!$C:$C,MATCH(1,(AW10='Rankings-Women'!$D:$D)*(AX10='Rankings-Women'!$E:$E),0))</f>
        <v/>
      </c>
      <c r="BG10" s="188">
        <f t="array" ref="BG10">IFNA(INDEX($P$83:$Q$112,MATCH(BF10,$P$83:$P115,0),2),0)</f>
        <v>0</v>
      </c>
      <c r="BH10" s="187"/>
      <c r="BI10" s="187"/>
      <c r="BJ10" s="187"/>
      <c r="BK10" s="187"/>
      <c r="BL10" s="187"/>
      <c r="BM10" s="187"/>
      <c r="BN10" s="187"/>
      <c r="BO10" s="187"/>
      <c r="BP10" s="187"/>
      <c r="BQ10" s="187" t="str">
        <f t="array" ref="BQ10">INDEX('Rankings-Women'!$C:$C,MATCH(1,(BH10='Rankings-Women'!$D:$D)*(BI10='Rankings-Women'!$E:$E),0))</f>
        <v/>
      </c>
      <c r="BR10" s="188"/>
      <c r="BS10" s="187"/>
      <c r="BT10" s="187"/>
      <c r="BU10" s="187"/>
      <c r="BV10" s="187"/>
      <c r="BW10" s="187"/>
      <c r="BX10" s="187"/>
      <c r="BY10" s="187">
        <f>COUNTIF('Rankings-Women'!$L:$L,BU10)</f>
        <v>0</v>
      </c>
      <c r="BZ10" s="187">
        <f t="array" ref="BZ10">IFNA(INDEX($P$83:$Q$112,MATCH(BW10,$P$83:$P115,0),2),0)</f>
        <v>0</v>
      </c>
      <c r="CA10" s="187">
        <f t="shared" si="70"/>
        <v>0</v>
      </c>
      <c r="CB10" s="187" t="str">
        <f t="array" ref="CB10">INDEX('Rankings-Women'!$C:$C,MATCH(1,(BS10='Rankings-Women'!$D:$D)*(BT10='Rankings-Women'!$E:$E),0))</f>
        <v/>
      </c>
      <c r="CC10" s="188">
        <f t="array" ref="CC10">IFNA(INDEX($P$83:$Q$112,MATCH(CB10,$P$83:$P115,0),2),0)</f>
        <v>0</v>
      </c>
      <c r="CD10" s="187"/>
      <c r="CE10" s="187"/>
      <c r="CF10" s="187"/>
      <c r="CG10" s="187"/>
      <c r="CH10" s="187"/>
      <c r="CI10" s="187"/>
      <c r="CJ10" s="187">
        <f>COUNTIF('Rankings-Women'!$L:$L,CF10)</f>
        <v>0</v>
      </c>
      <c r="CK10" s="187">
        <f t="array" ref="CK10">IFNA(INDEX($P$83:$Q$112,MATCH(CH10,$P$83:$P115,0),2),0)</f>
        <v>0</v>
      </c>
      <c r="CL10" s="187">
        <f t="shared" si="72"/>
        <v>0</v>
      </c>
      <c r="CM10" s="187" t="str">
        <f t="array" ref="CM10">INDEX('Rankings-Women'!$C:$C,MATCH(1,(CD10='Rankings-Women'!$D:$D)*(CE10='Rankings-Women'!$E:$E),0))</f>
        <v/>
      </c>
      <c r="CN10" s="188">
        <f t="array" ref="CN10">IFNA(INDEX($P$83:$Q$112,MATCH(CM10,$P$83:$P115,0),2),0)</f>
        <v>0</v>
      </c>
      <c r="CO10" s="187"/>
      <c r="CP10" s="187"/>
      <c r="CQ10" s="187"/>
      <c r="CR10" s="187"/>
      <c r="CS10" s="187"/>
      <c r="CT10" s="187"/>
      <c r="CU10" s="187">
        <f>COUNTIF('Rankings-Women'!$L:$L,CQ10)</f>
        <v>0</v>
      </c>
      <c r="CV10" s="187">
        <f t="array" ref="CV10">IFNA(INDEX($P$83:$Q$112,MATCH(CS10,$P$83:$P115,0),2),0)</f>
        <v>0</v>
      </c>
      <c r="CW10" s="187">
        <f t="shared" si="73"/>
        <v>0</v>
      </c>
      <c r="CX10" s="187" t="str">
        <f t="array" ref="CX10">INDEX('Rankings-Women'!$C:$C,MATCH(1,(CO10='Rankings-Women'!$D:$D)*(CP10='Rankings-Women'!$E:$E),0))</f>
        <v/>
      </c>
      <c r="CY10" s="188">
        <f t="array" ref="CY10">IFNA(INDEX($P$83:$Q$112,MATCH(CX10,$P$83:$P115,0),2),0)</f>
        <v>0</v>
      </c>
      <c r="CZ10" s="187"/>
      <c r="DA10" s="187"/>
      <c r="DB10" s="187"/>
      <c r="DC10" s="187"/>
      <c r="DD10" s="187"/>
      <c r="DE10" s="187"/>
      <c r="DF10" s="187"/>
      <c r="DG10" s="187"/>
      <c r="DH10" s="187"/>
      <c r="DI10" s="187" t="str">
        <f t="array" ref="DI10">INDEX('Rankings-Women'!$C:$C,MATCH(1,(CZ10='Rankings-Women'!$D:$D)*(DA10='Rankings-Women'!$E:$E),0))</f>
        <v/>
      </c>
      <c r="DJ10" s="188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 t="str">
        <f t="array" ref="DT10">INDEX('Rankings-Women'!$C:$C,MATCH(1,(DK10='Rankings-Women'!$D:$D)*(DL10='Rankings-Women'!$E:$E),0))</f>
        <v/>
      </c>
      <c r="DU10" s="188"/>
    </row>
    <row r="11">
      <c r="A11" s="190" t="s">
        <v>764</v>
      </c>
      <c r="B11" s="187">
        <f>bluemtwpot</f>
        <v>0</v>
      </c>
      <c r="C11" s="187"/>
      <c r="D11" s="188">
        <f>bluemtwact</f>
        <v>0</v>
      </c>
      <c r="E11" s="187"/>
      <c r="F11" s="187"/>
      <c r="G11" s="187"/>
      <c r="H11" s="187"/>
      <c r="I11" s="187"/>
      <c r="J11" s="187"/>
      <c r="K11" s="187">
        <f>COUNTIF('Rankings-Women'!$L:$L,G11)</f>
        <v>0</v>
      </c>
      <c r="L11" s="187">
        <f t="array" ref="L11">IFNA(INDEX($P$83:$Q$112,MATCH(I11,$P$83:$P115,0),2),0)</f>
        <v>0</v>
      </c>
      <c r="M11" s="187">
        <f t="shared" si="65"/>
        <v>0</v>
      </c>
      <c r="N11" s="187" t="str">
        <f t="array" ref="N11">INDEX('Rankings-Women'!$C:$C,MATCH(1,(E11='Rankings-Women'!$D:$D)*(F11='Rankings-Women'!$E:$E),0))</f>
        <v/>
      </c>
      <c r="O11" s="188">
        <f t="array" ref="O11">IFNA(INDEX($P$83:$Q$112,MATCH(N11,$P$83:$P115,0),2),0)</f>
        <v>0</v>
      </c>
      <c r="P11" s="187"/>
      <c r="Q11" s="187"/>
      <c r="R11" s="187"/>
      <c r="S11" s="187"/>
      <c r="T11" s="187"/>
      <c r="U11" s="187"/>
      <c r="V11" s="187">
        <f>COUNTIF('Rankings-Women'!$L:$L,R11)</f>
        <v>0</v>
      </c>
      <c r="W11" s="187">
        <f t="array" ref="W11">IFNA(INDEX($P$83:$Q$112,MATCH(T11,$P$83:$P115,0),2),0)</f>
        <v>0</v>
      </c>
      <c r="X11" s="187">
        <f t="shared" si="66"/>
        <v>0</v>
      </c>
      <c r="Y11" s="187" t="str">
        <f t="array" ref="Y11">INDEX('Rankings-Women'!$C:$C,MATCH(1,(P11='Rankings-Women'!$D:$D)*(Q11='Rankings-Women'!$E:$E),0))</f>
        <v/>
      </c>
      <c r="Z11" s="188">
        <f t="array" ref="Z11">IFNA(INDEX($P$83:$Q$112,MATCH(Y11,$P$83:$P115,0),2),0)</f>
        <v>0</v>
      </c>
      <c r="AA11" s="187"/>
      <c r="AB11" s="187"/>
      <c r="AC11" s="187"/>
      <c r="AD11" s="187"/>
      <c r="AE11" s="187"/>
      <c r="AF11" s="187"/>
      <c r="AG11" s="187">
        <f>COUNTIF('Rankings-Women'!$L:$L,AC11)</f>
        <v>0</v>
      </c>
      <c r="AH11" s="187">
        <f t="shared" ref="AH11:AI11" si="75">IFNA(INDEX($P$83:$Q$112,MATCH(AE11,$P$83:$P119,0),2),0)</f>
        <v>0</v>
      </c>
      <c r="AI11" s="187">
        <f t="shared" si="75"/>
        <v>0</v>
      </c>
      <c r="AJ11" s="187" t="str">
        <f t="array" ref="AJ11">INDEX('Rankings-Women'!$C:$C,MATCH(1,(AA11='Rankings-Women'!$D:$D)*(AB11='Rankings-Women'!$E:$E),0))</f>
        <v/>
      </c>
      <c r="AK11" s="188">
        <f t="array" ref="AK11">IFNA(INDEX($P$83:$Q$112,MATCH(AJ11,$P$83:$P115,0),2),0)</f>
        <v>0</v>
      </c>
      <c r="AL11" s="187"/>
      <c r="AM11" s="187"/>
      <c r="AN11" s="187"/>
      <c r="AO11" s="187"/>
      <c r="AP11" s="187"/>
      <c r="AQ11" s="187"/>
      <c r="AR11" s="187">
        <f>COUNTIF('Rankings-Women'!$L:$L,AN11)</f>
        <v>0</v>
      </c>
      <c r="AS11" s="187">
        <f t="array" ref="AS11">IFNA(INDEX($P$83:$Q$112,MATCH(AP11,$P$83:$P115,0),2),0)</f>
        <v>0</v>
      </c>
      <c r="AT11" s="187">
        <f t="shared" si="68"/>
        <v>0</v>
      </c>
      <c r="AU11" s="187" t="str">
        <f t="array" ref="AU11">INDEX('Rankings-Women'!$C:$C,MATCH(1,(AL11='Rankings-Women'!$D:$D)*(AM11='Rankings-Women'!$E:$E),0))</f>
        <v/>
      </c>
      <c r="AV11" s="188">
        <f t="array" ref="AV11">IFNA(INDEX($P$83:$Q$112,MATCH(AU11,$P$83:$P115,0),2),0)</f>
        <v>0</v>
      </c>
      <c r="AW11" s="187"/>
      <c r="AX11" s="187"/>
      <c r="AY11" s="187"/>
      <c r="AZ11" s="187"/>
      <c r="BA11" s="187"/>
      <c r="BB11" s="187"/>
      <c r="BC11" s="187">
        <f>COUNTIF('Rankings-Women'!$L:$L,AY11)</f>
        <v>0</v>
      </c>
      <c r="BD11" s="187">
        <f t="array" ref="BD11">IFNA(INDEX($P$83:$Q$112,MATCH(BA11,$P$83:$P115,0),2),0)</f>
        <v>0</v>
      </c>
      <c r="BE11" s="187">
        <f t="shared" si="69"/>
        <v>0</v>
      </c>
      <c r="BF11" s="187"/>
      <c r="BG11" s="188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 t="str">
        <f t="array" ref="BQ11">INDEX('Rankings-Women'!$C:$C,MATCH(1,(BH11='Rankings-Women'!$D:$D)*(BI11='Rankings-Women'!$E:$E),0))</f>
        <v/>
      </c>
      <c r="BR11" s="188"/>
      <c r="BS11" s="187"/>
      <c r="BT11" s="187"/>
      <c r="BU11" s="187"/>
      <c r="BV11" s="187"/>
      <c r="BW11" s="187"/>
      <c r="BX11" s="187"/>
      <c r="BY11" s="187">
        <f>COUNTIF('Rankings-Women'!$L:$L,BU11)</f>
        <v>0</v>
      </c>
      <c r="BZ11" s="187">
        <f t="array" ref="BZ11">IFNA(INDEX($P$83:$Q$112,MATCH(BW11,$P$83:$P115,0),2),0)</f>
        <v>0</v>
      </c>
      <c r="CA11" s="187">
        <f t="shared" si="70"/>
        <v>0</v>
      </c>
      <c r="CB11" s="187" t="str">
        <f t="array" ref="CB11">INDEX('Rankings-Women'!$C:$C,MATCH(1,(BS11='Rankings-Women'!$D:$D)*(BT11='Rankings-Women'!$E:$E),0))</f>
        <v/>
      </c>
      <c r="CC11" s="188">
        <f t="array" ref="CC11">IFNA(INDEX($P$83:$Q$112,MATCH(CB11,$P$83:$P115,0),2),0)</f>
        <v>0</v>
      </c>
      <c r="CD11" s="187"/>
      <c r="CE11" s="187"/>
      <c r="CF11" s="187"/>
      <c r="CG11" s="187"/>
      <c r="CH11" s="187"/>
      <c r="CI11" s="187"/>
      <c r="CJ11" s="187">
        <f>COUNTIF('Rankings-Women'!$L:$L,CF11)</f>
        <v>0</v>
      </c>
      <c r="CK11" s="187">
        <f t="array" ref="CK11">IFNA(INDEX($P$83:$Q$112,MATCH(CH11,$P$83:$P115,0),2),0)</f>
        <v>0</v>
      </c>
      <c r="CL11" s="187">
        <f t="shared" si="72"/>
        <v>0</v>
      </c>
      <c r="CM11" s="187" t="str">
        <f t="array" ref="CM11">INDEX('Rankings-Women'!$C:$C,MATCH(1,(CD11='Rankings-Women'!$D:$D)*(CE11='Rankings-Women'!$E:$E),0))</f>
        <v/>
      </c>
      <c r="CN11" s="188">
        <f t="array" ref="CN11">IFNA(INDEX($P$83:$Q$112,MATCH(CM11,$P$83:$P115,0),2),0)</f>
        <v>0</v>
      </c>
      <c r="CO11" s="187"/>
      <c r="CP11" s="187"/>
      <c r="CQ11" s="187"/>
      <c r="CR11" s="187"/>
      <c r="CS11" s="187"/>
      <c r="CT11" s="187"/>
      <c r="CU11" s="187">
        <f>COUNTIF('Rankings-Women'!$L:$L,CQ11)</f>
        <v>0</v>
      </c>
      <c r="CV11" s="187">
        <f t="array" ref="CV11">IFNA(INDEX($P$83:$Q$112,MATCH(CS11,$P$83:$P115,0),2),0)</f>
        <v>0</v>
      </c>
      <c r="CW11" s="187">
        <f t="shared" si="73"/>
        <v>0</v>
      </c>
      <c r="CX11" s="187"/>
      <c r="CY11" s="188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 t="str">
        <f t="array" ref="DI11">INDEX('Rankings-Women'!$C:$C,MATCH(1,(CZ11='Rankings-Women'!$D:$D)*(DA11='Rankings-Women'!$E:$E),0))</f>
        <v/>
      </c>
      <c r="DJ11" s="188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 t="str">
        <f t="array" ref="DT11">INDEX('Rankings-Women'!$C:$C,MATCH(1,(DK11='Rankings-Women'!$D:$D)*(DL11='Rankings-Women'!$E:$E),0))</f>
        <v/>
      </c>
      <c r="DU11" s="188"/>
    </row>
    <row r="12">
      <c r="A12" s="190" t="s">
        <v>768</v>
      </c>
      <c r="B12" s="187">
        <f>shsuwpot</f>
        <v>0</v>
      </c>
      <c r="C12" s="187"/>
      <c r="D12" s="188">
        <f>shsuwact</f>
        <v>0</v>
      </c>
      <c r="E12" s="187"/>
      <c r="F12" s="187"/>
      <c r="G12" s="187"/>
      <c r="H12" s="187"/>
      <c r="I12" s="187"/>
      <c r="J12" s="187"/>
      <c r="K12" s="187">
        <f>COUNTIF('Rankings-Women'!$L:$L,G12)</f>
        <v>0</v>
      </c>
      <c r="L12" s="187">
        <f t="array" ref="L12">IFNA(INDEX($P$83:$Q$112,MATCH(I12,$P$83:$P115,0),2),0)</f>
        <v>0</v>
      </c>
      <c r="M12" s="187">
        <f t="shared" si="65"/>
        <v>0</v>
      </c>
      <c r="N12" s="187" t="str">
        <f t="array" ref="N12">INDEX('Rankings-Women'!$C:$C,MATCH(1,(E12='Rankings-Women'!$D:$D)*(F12='Rankings-Women'!$E:$E),0))</f>
        <v/>
      </c>
      <c r="O12" s="188">
        <f t="array" ref="O12">IFNA(INDEX($P$83:$Q$112,MATCH(N12,$P$83:$P115,0),2),0)</f>
        <v>0</v>
      </c>
      <c r="P12" s="187"/>
      <c r="Q12" s="187"/>
      <c r="R12" s="187"/>
      <c r="S12" s="187"/>
      <c r="T12" s="187"/>
      <c r="U12" s="187"/>
      <c r="V12" s="187">
        <f>COUNTIF('Rankings-Women'!$L:$L,R12)</f>
        <v>0</v>
      </c>
      <c r="W12" s="187">
        <f t="array" ref="W12">IFNA(INDEX($P$83:$Q$112,MATCH(T12,$P$83:$P115,0),2),0)</f>
        <v>0</v>
      </c>
      <c r="X12" s="187">
        <f t="shared" si="66"/>
        <v>0</v>
      </c>
      <c r="Y12" s="187" t="str">
        <f t="array" ref="Y12">INDEX('Rankings-Women'!$C:$C,MATCH(1,(P12='Rankings-Women'!$D:$D)*(Q12='Rankings-Women'!$E:$E),0))</f>
        <v/>
      </c>
      <c r="Z12" s="188">
        <f t="array" ref="Z12">IFNA(INDEX($P$83:$Q$112,MATCH(Y12,$P$83:$P115,0),2),0)</f>
        <v>0</v>
      </c>
      <c r="AA12" s="187"/>
      <c r="AB12" s="187"/>
      <c r="AC12" s="187"/>
      <c r="AD12" s="187"/>
      <c r="AE12" s="187"/>
      <c r="AF12" s="187"/>
      <c r="AG12" s="187">
        <f>COUNTIF('Rankings-Women'!$L:$L,AC12)</f>
        <v>0</v>
      </c>
      <c r="AH12" s="187">
        <f t="shared" ref="AH12:AI12" si="76">IFNA(INDEX($P$83:$Q$112,MATCH(AE12,$P$83:$P120,0),2),0)</f>
        <v>0</v>
      </c>
      <c r="AI12" s="187">
        <f t="shared" si="76"/>
        <v>0</v>
      </c>
      <c r="AJ12" s="187" t="str">
        <f t="array" ref="AJ12">INDEX('Rankings-Women'!$C:$C,MATCH(1,(AA12='Rankings-Women'!$D:$D)*(AB12='Rankings-Women'!$E:$E),0))</f>
        <v/>
      </c>
      <c r="AK12" s="188">
        <f t="array" ref="AK12">IFNA(INDEX($P$83:$Q$112,MATCH(AJ12,$P$83:$P115,0),2),0)</f>
        <v>0</v>
      </c>
      <c r="AL12" s="187"/>
      <c r="AM12" s="187"/>
      <c r="AN12" s="187"/>
      <c r="AO12" s="187"/>
      <c r="AP12" s="187"/>
      <c r="AQ12" s="187"/>
      <c r="AR12" s="187">
        <f>COUNTIF('Rankings-Women'!$L:$L,AN12)</f>
        <v>0</v>
      </c>
      <c r="AS12" s="187">
        <f t="array" ref="AS12">IFNA(INDEX($P$83:$Q$112,MATCH(AP12,$P$83:$P115,0),2),0)</f>
        <v>0</v>
      </c>
      <c r="AT12" s="187">
        <f t="shared" si="68"/>
        <v>0</v>
      </c>
      <c r="AU12" s="187" t="str">
        <f t="array" ref="AU12">INDEX('Rankings-Women'!$C:$C,MATCH(1,(AL12='Rankings-Women'!$D:$D)*(AM12='Rankings-Women'!$E:$E),0))</f>
        <v/>
      </c>
      <c r="AV12" s="188">
        <f t="array" ref="AV12">IFNA(INDEX($P$83:$Q$112,MATCH(AU12,$P$83:$P115,0),2),0)</f>
        <v>0</v>
      </c>
      <c r="AW12" s="187"/>
      <c r="AX12" s="187"/>
      <c r="AY12" s="187"/>
      <c r="AZ12" s="187"/>
      <c r="BA12" s="187"/>
      <c r="BB12" s="187"/>
      <c r="BC12" s="187">
        <f>COUNTIF('Rankings-Women'!$L:$L,AY12)</f>
        <v>0</v>
      </c>
      <c r="BD12" s="187">
        <f t="array" ref="BD12">IFNA(INDEX($P$83:$Q$112,MATCH(BA12,$P$83:$P115,0),2),0)</f>
        <v>0</v>
      </c>
      <c r="BE12" s="187">
        <f t="shared" si="69"/>
        <v>0</v>
      </c>
      <c r="BF12" s="187" t="str">
        <f t="array" ref="BF12">INDEX('Rankings-Women'!$C:$C,MATCH(1,(AW12='Rankings-Women'!$D:$D)*(AX12='Rankings-Women'!$E:$E),0))</f>
        <v/>
      </c>
      <c r="BG12" s="188">
        <f t="array" ref="BG12">IFNA(INDEX($P$83:$Q$112,MATCH(BF12,$P$83:$P115,0),2),0)</f>
        <v>0</v>
      </c>
      <c r="BH12" s="187"/>
      <c r="BI12" s="187"/>
      <c r="BJ12" s="187"/>
      <c r="BK12" s="187"/>
      <c r="BL12" s="187"/>
      <c r="BM12" s="187"/>
      <c r="BN12" s="187"/>
      <c r="BO12" s="187"/>
      <c r="BP12" s="187"/>
      <c r="BQ12" s="187" t="str">
        <f t="array" ref="BQ12">INDEX('Rankings-Women'!$C:$C,MATCH(1,(BH12='Rankings-Women'!$D:$D)*(BI12='Rankings-Women'!$E:$E),0))</f>
        <v/>
      </c>
      <c r="BR12" s="188"/>
      <c r="BS12" s="187"/>
      <c r="BT12" s="187"/>
      <c r="BU12" s="187"/>
      <c r="BV12" s="187"/>
      <c r="BW12" s="187"/>
      <c r="BX12" s="187"/>
      <c r="BY12" s="187">
        <f>COUNTIF('Rankings-Women'!$L:$L,BU12)</f>
        <v>0</v>
      </c>
      <c r="BZ12" s="187">
        <f t="array" ref="BZ12">IFNA(INDEX($P$83:$Q$112,MATCH(BW12,$P$83:$P115,0),2),0)</f>
        <v>0</v>
      </c>
      <c r="CA12" s="187">
        <f t="shared" si="70"/>
        <v>0</v>
      </c>
      <c r="CB12" s="187" t="str">
        <f t="array" ref="CB12">INDEX('Rankings-Women'!$C:$C,MATCH(1,(BS12='Rankings-Women'!$D:$D)*(BT12='Rankings-Women'!$E:$E),0))</f>
        <v/>
      </c>
      <c r="CC12" s="188">
        <f t="array" ref="CC12">IFNA(INDEX($P$83:$Q$112,MATCH(CB12,$P$83:$P115,0),2),0)</f>
        <v>0</v>
      </c>
      <c r="CD12" s="187"/>
      <c r="CE12" s="187"/>
      <c r="CF12" s="187"/>
      <c r="CG12" s="187"/>
      <c r="CH12" s="187"/>
      <c r="CI12" s="187"/>
      <c r="CJ12" s="187"/>
      <c r="CK12" s="187"/>
      <c r="CL12" s="187"/>
      <c r="CM12" s="187" t="str">
        <f t="array" ref="CM12">INDEX('Rankings-Women'!$C:$C,MATCH(1,(CD12='Rankings-Women'!$D:$D)*(CE12='Rankings-Women'!$E:$E),0))</f>
        <v/>
      </c>
      <c r="CN12" s="188"/>
      <c r="CO12" s="187"/>
      <c r="CP12" s="187"/>
      <c r="CQ12" s="187"/>
      <c r="CR12" s="187"/>
      <c r="CS12" s="187"/>
      <c r="CT12" s="187"/>
      <c r="CU12" s="187">
        <f>COUNTIF('Rankings-Women'!$L:$L,CQ12)</f>
        <v>0</v>
      </c>
      <c r="CV12" s="187">
        <f t="shared" ref="CV12:CV19" si="78">IFNA(INDEX($P$83:$Q$112,MATCH(CS12,$P$83:$P115,0),2),0)</f>
        <v>0</v>
      </c>
      <c r="CW12" s="187">
        <f t="shared" si="73"/>
        <v>0</v>
      </c>
      <c r="CX12" s="187"/>
      <c r="CY12" s="188"/>
      <c r="CZ12" s="187"/>
      <c r="DA12" s="187"/>
      <c r="DB12" s="187"/>
      <c r="DC12" s="187"/>
      <c r="DD12" s="187"/>
      <c r="DE12" s="187"/>
      <c r="DF12" s="187"/>
      <c r="DG12" s="187"/>
      <c r="DH12" s="187"/>
      <c r="DI12" s="187" t="str">
        <f t="array" ref="DI12">INDEX('Rankings-Women'!$C:$C,MATCH(1,(CZ12='Rankings-Women'!$D:$D)*(DA12='Rankings-Women'!$E:$E),0))</f>
        <v/>
      </c>
      <c r="DJ12" s="188"/>
      <c r="DK12" s="187"/>
      <c r="DL12" s="187"/>
      <c r="DM12" s="187"/>
      <c r="DN12" s="187"/>
      <c r="DO12" s="187"/>
      <c r="DP12" s="187"/>
      <c r="DQ12" s="187"/>
      <c r="DR12" s="187"/>
      <c r="DS12" s="187"/>
      <c r="DT12" s="187" t="str">
        <f t="array" ref="DT12">INDEX('Rankings-Women'!$C:$C,MATCH(1,(DK12='Rankings-Women'!$D:$D)*(DL12='Rankings-Women'!$E:$E),0))</f>
        <v/>
      </c>
      <c r="DU12" s="188"/>
    </row>
    <row r="13">
      <c r="A13" s="190" t="s">
        <v>766</v>
      </c>
      <c r="B13" s="187">
        <f>amwpot</f>
        <v>0</v>
      </c>
      <c r="C13" s="187"/>
      <c r="D13" s="188">
        <f>amwact</f>
        <v>0</v>
      </c>
      <c r="E13" s="187"/>
      <c r="F13" s="187"/>
      <c r="G13" s="187"/>
      <c r="H13" s="187"/>
      <c r="I13" s="187"/>
      <c r="J13" s="187"/>
      <c r="K13" s="187">
        <f>COUNTIF('Rankings-Women'!$L:$L,G13)</f>
        <v>0</v>
      </c>
      <c r="L13" s="187">
        <f t="array" ref="L13">IFNA(INDEX($P$83:$Q$112,MATCH(I13,$P$83:$P115,0),2),0)</f>
        <v>0</v>
      </c>
      <c r="M13" s="187">
        <f t="shared" si="65"/>
        <v>0</v>
      </c>
      <c r="N13" s="187" t="str">
        <f t="array" ref="N13">INDEX('Rankings-Women'!$C:$C,MATCH(1,(E13='Rankings-Women'!$D:$D)*(F13='Rankings-Women'!$E:$E),0))</f>
        <v/>
      </c>
      <c r="O13" s="188">
        <f t="array" ref="O13">IFNA(INDEX($P$83:$Q$112,MATCH(N13,$P$83:$P115,0),2),0)</f>
        <v>0</v>
      </c>
      <c r="P13" s="187"/>
      <c r="Q13" s="187"/>
      <c r="R13" s="187"/>
      <c r="S13" s="187"/>
      <c r="T13" s="187"/>
      <c r="U13" s="187"/>
      <c r="V13" s="187"/>
      <c r="W13" s="187"/>
      <c r="X13" s="187"/>
      <c r="Y13" s="187" t="str">
        <f t="array" ref="Y13">INDEX('Rankings-Women'!$C:$C,MATCH(1,(P13='Rankings-Women'!$D:$D)*(Q13='Rankings-Women'!$E:$E),0))</f>
        <v/>
      </c>
      <c r="Z13" s="188"/>
      <c r="AA13" s="187"/>
      <c r="AB13" s="187"/>
      <c r="AC13" s="187"/>
      <c r="AD13" s="187"/>
      <c r="AE13" s="187"/>
      <c r="AF13" s="187"/>
      <c r="AG13" s="187">
        <f>COUNTIF('Rankings-Women'!$L:$L,AC13)</f>
        <v>0</v>
      </c>
      <c r="AH13" s="187">
        <f t="shared" ref="AH13:AI13" si="77">IFNA(INDEX($P$83:$Q$112,MATCH(AE13,$P$83:$P121,0),2),0)</f>
        <v>0</v>
      </c>
      <c r="AI13" s="187">
        <f t="shared" si="77"/>
        <v>0</v>
      </c>
      <c r="AJ13" s="187" t="str">
        <f t="array" ref="AJ13">INDEX('Rankings-Women'!$C:$C,MATCH(1,(AA13='Rankings-Women'!$D:$D)*(AB13='Rankings-Women'!$E:$E),0))</f>
        <v/>
      </c>
      <c r="AK13" s="188">
        <f t="array" ref="AK13">IFNA(INDEX($P$83:$Q$112,MATCH(AJ13,$P$83:$P115,0),2),0)</f>
        <v>0</v>
      </c>
      <c r="AL13" s="187"/>
      <c r="AM13" s="187"/>
      <c r="AN13" s="187"/>
      <c r="AO13" s="187"/>
      <c r="AP13" s="187"/>
      <c r="AQ13" s="187"/>
      <c r="AR13" s="187"/>
      <c r="AS13" s="187"/>
      <c r="AT13" s="187"/>
      <c r="AU13" s="187" t="str">
        <f t="array" ref="AU13">INDEX('Rankings-Women'!$C:$C,MATCH(1,(AL13='Rankings-Women'!$D:$D)*(AM13='Rankings-Women'!$E:$E),0))</f>
        <v/>
      </c>
      <c r="AV13" s="188"/>
      <c r="AW13" s="187"/>
      <c r="AX13" s="187"/>
      <c r="AY13" s="187"/>
      <c r="AZ13" s="187"/>
      <c r="BA13" s="187"/>
      <c r="BB13" s="187"/>
      <c r="BC13" s="187">
        <f>COUNTIF('Rankings-Women'!$L:$L,AY13)</f>
        <v>0</v>
      </c>
      <c r="BD13" s="187">
        <f t="array" ref="BD13">IFNA(INDEX($P$83:$Q$112,MATCH(BA13,$P$83:$P115,0),2),0)</f>
        <v>0</v>
      </c>
      <c r="BE13" s="187">
        <f t="shared" si="69"/>
        <v>0</v>
      </c>
      <c r="BF13" s="187" t="str">
        <f t="array" ref="BF13">INDEX('Rankings-Women'!$C:$C,MATCH(1,(AW13='Rankings-Women'!$D:$D)*(AX13='Rankings-Women'!$E:$E),0))</f>
        <v/>
      </c>
      <c r="BG13" s="188">
        <f t="array" ref="BG13">IFNA(INDEX($P$83:$Q$112,MATCH(BF13,$P$83:$P115,0),2),0)</f>
        <v>0</v>
      </c>
      <c r="BH13" s="187"/>
      <c r="BI13" s="187"/>
      <c r="BJ13" s="187"/>
      <c r="BK13" s="187"/>
      <c r="BL13" s="187"/>
      <c r="BM13" s="187"/>
      <c r="BN13" s="187"/>
      <c r="BO13" s="187"/>
      <c r="BP13" s="187"/>
      <c r="BQ13" s="187" t="str">
        <f t="array" ref="BQ13">INDEX('Rankings-Women'!$C:$C,MATCH(1,(BH13='Rankings-Women'!$D:$D)*(BI13='Rankings-Women'!$E:$E),0))</f>
        <v/>
      </c>
      <c r="BR13" s="188"/>
      <c r="BS13" s="187"/>
      <c r="BT13" s="187"/>
      <c r="BU13" s="187"/>
      <c r="BV13" s="187"/>
      <c r="BW13" s="187"/>
      <c r="BX13" s="187"/>
      <c r="BY13" s="187">
        <f>COUNTIF('Rankings-Women'!$L:$L,BU13)</f>
        <v>0</v>
      </c>
      <c r="BZ13" s="187">
        <f t="array" ref="BZ13">IFNA(INDEX($P$83:$Q$112,MATCH(BW13,$P$83:$P115,0),2),0)</f>
        <v>0</v>
      </c>
      <c r="CA13" s="187">
        <f t="shared" si="70"/>
        <v>0</v>
      </c>
      <c r="CB13" s="187" t="str">
        <f t="array" ref="CB13">INDEX('Rankings-Women'!$C:$C,MATCH(1,(BS13='Rankings-Women'!$D:$D)*(BT13='Rankings-Women'!$E:$E),0))</f>
        <v/>
      </c>
      <c r="CC13" s="188">
        <f t="array" ref="CC13">IFNA(INDEX($P$83:$Q$112,MATCH(CB13,$P$83:$P115,0),2),0)</f>
        <v>0</v>
      </c>
      <c r="CD13" s="187"/>
      <c r="CE13" s="187"/>
      <c r="CF13" s="187"/>
      <c r="CG13" s="187"/>
      <c r="CH13" s="187"/>
      <c r="CI13" s="187"/>
      <c r="CJ13" s="187"/>
      <c r="CK13" s="187"/>
      <c r="CL13" s="187"/>
      <c r="CM13" s="187" t="str">
        <f t="array" ref="CM13">INDEX('Rankings-Women'!$C:$C,MATCH(1,(CD13='Rankings-Women'!$D:$D)*(CE13='Rankings-Women'!$E:$E),0))</f>
        <v/>
      </c>
      <c r="CN13" s="188"/>
      <c r="CO13" s="187"/>
      <c r="CP13" s="187"/>
      <c r="CQ13" s="187"/>
      <c r="CR13" s="187"/>
      <c r="CS13" s="187"/>
      <c r="CT13" s="187"/>
      <c r="CU13" s="187">
        <f>COUNTIF('Rankings-Women'!$L:$L,CQ13)</f>
        <v>0</v>
      </c>
      <c r="CV13" s="187">
        <f t="shared" si="78"/>
        <v>0</v>
      </c>
      <c r="CW13" s="187">
        <f t="shared" si="73"/>
        <v>0</v>
      </c>
      <c r="CX13" s="187"/>
      <c r="CY13" s="188"/>
      <c r="CZ13" s="187"/>
      <c r="DA13" s="187"/>
      <c r="DB13" s="187"/>
      <c r="DC13" s="187"/>
      <c r="DD13" s="187"/>
      <c r="DE13" s="187"/>
      <c r="DF13" s="187"/>
      <c r="DG13" s="187"/>
      <c r="DH13" s="187"/>
      <c r="DI13" s="187" t="str">
        <f t="array" ref="DI13">INDEX('Rankings-Women'!$C:$C,MATCH(1,(CZ13='Rankings-Women'!$D:$D)*(DA13='Rankings-Women'!$E:$E),0))</f>
        <v/>
      </c>
      <c r="DJ13" s="188"/>
      <c r="DK13" s="187"/>
      <c r="DL13" s="187"/>
      <c r="DM13" s="187"/>
      <c r="DN13" s="187"/>
      <c r="DO13" s="187"/>
      <c r="DP13" s="187"/>
      <c r="DQ13" s="187"/>
      <c r="DR13" s="187"/>
      <c r="DS13" s="187"/>
      <c r="DT13" s="187" t="str">
        <f t="array" ref="DT13">INDEX('Rankings-Women'!$C:$C,MATCH(1,(DK13='Rankings-Women'!$D:$D)*(DL13='Rankings-Women'!$E:$E),0))</f>
        <v/>
      </c>
      <c r="DU13" s="188"/>
    </row>
    <row r="14">
      <c r="A14" s="189" t="s">
        <v>771</v>
      </c>
      <c r="B14" s="187">
        <f>USnavwpot</f>
        <v>0</v>
      </c>
      <c r="C14" s="187"/>
      <c r="D14" s="188">
        <f>usnavwact</f>
        <v>0</v>
      </c>
      <c r="E14" s="187"/>
      <c r="F14" s="187"/>
      <c r="G14" s="187"/>
      <c r="H14" s="187"/>
      <c r="I14" s="187"/>
      <c r="J14" s="187"/>
      <c r="K14" s="187">
        <f>COUNTIF('Rankings-Women'!$L:$L,G14)</f>
        <v>0</v>
      </c>
      <c r="L14" s="187">
        <f t="array" ref="L14">IFNA(INDEX($P$83:$Q$112,MATCH(I14,$P$83:$P115,0),2),0)</f>
        <v>0</v>
      </c>
      <c r="M14" s="187">
        <f t="shared" si="65"/>
        <v>0</v>
      </c>
      <c r="N14" s="187" t="str">
        <f t="array" ref="N14">INDEX('Rankings-Women'!$C:$C,MATCH(1,(E14='Rankings-Women'!$D:$D)*(F14='Rankings-Women'!$E:$E),0))</f>
        <v/>
      </c>
      <c r="O14" s="188">
        <f t="array" ref="O14">IFNA(INDEX($P$83:$Q$112,MATCH(N14,$P$83:$P115,0),2),0)</f>
        <v>0</v>
      </c>
      <c r="P14" s="187"/>
      <c r="Q14" s="187"/>
      <c r="R14" s="187"/>
      <c r="S14" s="187"/>
      <c r="T14" s="187"/>
      <c r="U14" s="187"/>
      <c r="V14" s="187"/>
      <c r="W14" s="187"/>
      <c r="X14" s="187"/>
      <c r="Y14" s="187" t="str">
        <f t="array" ref="Y14">INDEX('Rankings-Women'!$C:$C,MATCH(1,(P14='Rankings-Women'!$D:$D)*(Q14='Rankings-Women'!$E:$E),0))</f>
        <v/>
      </c>
      <c r="Z14" s="188"/>
      <c r="AA14" s="187"/>
      <c r="AB14" s="187"/>
      <c r="AC14" s="187"/>
      <c r="AD14" s="187"/>
      <c r="AE14" s="187"/>
      <c r="AF14" s="187"/>
      <c r="AG14" s="187">
        <f>COUNTIF('Rankings-Women'!$L:$L,AC14)</f>
        <v>0</v>
      </c>
      <c r="AH14" s="187">
        <f t="shared" ref="AH14:AI14" si="79">IFNA(INDEX($P$83:$Q$112,MATCH(AE14,$P$83:$P122,0),2),0)</f>
        <v>0</v>
      </c>
      <c r="AI14" s="187">
        <f t="shared" si="79"/>
        <v>0</v>
      </c>
      <c r="AJ14" s="187" t="str">
        <f t="array" ref="AJ14">INDEX('Rankings-Women'!$C:$C,MATCH(1,(AA14='Rankings-Women'!$D:$D)*(AB14='Rankings-Women'!$E:$E),0))</f>
        <v/>
      </c>
      <c r="AK14" s="188">
        <f t="array" ref="AK14">IFNA(INDEX($P$83:$Q$112,MATCH(AJ14,$P$83:$P115,0),2),0)</f>
        <v>0</v>
      </c>
      <c r="AL14" s="187"/>
      <c r="AM14" s="187"/>
      <c r="AN14" s="187"/>
      <c r="AO14" s="187"/>
      <c r="AP14" s="187"/>
      <c r="AQ14" s="187"/>
      <c r="AR14" s="187"/>
      <c r="AS14" s="187"/>
      <c r="AT14" s="187"/>
      <c r="AU14" s="187" t="str">
        <f t="array" ref="AU14">INDEX('Rankings-Women'!$C:$C,MATCH(1,(AL14='Rankings-Women'!$D:$D)*(AM14='Rankings-Women'!$E:$E),0))</f>
        <v/>
      </c>
      <c r="AV14" s="188"/>
      <c r="AW14" s="187"/>
      <c r="AX14" s="187"/>
      <c r="AY14" s="187"/>
      <c r="AZ14" s="187"/>
      <c r="BA14" s="187"/>
      <c r="BB14" s="187"/>
      <c r="BC14" s="187">
        <f>COUNTIF('Rankings-Women'!$L:$L,AY14)</f>
        <v>0</v>
      </c>
      <c r="BD14" s="187">
        <f t="shared" ref="BD14:BD18" si="81">IFNA(INDEX($P$83:$Q$112,MATCH(BA14,$P$83:$P115,0),2),0)</f>
        <v>0</v>
      </c>
      <c r="BE14" s="187">
        <f t="shared" si="69"/>
        <v>0</v>
      </c>
      <c r="BF14" s="187" t="str">
        <f t="array" ref="BF14">INDEX('Rankings-Women'!$C:$C,MATCH(1,(AW14='Rankings-Women'!$D:$D)*(AX14='Rankings-Women'!$E:$E),0))</f>
        <v/>
      </c>
      <c r="BG14" s="188">
        <f t="shared" ref="BG14:BG15" si="82">IFNA(INDEX($P$83:$Q$112,MATCH(BF14,$P$83:$P115,0),2),0)</f>
        <v>0</v>
      </c>
      <c r="BH14" s="187"/>
      <c r="BI14" s="187"/>
      <c r="BJ14" s="187"/>
      <c r="BK14" s="187"/>
      <c r="BL14" s="187"/>
      <c r="BM14" s="187"/>
      <c r="BN14" s="187"/>
      <c r="BO14" s="187"/>
      <c r="BP14" s="187"/>
      <c r="BQ14" s="187" t="str">
        <f t="array" ref="BQ14">INDEX('Rankings-Women'!$C:$C,MATCH(1,(BH14='Rankings-Women'!$D:$D)*(BI14='Rankings-Women'!$E:$E),0))</f>
        <v/>
      </c>
      <c r="BR14" s="188"/>
      <c r="BS14" s="187"/>
      <c r="BT14" s="187"/>
      <c r="BU14" s="187"/>
      <c r="BV14" s="187"/>
      <c r="BW14" s="187"/>
      <c r="BX14" s="187"/>
      <c r="BY14" s="187">
        <f>COUNTIF('Rankings-Women'!$L:$L,BU14)</f>
        <v>0</v>
      </c>
      <c r="BZ14" s="187">
        <f t="array" ref="BZ14">IFNA(INDEX($P$83:$Q$112,MATCH(BW14,$P$83:$P115,0),2),0)</f>
        <v>0</v>
      </c>
      <c r="CA14" s="187">
        <f t="shared" si="70"/>
        <v>0</v>
      </c>
      <c r="CB14" s="187" t="str">
        <f t="array" ref="CB14">INDEX('Rankings-Women'!$C:$C,MATCH(1,(BS14='Rankings-Women'!$D:$D)*(BT14='Rankings-Women'!$E:$E),0))</f>
        <v/>
      </c>
      <c r="CC14" s="188">
        <f t="array" ref="CC14">IFNA(INDEX($P$83:$Q$112,MATCH(CB14,$P$83:$P115,0),2),0)</f>
        <v>0</v>
      </c>
      <c r="CD14" s="187"/>
      <c r="CE14" s="187"/>
      <c r="CF14" s="187"/>
      <c r="CG14" s="187"/>
      <c r="CH14" s="187"/>
      <c r="CI14" s="187"/>
      <c r="CJ14" s="187"/>
      <c r="CK14" s="187"/>
      <c r="CL14" s="187"/>
      <c r="CM14" s="187" t="str">
        <f t="array" ref="CM14">INDEX('Rankings-Women'!$C:$C,MATCH(1,(CD14='Rankings-Women'!$D:$D)*(CE14='Rankings-Women'!$E:$E),0))</f>
        <v/>
      </c>
      <c r="CN14" s="188"/>
      <c r="CO14" s="187"/>
      <c r="CP14" s="187"/>
      <c r="CQ14" s="187"/>
      <c r="CR14" s="187"/>
      <c r="CS14" s="187"/>
      <c r="CT14" s="187"/>
      <c r="CU14" s="187">
        <f>COUNTIF('Rankings-Women'!$L:$L,CQ14)</f>
        <v>0</v>
      </c>
      <c r="CV14" s="187">
        <f t="shared" si="78"/>
        <v>0</v>
      </c>
      <c r="CW14" s="187">
        <f t="shared" si="73"/>
        <v>0</v>
      </c>
      <c r="CX14" s="187" t="str">
        <f t="array" ref="CX14">INDEX('Rankings-Women'!$C:$C,MATCH(1,(CO14='Rankings-Women'!$D:$D)*(CP14='Rankings-Women'!$E:$E),0))</f>
        <v/>
      </c>
      <c r="CY14" s="188">
        <f t="shared" ref="CY14:CY16" si="83">IFNA(INDEX($P$83:$Q$112,MATCH(CX14,$P$83:$P117,0),2),0)</f>
        <v>0</v>
      </c>
      <c r="CZ14" s="187"/>
      <c r="DA14" s="187"/>
      <c r="DB14" s="187"/>
      <c r="DC14" s="187"/>
      <c r="DD14" s="187"/>
      <c r="DE14" s="187"/>
      <c r="DF14" s="187"/>
      <c r="DG14" s="187"/>
      <c r="DH14" s="187"/>
      <c r="DI14" s="187" t="str">
        <f t="array" ref="DI14">INDEX('Rankings-Women'!$C:$C,MATCH(1,(CZ14='Rankings-Women'!$D:$D)*(DA14='Rankings-Women'!$E:$E),0))</f>
        <v/>
      </c>
      <c r="DJ14" s="188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 t="str">
        <f t="array" ref="DT14">INDEX('Rankings-Women'!$C:$C,MATCH(1,(DK14='Rankings-Women'!$D:$D)*(DL14='Rankings-Women'!$E:$E),0))</f>
        <v/>
      </c>
      <c r="DU14" s="188"/>
    </row>
    <row r="15">
      <c r="A15" s="190" t="s">
        <v>770</v>
      </c>
      <c r="B15" s="187">
        <f>LSUwpot</f>
        <v>0</v>
      </c>
      <c r="C15" s="187"/>
      <c r="D15" s="188">
        <f>LSUwact</f>
        <v>0</v>
      </c>
      <c r="E15" s="186"/>
      <c r="F15" s="187"/>
      <c r="G15" s="187"/>
      <c r="H15" s="187"/>
      <c r="I15" s="187"/>
      <c r="J15" s="187"/>
      <c r="K15" s="187">
        <f>COUNTIF('Rankings-Women'!$L:$L,G15)</f>
        <v>0</v>
      </c>
      <c r="L15" s="187">
        <f t="array" ref="L15">IFNA(INDEX($P$83:$Q$112,MATCH(I15,$P$83:$P115,0),2),0)</f>
        <v>0</v>
      </c>
      <c r="M15" s="187">
        <f t="shared" si="65"/>
        <v>0</v>
      </c>
      <c r="N15" s="187" t="str">
        <f t="array" ref="N15">INDEX('Rankings-Women'!$C:$C,MATCH(1,(E15='Rankings-Women'!$D:$D)*(F15='Rankings-Women'!$E:$E),0))</f>
        <v/>
      </c>
      <c r="O15" s="188">
        <f t="array" ref="O15">IFNA(INDEX($P$83:$Q$112,MATCH(N15,$P$83:$P115,0),2),0)</f>
        <v>0</v>
      </c>
      <c r="P15" s="186"/>
      <c r="Q15" s="187"/>
      <c r="R15" s="187"/>
      <c r="S15" s="187"/>
      <c r="T15" s="187"/>
      <c r="U15" s="187"/>
      <c r="V15" s="187"/>
      <c r="W15" s="187"/>
      <c r="X15" s="187"/>
      <c r="Y15" s="187" t="str">
        <f t="array" ref="Y15">INDEX('Rankings-Women'!$C:$C,MATCH(1,(P15='Rankings-Women'!$D:$D)*(Q15='Rankings-Women'!$E:$E),0))</f>
        <v/>
      </c>
      <c r="Z15" s="188"/>
      <c r="AA15" s="186"/>
      <c r="AB15" s="187"/>
      <c r="AC15" s="187"/>
      <c r="AD15" s="187"/>
      <c r="AE15" s="187"/>
      <c r="AF15" s="187"/>
      <c r="AG15" s="187">
        <f>COUNTIF('Rankings-Women'!$L:$L,AC15)</f>
        <v>0</v>
      </c>
      <c r="AH15" s="187">
        <f t="shared" ref="AH15:AI15" si="80">IFNA(INDEX($P$83:$Q$112,MATCH(AE15,$P$83:$P123,0),2),0)</f>
        <v>0</v>
      </c>
      <c r="AI15" s="187">
        <f t="shared" si="80"/>
        <v>0</v>
      </c>
      <c r="AJ15" s="187" t="str">
        <f t="array" ref="AJ15">INDEX('Rankings-Women'!$C:$C,MATCH(1,(AA15='Rankings-Women'!$D:$D)*(AB15='Rankings-Women'!$E:$E),0))</f>
        <v/>
      </c>
      <c r="AK15" s="188">
        <f t="array" ref="AK15">IFNA(INDEX($P$83:$Q$112,MATCH(AJ15,$P$83:$P115,0),2),0)</f>
        <v>0</v>
      </c>
      <c r="AL15" s="186"/>
      <c r="AM15" s="187"/>
      <c r="AN15" s="187"/>
      <c r="AO15" s="187"/>
      <c r="AP15" s="187"/>
      <c r="AQ15" s="187"/>
      <c r="AR15" s="187"/>
      <c r="AS15" s="187"/>
      <c r="AT15" s="187"/>
      <c r="AU15" s="187" t="str">
        <f t="array" ref="AU15">INDEX('Rankings-Women'!$C:$C,MATCH(1,(AL15='Rankings-Women'!$D:$D)*(AM15='Rankings-Women'!$E:$E),0))</f>
        <v/>
      </c>
      <c r="AV15" s="188"/>
      <c r="AW15" s="186"/>
      <c r="AX15" s="187"/>
      <c r="AY15" s="187"/>
      <c r="AZ15" s="187"/>
      <c r="BA15" s="187"/>
      <c r="BB15" s="187"/>
      <c r="BC15" s="187">
        <f>COUNTIF('Rankings-Women'!$L:$L,AY15)</f>
        <v>0</v>
      </c>
      <c r="BD15" s="187">
        <f t="shared" si="81"/>
        <v>0</v>
      </c>
      <c r="BE15" s="187">
        <f t="shared" si="69"/>
        <v>0</v>
      </c>
      <c r="BF15" s="187" t="str">
        <f t="array" ref="BF15">INDEX('Rankings-Women'!$C:$C,MATCH(1,(AW15='Rankings-Women'!$D:$D)*(AX15='Rankings-Women'!$E:$E),0))</f>
        <v/>
      </c>
      <c r="BG15" s="188">
        <f t="shared" si="82"/>
        <v>0</v>
      </c>
      <c r="BH15" s="186"/>
      <c r="BI15" s="187"/>
      <c r="BJ15" s="187"/>
      <c r="BK15" s="187"/>
      <c r="BL15" s="187"/>
      <c r="BM15" s="187"/>
      <c r="BN15" s="187"/>
      <c r="BO15" s="187"/>
      <c r="BP15" s="187"/>
      <c r="BQ15" s="187" t="str">
        <f t="array" ref="BQ15">INDEX('Rankings-Women'!$C:$C,MATCH(1,(BH15='Rankings-Women'!$D:$D)*(BI15='Rankings-Women'!$E:$E),0))</f>
        <v/>
      </c>
      <c r="BR15" s="188"/>
      <c r="BS15" s="186"/>
      <c r="BT15" s="187"/>
      <c r="BU15" s="187"/>
      <c r="BV15" s="187"/>
      <c r="BW15" s="187"/>
      <c r="BX15" s="187"/>
      <c r="BY15" s="187">
        <f>COUNTIF('Rankings-Women'!$L:$L,BU15)</f>
        <v>0</v>
      </c>
      <c r="BZ15" s="187">
        <f t="array" ref="BZ15">IFNA(INDEX($P$83:$Q$112,MATCH(BW15,$P$83:$P115,0),2),0)</f>
        <v>0</v>
      </c>
      <c r="CA15" s="187">
        <f t="shared" si="70"/>
        <v>0</v>
      </c>
      <c r="CB15" s="187" t="str">
        <f t="array" ref="CB15">INDEX('Rankings-Women'!$C:$C,MATCH(1,(BS15='Rankings-Women'!$D:$D)*(BT15='Rankings-Women'!$E:$E),0))</f>
        <v/>
      </c>
      <c r="CC15" s="188">
        <f t="array" ref="CC15">IFNA(INDEX($P$83:$Q$112,MATCH(CB15,$P$83:$P115,0),2),0)</f>
        <v>0</v>
      </c>
      <c r="CD15" s="186"/>
      <c r="CE15" s="187"/>
      <c r="CF15" s="187"/>
      <c r="CG15" s="187"/>
      <c r="CH15" s="187"/>
      <c r="CI15" s="187"/>
      <c r="CJ15" s="187"/>
      <c r="CK15" s="187"/>
      <c r="CL15" s="187"/>
      <c r="CM15" s="187" t="str">
        <f t="array" ref="CM15">INDEX('Rankings-Women'!$C:$C,MATCH(1,(CD15='Rankings-Women'!$D:$D)*(CE15='Rankings-Women'!$E:$E),0))</f>
        <v/>
      </c>
      <c r="CN15" s="188"/>
      <c r="CO15" s="186"/>
      <c r="CP15" s="187"/>
      <c r="CQ15" s="187"/>
      <c r="CR15" s="187"/>
      <c r="CS15" s="187"/>
      <c r="CT15" s="187"/>
      <c r="CU15" s="187">
        <f>COUNTIF('Rankings-Women'!$L:$L,CQ15)</f>
        <v>0</v>
      </c>
      <c r="CV15" s="187">
        <f t="shared" si="78"/>
        <v>0</v>
      </c>
      <c r="CW15" s="187">
        <f t="shared" si="73"/>
        <v>0</v>
      </c>
      <c r="CX15" s="187" t="str">
        <f t="array" ref="CX15">INDEX('Rankings-Women'!$C:$C,MATCH(1,(CO15='Rankings-Women'!$D:$D)*(CP15='Rankings-Women'!$E:$E),0))</f>
        <v/>
      </c>
      <c r="CY15" s="188">
        <f t="shared" si="83"/>
        <v>0</v>
      </c>
      <c r="CZ15" s="186"/>
      <c r="DA15" s="187"/>
      <c r="DB15" s="187"/>
      <c r="DC15" s="187"/>
      <c r="DD15" s="187"/>
      <c r="DE15" s="187"/>
      <c r="DF15" s="187"/>
      <c r="DG15" s="187"/>
      <c r="DH15" s="187"/>
      <c r="DI15" s="187" t="str">
        <f t="array" ref="DI15">INDEX('Rankings-Women'!$C:$C,MATCH(1,(CZ15='Rankings-Women'!$D:$D)*(DA15='Rankings-Women'!$E:$E),0))</f>
        <v/>
      </c>
      <c r="DJ15" s="188"/>
      <c r="DK15" s="186"/>
      <c r="DL15" s="187"/>
      <c r="DM15" s="187"/>
      <c r="DN15" s="187"/>
      <c r="DO15" s="187"/>
      <c r="DP15" s="187"/>
      <c r="DQ15" s="187"/>
      <c r="DR15" s="187"/>
      <c r="DS15" s="187"/>
      <c r="DT15" s="187" t="str">
        <f t="array" ref="DT15">INDEX('Rankings-Women'!$C:$C,MATCH(1,(DK15='Rankings-Women'!$D:$D)*(DL15='Rankings-Women'!$E:$E),0))</f>
        <v/>
      </c>
      <c r="DU15" s="188"/>
    </row>
    <row r="16">
      <c r="A16" s="193"/>
      <c r="B16" s="194"/>
      <c r="C16" s="194"/>
      <c r="D16" s="195"/>
      <c r="E16" s="186"/>
      <c r="F16" s="187"/>
      <c r="G16" s="187"/>
      <c r="H16" s="187"/>
      <c r="I16" s="187"/>
      <c r="J16" s="187"/>
      <c r="K16" s="187">
        <f>COUNTIF('Rankings-Women'!$L:$L,G16)</f>
        <v>0</v>
      </c>
      <c r="L16" s="187">
        <f t="array" ref="L16">IFNA(INDEX($P$83:$Q$112,MATCH(I16,$P$83:$P115,0),2),0)</f>
        <v>0</v>
      </c>
      <c r="M16" s="187">
        <f t="shared" si="65"/>
        <v>0</v>
      </c>
      <c r="N16" s="187" t="str">
        <f t="array" ref="N16">INDEX('Rankings-Women'!$C:$C,MATCH(1,(E16='Rankings-Women'!$D:$D)*(F16='Rankings-Women'!$E:$E),0))</f>
        <v/>
      </c>
      <c r="O16" s="188">
        <f t="array" ref="O16">IFNA(INDEX($P$83:$Q$112,MATCH(N16,$P$83:$P115,0),2),0)</f>
        <v>0</v>
      </c>
      <c r="P16" s="186"/>
      <c r="Q16" s="187"/>
      <c r="R16" s="187"/>
      <c r="S16" s="187"/>
      <c r="T16" s="187"/>
      <c r="U16" s="187"/>
      <c r="V16" s="187"/>
      <c r="W16" s="187"/>
      <c r="X16" s="187"/>
      <c r="Y16" s="187" t="str">
        <f t="array" ref="Y16">INDEX('Rankings-Women'!$C:$C,MATCH(1,(P16='Rankings-Women'!$D:$D)*(Q16='Rankings-Women'!$E:$E),0))</f>
        <v/>
      </c>
      <c r="Z16" s="188"/>
      <c r="AA16" s="186"/>
      <c r="AB16" s="187"/>
      <c r="AC16" s="187"/>
      <c r="AD16" s="187"/>
      <c r="AE16" s="187"/>
      <c r="AF16" s="187"/>
      <c r="AG16" s="187">
        <f>COUNTIF('Rankings-Women'!$L:$L,AC16)</f>
        <v>0</v>
      </c>
      <c r="AH16" s="187">
        <f t="shared" ref="AH16:AI16" si="84">IFNA(INDEX($P$83:$Q$112,MATCH(AE16,$P$83:$P124,0),2),0)</f>
        <v>0</v>
      </c>
      <c r="AI16" s="187">
        <f t="shared" si="84"/>
        <v>0</v>
      </c>
      <c r="AJ16" s="187" t="str">
        <f t="array" ref="AJ16">INDEX('Rankings-Women'!$C:$C,MATCH(1,(AA16='Rankings-Women'!$D:$D)*(AB16='Rankings-Women'!$E:$E),0))</f>
        <v/>
      </c>
      <c r="AK16" s="188">
        <f t="array" ref="AK16">IFNA(INDEX($P$83:$Q$112,MATCH(AJ16,$P$83:$P115,0),2),0)</f>
        <v>0</v>
      </c>
      <c r="AL16" s="186"/>
      <c r="AM16" s="187"/>
      <c r="AN16" s="187"/>
      <c r="AO16" s="187"/>
      <c r="AP16" s="187"/>
      <c r="AQ16" s="187"/>
      <c r="AR16" s="187"/>
      <c r="AS16" s="187"/>
      <c r="AT16" s="187"/>
      <c r="AU16" s="187" t="str">
        <f t="array" ref="AU16">INDEX('Rankings-Women'!$C:$C,MATCH(1,(AL16='Rankings-Women'!$D:$D)*(AM16='Rankings-Women'!$E:$E),0))</f>
        <v/>
      </c>
      <c r="AV16" s="188"/>
      <c r="AW16" s="186"/>
      <c r="AX16" s="187"/>
      <c r="AY16" s="187"/>
      <c r="AZ16" s="187"/>
      <c r="BA16" s="187"/>
      <c r="BB16" s="187"/>
      <c r="BC16" s="187">
        <f>COUNTIF('Rankings-Women'!$L:$L,AY16)</f>
        <v>0</v>
      </c>
      <c r="BD16" s="187">
        <f t="shared" si="81"/>
        <v>0</v>
      </c>
      <c r="BE16" s="187">
        <f t="shared" si="69"/>
        <v>0</v>
      </c>
      <c r="BF16" s="187"/>
      <c r="BG16" s="188"/>
      <c r="BH16" s="186"/>
      <c r="BI16" s="187"/>
      <c r="BJ16" s="187"/>
      <c r="BK16" s="187"/>
      <c r="BL16" s="187"/>
      <c r="BM16" s="187"/>
      <c r="BN16" s="187"/>
      <c r="BO16" s="187"/>
      <c r="BP16" s="187"/>
      <c r="BQ16" s="187" t="str">
        <f t="array" ref="BQ16">INDEX('Rankings-Women'!$C:$C,MATCH(1,(BH16='Rankings-Women'!$D:$D)*(BI16='Rankings-Women'!$E:$E),0))</f>
        <v/>
      </c>
      <c r="BR16" s="188"/>
      <c r="BS16" s="186"/>
      <c r="BT16" s="187"/>
      <c r="BU16" s="187"/>
      <c r="BV16" s="187"/>
      <c r="BW16" s="187"/>
      <c r="BX16" s="187"/>
      <c r="BY16" s="187"/>
      <c r="BZ16" s="187"/>
      <c r="CA16" s="187"/>
      <c r="CB16" s="187" t="str">
        <f t="array" ref="CB16">INDEX('Rankings-Women'!$C:$C,MATCH(1,(BS16='Rankings-Women'!$D:$D)*(BT16='Rankings-Women'!$E:$E),0))</f>
        <v/>
      </c>
      <c r="CC16" s="188"/>
      <c r="CD16" s="186"/>
      <c r="CE16" s="187"/>
      <c r="CF16" s="187"/>
      <c r="CG16" s="187"/>
      <c r="CH16" s="187"/>
      <c r="CI16" s="187"/>
      <c r="CJ16" s="187"/>
      <c r="CK16" s="187"/>
      <c r="CL16" s="187"/>
      <c r="CM16" s="187" t="str">
        <f t="array" ref="CM16">INDEX('Rankings-Women'!$C:$C,MATCH(1,(CD16='Rankings-Women'!$D:$D)*(CE16='Rankings-Women'!$E:$E),0))</f>
        <v/>
      </c>
      <c r="CN16" s="188"/>
      <c r="CO16" s="186"/>
      <c r="CP16" s="187"/>
      <c r="CQ16" s="187"/>
      <c r="CR16" s="187"/>
      <c r="CS16" s="187"/>
      <c r="CT16" s="187"/>
      <c r="CU16" s="187">
        <f>COUNTIF('Rankings-Women'!$L:$L,CQ16)</f>
        <v>0</v>
      </c>
      <c r="CV16" s="187">
        <f t="shared" si="78"/>
        <v>0</v>
      </c>
      <c r="CW16" s="187">
        <f t="shared" si="73"/>
        <v>0</v>
      </c>
      <c r="CX16" s="187" t="str">
        <f t="array" ref="CX16">INDEX('Rankings-Women'!$C:$C,MATCH(1,(CO16='Rankings-Women'!$D:$D)*(CP16='Rankings-Women'!$E:$E),0))</f>
        <v/>
      </c>
      <c r="CY16" s="188">
        <f t="shared" si="83"/>
        <v>0</v>
      </c>
      <c r="CZ16" s="186"/>
      <c r="DA16" s="187"/>
      <c r="DB16" s="187"/>
      <c r="DC16" s="187"/>
      <c r="DD16" s="187"/>
      <c r="DE16" s="187"/>
      <c r="DF16" s="187"/>
      <c r="DG16" s="187"/>
      <c r="DH16" s="187"/>
      <c r="DI16" s="187" t="str">
        <f t="array" ref="DI16">INDEX('Rankings-Women'!$C:$C,MATCH(1,(CZ16='Rankings-Women'!$D:$D)*(DA16='Rankings-Women'!$E:$E),0))</f>
        <v/>
      </c>
      <c r="DJ16" s="188"/>
      <c r="DK16" s="186"/>
      <c r="DL16" s="187"/>
      <c r="DM16" s="187"/>
      <c r="DN16" s="187"/>
      <c r="DO16" s="187"/>
      <c r="DP16" s="187"/>
      <c r="DQ16" s="187"/>
      <c r="DR16" s="187"/>
      <c r="DS16" s="187"/>
      <c r="DT16" s="187" t="str">
        <f t="array" ref="DT16">INDEX('Rankings-Women'!$C:$C,MATCH(1,(DK16='Rankings-Women'!$D:$D)*(DL16='Rankings-Women'!$E:$E),0))</f>
        <v/>
      </c>
      <c r="DU16" s="188"/>
    </row>
    <row r="17">
      <c r="A17" s="168"/>
      <c r="B17" s="169"/>
      <c r="C17" s="170"/>
      <c r="D17" s="170"/>
      <c r="E17" s="186"/>
      <c r="F17" s="187"/>
      <c r="G17" s="187"/>
      <c r="H17" s="187"/>
      <c r="I17" s="187"/>
      <c r="J17" s="187"/>
      <c r="K17" s="187">
        <f>COUNTIF('Rankings-Women'!$L:$L,G17)</f>
        <v>0</v>
      </c>
      <c r="L17" s="187">
        <f t="array" ref="L17">IFNA(INDEX($P$83:$Q$112,MATCH(I17,$P$83:$P115,0),2),0)</f>
        <v>0</v>
      </c>
      <c r="M17" s="187">
        <f t="shared" si="65"/>
        <v>0</v>
      </c>
      <c r="N17" s="187" t="str">
        <f t="array" ref="N17">INDEX('Rankings-Women'!$C:$C,MATCH(1,(E17='Rankings-Women'!$D:$D)*(F17='Rankings-Women'!$E:$E),0))</f>
        <v/>
      </c>
      <c r="O17" s="188">
        <f t="array" ref="O17">IFNA(INDEX($P$83:$Q$112,MATCH(N17,$P$83:$P115,0),2),0)</f>
        <v>0</v>
      </c>
      <c r="P17" s="186"/>
      <c r="Q17" s="187"/>
      <c r="R17" s="187"/>
      <c r="S17" s="187"/>
      <c r="T17" s="187"/>
      <c r="U17" s="187"/>
      <c r="V17" s="187"/>
      <c r="W17" s="187"/>
      <c r="X17" s="187"/>
      <c r="Y17" s="187" t="str">
        <f t="array" ref="Y17">INDEX('Rankings-Women'!$C:$C,MATCH(1,(P17='Rankings-Women'!$D:$D)*(Q17='Rankings-Women'!$E:$E),0))</f>
        <v/>
      </c>
      <c r="Z17" s="188"/>
      <c r="AA17" s="186"/>
      <c r="AB17" s="187"/>
      <c r="AC17" s="187"/>
      <c r="AD17" s="187"/>
      <c r="AE17" s="187"/>
      <c r="AF17" s="187"/>
      <c r="AG17" s="187">
        <f>COUNTIF('Rankings-Women'!$L:$L,AC17)</f>
        <v>0</v>
      </c>
      <c r="AH17" s="187">
        <f t="shared" ref="AH17:AI17" si="85">IFNA(INDEX($P$83:$Q$112,MATCH(AE17,$P$83:$P125,0),2),0)</f>
        <v>0</v>
      </c>
      <c r="AI17" s="187">
        <f t="shared" si="85"/>
        <v>0</v>
      </c>
      <c r="AJ17" s="187" t="str">
        <f t="array" ref="AJ17">INDEX('Rankings-Women'!$C:$C,MATCH(1,(AA17='Rankings-Women'!$D:$D)*(AB17='Rankings-Women'!$E:$E),0))</f>
        <v/>
      </c>
      <c r="AK17" s="188">
        <f t="array" ref="AK17">IFNA(INDEX($P$83:$Q$112,MATCH(AJ17,$P$83:$P115,0),2),0)</f>
        <v>0</v>
      </c>
      <c r="AL17" s="186"/>
      <c r="AM17" s="187"/>
      <c r="AN17" s="187"/>
      <c r="AO17" s="187"/>
      <c r="AP17" s="187"/>
      <c r="AQ17" s="187"/>
      <c r="AR17" s="187"/>
      <c r="AS17" s="187"/>
      <c r="AT17" s="187"/>
      <c r="AU17" s="187" t="str">
        <f t="array" ref="AU17">INDEX('Rankings-Women'!$C:$C,MATCH(1,(AL17='Rankings-Women'!$D:$D)*(AM17='Rankings-Women'!$E:$E),0))</f>
        <v/>
      </c>
      <c r="AV17" s="188"/>
      <c r="AW17" s="186"/>
      <c r="AX17" s="187"/>
      <c r="AY17" s="187"/>
      <c r="AZ17" s="187"/>
      <c r="BA17" s="187"/>
      <c r="BB17" s="187"/>
      <c r="BC17" s="187">
        <f>COUNTIF('Rankings-Women'!$L:$L,AY17)</f>
        <v>0</v>
      </c>
      <c r="BD17" s="187">
        <f t="shared" si="81"/>
        <v>0</v>
      </c>
      <c r="BE17" s="187">
        <f t="shared" si="69"/>
        <v>0</v>
      </c>
      <c r="BF17" s="196">
        <v>8.0</v>
      </c>
      <c r="BG17" s="188">
        <f t="shared" ref="BG17:BG18" si="87">IFNA(INDEX($P$83:$Q$112,MATCH(BF17,$P$83:$P118,0),2),0)</f>
        <v>3</v>
      </c>
      <c r="BH17" s="186"/>
      <c r="BI17" s="187"/>
      <c r="BJ17" s="187"/>
      <c r="BK17" s="187"/>
      <c r="BL17" s="187"/>
      <c r="BM17" s="187"/>
      <c r="BN17" s="187"/>
      <c r="BO17" s="187"/>
      <c r="BP17" s="187"/>
      <c r="BQ17" s="187" t="str">
        <f t="array" ref="BQ17">INDEX('Rankings-Women'!$C:$C,MATCH(1,(BH17='Rankings-Women'!$D:$D)*(BI17='Rankings-Women'!$E:$E),0))</f>
        <v/>
      </c>
      <c r="BR17" s="188"/>
      <c r="BS17" s="186"/>
      <c r="BT17" s="187"/>
      <c r="BU17" s="187"/>
      <c r="BV17" s="187"/>
      <c r="BW17" s="187"/>
      <c r="BX17" s="187"/>
      <c r="BY17" s="187"/>
      <c r="BZ17" s="187"/>
      <c r="CA17" s="187"/>
      <c r="CB17" s="187" t="str">
        <f t="array" ref="CB17">INDEX('Rankings-Women'!$C:$C,MATCH(1,(BS17='Rankings-Women'!$D:$D)*(BT17='Rankings-Women'!$E:$E),0))</f>
        <v/>
      </c>
      <c r="CC17" s="188"/>
      <c r="CD17" s="186"/>
      <c r="CE17" s="187"/>
      <c r="CF17" s="187"/>
      <c r="CG17" s="187"/>
      <c r="CH17" s="187"/>
      <c r="CI17" s="187"/>
      <c r="CJ17" s="187"/>
      <c r="CK17" s="187"/>
      <c r="CL17" s="187"/>
      <c r="CM17" s="187" t="str">
        <f t="array" ref="CM17">INDEX('Rankings-Women'!$C:$C,MATCH(1,(CD17='Rankings-Women'!$D:$D)*(CE17='Rankings-Women'!$E:$E),0))</f>
        <v/>
      </c>
      <c r="CN17" s="188"/>
      <c r="CO17" s="186"/>
      <c r="CP17" s="187"/>
      <c r="CQ17" s="187"/>
      <c r="CR17" s="187"/>
      <c r="CS17" s="187"/>
      <c r="CT17" s="187"/>
      <c r="CU17" s="187">
        <f>COUNTIF('Rankings-Women'!$L:$L,CQ17)</f>
        <v>0</v>
      </c>
      <c r="CV17" s="187">
        <f t="shared" si="78"/>
        <v>0</v>
      </c>
      <c r="CW17" s="187">
        <f t="shared" si="73"/>
        <v>0</v>
      </c>
      <c r="CX17" s="187"/>
      <c r="CY17" s="188"/>
      <c r="CZ17" s="186"/>
      <c r="DA17" s="187"/>
      <c r="DB17" s="187"/>
      <c r="DC17" s="187"/>
      <c r="DD17" s="187"/>
      <c r="DE17" s="187"/>
      <c r="DF17" s="187"/>
      <c r="DG17" s="187"/>
      <c r="DH17" s="187"/>
      <c r="DI17" s="187" t="str">
        <f t="array" ref="DI17">INDEX('Rankings-Women'!$C:$C,MATCH(1,(CZ17='Rankings-Women'!$D:$D)*(DA17='Rankings-Women'!$E:$E),0))</f>
        <v/>
      </c>
      <c r="DJ17" s="188"/>
      <c r="DK17" s="186"/>
      <c r="DL17" s="187"/>
      <c r="DM17" s="187"/>
      <c r="DN17" s="187"/>
      <c r="DO17" s="187"/>
      <c r="DP17" s="187"/>
      <c r="DQ17" s="187"/>
      <c r="DR17" s="187"/>
      <c r="DS17" s="187"/>
      <c r="DT17" s="187" t="str">
        <f t="array" ref="DT17">INDEX('Rankings-Women'!$C:$C,MATCH(1,(DK17='Rankings-Women'!$D:$D)*(DL17='Rankings-Women'!$E:$E),0))</f>
        <v/>
      </c>
      <c r="DU17" s="188"/>
    </row>
    <row r="18">
      <c r="A18" s="168"/>
      <c r="B18" s="169"/>
      <c r="C18" s="170"/>
      <c r="D18" s="170"/>
      <c r="E18" s="186"/>
      <c r="F18" s="187"/>
      <c r="G18" s="187"/>
      <c r="H18" s="187"/>
      <c r="I18" s="187"/>
      <c r="J18" s="187"/>
      <c r="K18" s="187">
        <f>COUNTIF('Rankings-Women'!$L:$L,G18)</f>
        <v>0</v>
      </c>
      <c r="L18" s="187">
        <f t="array" ref="L18">IFNA(INDEX($P$83:$Q$112,MATCH(I18,$P$83:$P115,0),2),0)</f>
        <v>0</v>
      </c>
      <c r="M18" s="187">
        <f t="shared" si="65"/>
        <v>0</v>
      </c>
      <c r="N18" s="187" t="str">
        <f t="array" ref="N18">INDEX('Rankings-Women'!$C:$C,MATCH(1,(E18='Rankings-Women'!$D:$D)*(F18='Rankings-Women'!$E:$E),0))</f>
        <v/>
      </c>
      <c r="O18" s="188">
        <f t="array" ref="O18">IFNA(INDEX($P$83:$Q$112,MATCH(N18,$P$83:$P115,0),2),0)</f>
        <v>0</v>
      </c>
      <c r="P18" s="186"/>
      <c r="Q18" s="187"/>
      <c r="R18" s="187"/>
      <c r="S18" s="187"/>
      <c r="T18" s="187"/>
      <c r="U18" s="187"/>
      <c r="V18" s="187"/>
      <c r="W18" s="187"/>
      <c r="X18" s="187"/>
      <c r="Y18" s="187" t="str">
        <f t="array" ref="Y18">INDEX('Rankings-Women'!$C:$C,MATCH(1,(P18='Rankings-Women'!$D:$D)*(Q18='Rankings-Women'!$E:$E),0))</f>
        <v/>
      </c>
      <c r="Z18" s="188"/>
      <c r="AA18" s="186"/>
      <c r="AB18" s="187"/>
      <c r="AC18" s="187"/>
      <c r="AD18" s="187"/>
      <c r="AE18" s="187"/>
      <c r="AF18" s="187"/>
      <c r="AG18" s="187">
        <f>COUNTIF('Rankings-Women'!$L:$L,AC18)</f>
        <v>0</v>
      </c>
      <c r="AH18" s="187">
        <f t="shared" ref="AH18:AI18" si="86">IFNA(INDEX($P$83:$Q$112,MATCH(AE18,$P$83:$P126,0),2),0)</f>
        <v>0</v>
      </c>
      <c r="AI18" s="187">
        <f t="shared" si="86"/>
        <v>0</v>
      </c>
      <c r="AJ18" s="187" t="str">
        <f t="array" ref="AJ18">INDEX('Rankings-Women'!$C:$C,MATCH(1,(AA18='Rankings-Women'!$D:$D)*(AB18='Rankings-Women'!$E:$E),0))</f>
        <v/>
      </c>
      <c r="AK18" s="188">
        <f t="array" ref="AK18">IFNA(INDEX($P$83:$Q$112,MATCH(AJ18,$P$83:$P115,0),2),0)</f>
        <v>0</v>
      </c>
      <c r="AL18" s="186"/>
      <c r="AM18" s="187"/>
      <c r="AN18" s="187"/>
      <c r="AO18" s="187"/>
      <c r="AP18" s="187"/>
      <c r="AQ18" s="187"/>
      <c r="AR18" s="187"/>
      <c r="AS18" s="187"/>
      <c r="AT18" s="187"/>
      <c r="AU18" s="187" t="str">
        <f t="array" ref="AU18">INDEX('Rankings-Women'!$C:$C,MATCH(1,(AL18='Rankings-Women'!$D:$D)*(AM18='Rankings-Women'!$E:$E),0))</f>
        <v/>
      </c>
      <c r="AV18" s="188"/>
      <c r="AW18" s="186"/>
      <c r="AX18" s="187"/>
      <c r="AY18" s="187"/>
      <c r="AZ18" s="187"/>
      <c r="BA18" s="187"/>
      <c r="BB18" s="187"/>
      <c r="BC18" s="187">
        <f>COUNTIF('Rankings-Women'!$L:$L,AY18)</f>
        <v>0</v>
      </c>
      <c r="BD18" s="187">
        <f t="shared" si="81"/>
        <v>0</v>
      </c>
      <c r="BE18" s="187">
        <f t="shared" si="69"/>
        <v>0</v>
      </c>
      <c r="BF18" s="187" t="str">
        <f t="array" ref="BF18">INDEX('Rankings-Women'!$C:$C,MATCH(1,(AW18='Rankings-Women'!$D:$D)*(AX18='Rankings-Women'!$E:$E),0))</f>
        <v/>
      </c>
      <c r="BG18" s="188">
        <f t="shared" si="87"/>
        <v>0</v>
      </c>
      <c r="BH18" s="186"/>
      <c r="BI18" s="187"/>
      <c r="BJ18" s="187"/>
      <c r="BK18" s="187"/>
      <c r="BL18" s="187"/>
      <c r="BM18" s="187"/>
      <c r="BN18" s="187"/>
      <c r="BO18" s="187"/>
      <c r="BP18" s="187"/>
      <c r="BQ18" s="187" t="str">
        <f t="array" ref="BQ18">INDEX('Rankings-Women'!$C:$C,MATCH(1,(BH18='Rankings-Women'!$D:$D)*(BI18='Rankings-Women'!$E:$E),0))</f>
        <v/>
      </c>
      <c r="BR18" s="188"/>
      <c r="BS18" s="186"/>
      <c r="BT18" s="187"/>
      <c r="BU18" s="187"/>
      <c r="BV18" s="187"/>
      <c r="BW18" s="187"/>
      <c r="BX18" s="187"/>
      <c r="BY18" s="187"/>
      <c r="BZ18" s="187"/>
      <c r="CA18" s="187"/>
      <c r="CB18" s="187" t="str">
        <f t="array" ref="CB18">INDEX('Rankings-Women'!$C:$C,MATCH(1,(BS18='Rankings-Women'!$D:$D)*(BT18='Rankings-Women'!$E:$E),0))</f>
        <v/>
      </c>
      <c r="CC18" s="188"/>
      <c r="CD18" s="186"/>
      <c r="CE18" s="187"/>
      <c r="CF18" s="187"/>
      <c r="CG18" s="187"/>
      <c r="CH18" s="187"/>
      <c r="CI18" s="187"/>
      <c r="CJ18" s="187"/>
      <c r="CK18" s="187"/>
      <c r="CL18" s="187"/>
      <c r="CM18" s="187" t="str">
        <f t="array" ref="CM18">INDEX('Rankings-Women'!$C:$C,MATCH(1,(CD18='Rankings-Women'!$D:$D)*(CE18='Rankings-Women'!$E:$E),0))</f>
        <v/>
      </c>
      <c r="CN18" s="188"/>
      <c r="CO18" s="186"/>
      <c r="CP18" s="187"/>
      <c r="CQ18" s="187"/>
      <c r="CR18" s="187"/>
      <c r="CS18" s="187"/>
      <c r="CT18" s="187"/>
      <c r="CU18" s="187">
        <f>COUNTIF('Rankings-Women'!$L:$L,CQ18)</f>
        <v>0</v>
      </c>
      <c r="CV18" s="187">
        <f t="shared" si="78"/>
        <v>0</v>
      </c>
      <c r="CW18" s="187">
        <f t="shared" si="73"/>
        <v>0</v>
      </c>
      <c r="CX18" s="187" t="str">
        <f t="array" ref="CX18">INDEX('Rankings-Women'!$C:$C,MATCH(1,(CO18='Rankings-Women'!$D:$D)*(CP18='Rankings-Women'!$E:$E),0))</f>
        <v/>
      </c>
      <c r="CY18" s="188">
        <f t="array" ref="CY18">IFNA(INDEX($P$83:$Q$112,MATCH(CX18,$P$83:$P121,0),2),0)</f>
        <v>0</v>
      </c>
      <c r="CZ18" s="186"/>
      <c r="DA18" s="187"/>
      <c r="DB18" s="187"/>
      <c r="DC18" s="187"/>
      <c r="DD18" s="187"/>
      <c r="DE18" s="187"/>
      <c r="DF18" s="187"/>
      <c r="DG18" s="187"/>
      <c r="DH18" s="187"/>
      <c r="DI18" s="187" t="str">
        <f t="array" ref="DI18">INDEX('Rankings-Women'!$C:$C,MATCH(1,(CZ18='Rankings-Women'!$D:$D)*(DA18='Rankings-Women'!$E:$E),0))</f>
        <v/>
      </c>
      <c r="DJ18" s="188"/>
      <c r="DK18" s="186"/>
      <c r="DL18" s="187"/>
      <c r="DM18" s="187"/>
      <c r="DN18" s="187"/>
      <c r="DO18" s="187"/>
      <c r="DP18" s="187"/>
      <c r="DQ18" s="187"/>
      <c r="DR18" s="187"/>
      <c r="DS18" s="187"/>
      <c r="DT18" s="187" t="str">
        <f t="array" ref="DT18">INDEX('Rankings-Women'!$C:$C,MATCH(1,(DK18='Rankings-Women'!$D:$D)*(DL18='Rankings-Women'!$E:$E),0))</f>
        <v/>
      </c>
      <c r="DU18" s="188"/>
    </row>
    <row r="19">
      <c r="A19" s="168"/>
      <c r="B19" s="169"/>
      <c r="C19" s="170"/>
      <c r="D19" s="170"/>
      <c r="E19" s="186"/>
      <c r="F19" s="187"/>
      <c r="G19" s="187"/>
      <c r="H19" s="187"/>
      <c r="I19" s="187"/>
      <c r="J19" s="187"/>
      <c r="K19" s="187">
        <f>COUNTIF('Rankings-Women'!$L:$L,G19)</f>
        <v>0</v>
      </c>
      <c r="L19" s="187">
        <f t="array" ref="L19">IFNA(INDEX($P$83:$Q$112,MATCH(I19,$P$83:$P115,0),2),0)</f>
        <v>0</v>
      </c>
      <c r="M19" s="187">
        <f t="shared" si="65"/>
        <v>0</v>
      </c>
      <c r="N19" s="187" t="str">
        <f t="array" ref="N19">INDEX('Rankings-Women'!$C:$C,MATCH(1,(E19='Rankings-Women'!$D:$D)*(F19='Rankings-Women'!$E:$E),0))</f>
        <v/>
      </c>
      <c r="O19" s="188">
        <f t="array" ref="O19">IFNA(INDEX($P$83:$Q$112,MATCH(N19,$P$83:$P115,0),2),0)</f>
        <v>0</v>
      </c>
      <c r="P19" s="186"/>
      <c r="Q19" s="187"/>
      <c r="R19" s="187"/>
      <c r="S19" s="187"/>
      <c r="T19" s="187"/>
      <c r="U19" s="187"/>
      <c r="V19" s="187"/>
      <c r="W19" s="187"/>
      <c r="X19" s="187"/>
      <c r="Y19" s="187" t="str">
        <f t="array" ref="Y19">INDEX('Rankings-Women'!$C:$C,MATCH(1,(P19='Rankings-Women'!$D:$D)*(Q19='Rankings-Women'!$E:$E),0))</f>
        <v/>
      </c>
      <c r="Z19" s="188"/>
      <c r="AA19" s="186"/>
      <c r="AB19" s="187"/>
      <c r="AC19" s="187"/>
      <c r="AD19" s="187"/>
      <c r="AE19" s="187"/>
      <c r="AF19" s="187"/>
      <c r="AG19" s="187">
        <f>COUNTIF('Rankings-Women'!$L:$L,AC19)</f>
        <v>0</v>
      </c>
      <c r="AH19" s="187">
        <f t="shared" ref="AH19:AI19" si="88">IFNA(INDEX($P$83:$Q$112,MATCH(AE19,$P$83:$P127,0),2),0)</f>
        <v>0</v>
      </c>
      <c r="AI19" s="187">
        <f t="shared" si="88"/>
        <v>0</v>
      </c>
      <c r="AJ19" s="187" t="str">
        <f t="array" ref="AJ19">INDEX('Rankings-Women'!$C:$C,MATCH(1,(AA19='Rankings-Women'!$D:$D)*(AB19='Rankings-Women'!$E:$E),0))</f>
        <v/>
      </c>
      <c r="AK19" s="188">
        <f t="array" ref="AK19">IFNA(INDEX($P$83:$Q$112,MATCH(AJ19,$P$83:$P115,0),2),0)</f>
        <v>0</v>
      </c>
      <c r="AL19" s="186"/>
      <c r="AM19" s="187"/>
      <c r="AN19" s="187"/>
      <c r="AO19" s="187"/>
      <c r="AP19" s="187"/>
      <c r="AQ19" s="187"/>
      <c r="AR19" s="187"/>
      <c r="AS19" s="187"/>
      <c r="AT19" s="187"/>
      <c r="AU19" s="187" t="str">
        <f t="array" ref="AU19">INDEX('Rankings-Women'!$C:$C,MATCH(1,(AL19='Rankings-Women'!$D:$D)*(AM19='Rankings-Women'!$E:$E),0))</f>
        <v/>
      </c>
      <c r="AV19" s="188"/>
      <c r="AW19" s="186"/>
      <c r="AX19" s="187"/>
      <c r="AY19" s="187"/>
      <c r="AZ19" s="187"/>
      <c r="BA19" s="187"/>
      <c r="BB19" s="187"/>
      <c r="BC19" s="187"/>
      <c r="BD19" s="187"/>
      <c r="BE19" s="187"/>
      <c r="BF19" s="187"/>
      <c r="BG19" s="188"/>
      <c r="BH19" s="186"/>
      <c r="BI19" s="187"/>
      <c r="BJ19" s="187"/>
      <c r="BK19" s="187"/>
      <c r="BL19" s="187"/>
      <c r="BM19" s="187"/>
      <c r="BN19" s="187"/>
      <c r="BO19" s="187"/>
      <c r="BP19" s="187"/>
      <c r="BQ19" s="187" t="str">
        <f t="array" ref="BQ19">INDEX('Rankings-Women'!$C:$C,MATCH(1,(BH19='Rankings-Women'!$D:$D)*(BI19='Rankings-Women'!$E:$E),0))</f>
        <v/>
      </c>
      <c r="BR19" s="188"/>
      <c r="BS19" s="186"/>
      <c r="BT19" s="187"/>
      <c r="BU19" s="187"/>
      <c r="BV19" s="187"/>
      <c r="BW19" s="187"/>
      <c r="BX19" s="187"/>
      <c r="BY19" s="187"/>
      <c r="BZ19" s="187"/>
      <c r="CA19" s="187"/>
      <c r="CB19" s="187" t="str">
        <f t="array" ref="CB19">INDEX('Rankings-Women'!$C:$C,MATCH(1,(BS19='Rankings-Women'!$D:$D)*(BT19='Rankings-Women'!$E:$E),0))</f>
        <v/>
      </c>
      <c r="CC19" s="188"/>
      <c r="CD19" s="186"/>
      <c r="CE19" s="187"/>
      <c r="CF19" s="187"/>
      <c r="CG19" s="187"/>
      <c r="CH19" s="187"/>
      <c r="CI19" s="187"/>
      <c r="CJ19" s="187"/>
      <c r="CK19" s="187"/>
      <c r="CL19" s="187"/>
      <c r="CM19" s="187" t="str">
        <f t="array" ref="CM19">INDEX('Rankings-Women'!$C:$C,MATCH(1,(CD19='Rankings-Women'!$D:$D)*(CE19='Rankings-Women'!$E:$E),0))</f>
        <v/>
      </c>
      <c r="CN19" s="188"/>
      <c r="CO19" s="186"/>
      <c r="CP19" s="187"/>
      <c r="CQ19" s="187"/>
      <c r="CR19" s="187"/>
      <c r="CS19" s="187"/>
      <c r="CT19" s="187"/>
      <c r="CU19" s="187">
        <f>COUNTIF('Rankings-Women'!$L:$L,CQ19)</f>
        <v>0</v>
      </c>
      <c r="CV19" s="187">
        <f t="shared" si="78"/>
        <v>0</v>
      </c>
      <c r="CW19" s="187">
        <f t="shared" si="73"/>
        <v>0</v>
      </c>
      <c r="CX19" s="187"/>
      <c r="CY19" s="188"/>
      <c r="CZ19" s="186"/>
      <c r="DA19" s="187"/>
      <c r="DB19" s="187"/>
      <c r="DC19" s="187"/>
      <c r="DD19" s="187"/>
      <c r="DE19" s="187"/>
      <c r="DF19" s="187"/>
      <c r="DG19" s="187"/>
      <c r="DH19" s="187"/>
      <c r="DI19" s="187" t="str">
        <f t="array" ref="DI19">INDEX('Rankings-Women'!$C:$C,MATCH(1,(CZ19='Rankings-Women'!$D:$D)*(DA19='Rankings-Women'!$E:$E),0))</f>
        <v/>
      </c>
      <c r="DJ19" s="188"/>
      <c r="DK19" s="186"/>
      <c r="DL19" s="187"/>
      <c r="DM19" s="187"/>
      <c r="DN19" s="187"/>
      <c r="DO19" s="187"/>
      <c r="DP19" s="187"/>
      <c r="DQ19" s="187"/>
      <c r="DR19" s="187"/>
      <c r="DS19" s="187"/>
      <c r="DT19" s="187" t="str">
        <f t="array" ref="DT19">INDEX('Rankings-Women'!$C:$C,MATCH(1,(DK19='Rankings-Women'!$D:$D)*(DL19='Rankings-Women'!$E:$E),0))</f>
        <v/>
      </c>
      <c r="DU19" s="188"/>
    </row>
    <row r="20">
      <c r="A20" s="168"/>
      <c r="B20" s="169"/>
      <c r="C20" s="170"/>
      <c r="D20" s="170"/>
      <c r="E20" s="186"/>
      <c r="F20" s="187"/>
      <c r="G20" s="187"/>
      <c r="H20" s="187"/>
      <c r="I20" s="187"/>
      <c r="J20" s="187"/>
      <c r="K20" s="187">
        <f>COUNTIF('Rankings-Women'!$L:$L,G20)</f>
        <v>0</v>
      </c>
      <c r="L20" s="187">
        <f t="array" ref="L20">IFNA(INDEX($P$83:$Q$112,MATCH(I20,$P$83:$P115,0),2),0)</f>
        <v>0</v>
      </c>
      <c r="M20" s="187">
        <f t="shared" si="65"/>
        <v>0</v>
      </c>
      <c r="N20" s="187" t="str">
        <f t="array" ref="N20">INDEX('Rankings-Women'!$C:$C,MATCH(1,(E20='Rankings-Women'!$D:$D)*(F20='Rankings-Women'!$E:$E),0))</f>
        <v/>
      </c>
      <c r="O20" s="188">
        <f t="array" ref="O20">IFNA(INDEX($P$83:$Q$112,MATCH(N20,$P$83:$P115,0),2),0)</f>
        <v>0</v>
      </c>
      <c r="P20" s="186"/>
      <c r="Q20" s="187"/>
      <c r="R20" s="187"/>
      <c r="S20" s="187"/>
      <c r="T20" s="187"/>
      <c r="U20" s="187"/>
      <c r="V20" s="187"/>
      <c r="W20" s="187"/>
      <c r="X20" s="187"/>
      <c r="Y20" s="187" t="str">
        <f t="array" ref="Y20">INDEX('Rankings-Women'!$C:$C,MATCH(1,(P20='Rankings-Women'!$D:$D)*(Q20='Rankings-Women'!$E:$E),0))</f>
        <v/>
      </c>
      <c r="Z20" s="188"/>
      <c r="AA20" s="186"/>
      <c r="AB20" s="187"/>
      <c r="AC20" s="187"/>
      <c r="AD20" s="187"/>
      <c r="AE20" s="187"/>
      <c r="AF20" s="187"/>
      <c r="AG20" s="187">
        <f>COUNTIF('Rankings-Women'!$L:$L,AC20)</f>
        <v>0</v>
      </c>
      <c r="AH20" s="187">
        <f t="shared" ref="AH20:AI20" si="89">IFNA(INDEX($P$83:$Q$112,MATCH(AE20,$P$83:$P128,0),2),0)</f>
        <v>0</v>
      </c>
      <c r="AI20" s="187">
        <f t="shared" si="89"/>
        <v>0</v>
      </c>
      <c r="AJ20" s="187" t="str">
        <f t="array" ref="AJ20">INDEX('Rankings-Women'!$C:$C,MATCH(1,(AA20='Rankings-Women'!$D:$D)*(AB20='Rankings-Women'!$E:$E),0))</f>
        <v/>
      </c>
      <c r="AK20" s="188">
        <f t="array" ref="AK20">IFNA(INDEX($P$83:$Q$112,MATCH(AJ20,$P$83:$P115,0),2),0)</f>
        <v>0</v>
      </c>
      <c r="AL20" s="186"/>
      <c r="AM20" s="187"/>
      <c r="AN20" s="187"/>
      <c r="AO20" s="187"/>
      <c r="AP20" s="187"/>
      <c r="AQ20" s="187"/>
      <c r="AR20" s="187"/>
      <c r="AS20" s="187"/>
      <c r="AT20" s="187"/>
      <c r="AU20" s="187" t="str">
        <f t="array" ref="AU20">INDEX('Rankings-Women'!$C:$C,MATCH(1,(AL20='Rankings-Women'!$D:$D)*(AM20='Rankings-Women'!$E:$E),0))</f>
        <v/>
      </c>
      <c r="AV20" s="188"/>
      <c r="AW20" s="186"/>
      <c r="AX20" s="187"/>
      <c r="AY20" s="187"/>
      <c r="AZ20" s="187"/>
      <c r="BA20" s="187"/>
      <c r="BB20" s="187"/>
      <c r="BC20" s="187"/>
      <c r="BD20" s="187"/>
      <c r="BE20" s="187"/>
      <c r="BF20" s="187"/>
      <c r="BG20" s="188"/>
      <c r="BH20" s="186"/>
      <c r="BI20" s="187"/>
      <c r="BJ20" s="187"/>
      <c r="BK20" s="187"/>
      <c r="BL20" s="187"/>
      <c r="BM20" s="187"/>
      <c r="BN20" s="187"/>
      <c r="BO20" s="187"/>
      <c r="BP20" s="187"/>
      <c r="BQ20" s="187" t="str">
        <f t="array" ref="BQ20">INDEX('Rankings-Women'!$C:$C,MATCH(1,(BH20='Rankings-Women'!$D:$D)*(BI20='Rankings-Women'!$E:$E),0))</f>
        <v/>
      </c>
      <c r="BR20" s="188"/>
      <c r="BS20" s="186"/>
      <c r="BT20" s="187"/>
      <c r="BU20" s="187"/>
      <c r="BV20" s="187"/>
      <c r="BW20" s="187"/>
      <c r="BX20" s="187"/>
      <c r="BY20" s="187"/>
      <c r="BZ20" s="187"/>
      <c r="CA20" s="187"/>
      <c r="CB20" s="187" t="str">
        <f t="array" ref="CB20">INDEX('Rankings-Women'!$C:$C,MATCH(1,(BS20='Rankings-Women'!$D:$D)*(BT20='Rankings-Women'!$E:$E),0))</f>
        <v/>
      </c>
      <c r="CC20" s="188"/>
      <c r="CD20" s="186"/>
      <c r="CE20" s="187"/>
      <c r="CF20" s="187"/>
      <c r="CG20" s="187"/>
      <c r="CH20" s="187"/>
      <c r="CI20" s="187"/>
      <c r="CJ20" s="187"/>
      <c r="CK20" s="187"/>
      <c r="CL20" s="187"/>
      <c r="CM20" s="187" t="str">
        <f t="array" ref="CM20">INDEX('Rankings-Women'!$C:$C,MATCH(1,(CD20='Rankings-Women'!$D:$D)*(CE20='Rankings-Women'!$E:$E),0))</f>
        <v/>
      </c>
      <c r="CN20" s="188"/>
      <c r="CO20" s="186"/>
      <c r="CP20" s="187"/>
      <c r="CQ20" s="187"/>
      <c r="CR20" s="187"/>
      <c r="CS20" s="187"/>
      <c r="CT20" s="187"/>
      <c r="CU20" s="187"/>
      <c r="CV20" s="187"/>
      <c r="CW20" s="187"/>
      <c r="CX20" s="187" t="str">
        <f t="array" ref="CX20">INDEX('Rankings-Women'!$C:$C,MATCH(1,(CO20='Rankings-Women'!$D:$D)*(CP20='Rankings-Women'!$E:$E),0))</f>
        <v/>
      </c>
      <c r="CY20" s="188"/>
      <c r="CZ20" s="186"/>
      <c r="DA20" s="187"/>
      <c r="DB20" s="187"/>
      <c r="DC20" s="187"/>
      <c r="DD20" s="187"/>
      <c r="DE20" s="187"/>
      <c r="DF20" s="187"/>
      <c r="DG20" s="187"/>
      <c r="DH20" s="187"/>
      <c r="DI20" s="187" t="str">
        <f t="array" ref="DI20">INDEX('Rankings-Women'!$C:$C,MATCH(1,(CZ20='Rankings-Women'!$D:$D)*(DA20='Rankings-Women'!$E:$E),0))</f>
        <v/>
      </c>
      <c r="DJ20" s="188"/>
      <c r="DK20" s="186"/>
      <c r="DL20" s="187"/>
      <c r="DM20" s="187"/>
      <c r="DN20" s="187"/>
      <c r="DO20" s="187"/>
      <c r="DP20" s="187"/>
      <c r="DQ20" s="187"/>
      <c r="DR20" s="187"/>
      <c r="DS20" s="187"/>
      <c r="DT20" s="187" t="str">
        <f t="array" ref="DT20">INDEX('Rankings-Women'!$C:$C,MATCH(1,(DK20='Rankings-Women'!$D:$D)*(DL20='Rankings-Women'!$E:$E),0))</f>
        <v/>
      </c>
      <c r="DU20" s="188"/>
    </row>
    <row r="21">
      <c r="A21" s="168"/>
      <c r="B21" s="169"/>
      <c r="C21" s="170"/>
      <c r="D21" s="170"/>
      <c r="E21" s="186"/>
      <c r="F21" s="187"/>
      <c r="G21" s="187"/>
      <c r="H21" s="187"/>
      <c r="I21" s="187"/>
      <c r="J21" s="187"/>
      <c r="K21" s="187">
        <f>COUNTIF('Rankings-Women'!$L:$L,G21)</f>
        <v>0</v>
      </c>
      <c r="L21" s="187">
        <f t="array" ref="L21">IFNA(INDEX($P$83:$Q$112,MATCH(I21,$P$83:$P115,0),2),0)</f>
        <v>0</v>
      </c>
      <c r="M21" s="187">
        <f t="shared" si="65"/>
        <v>0</v>
      </c>
      <c r="N21" s="187" t="str">
        <f t="array" ref="N21">INDEX('Rankings-Women'!$C:$C,MATCH(1,(E21='Rankings-Women'!$D:$D)*(F21='Rankings-Women'!$E:$E),0))</f>
        <v/>
      </c>
      <c r="O21" s="188">
        <f t="array" ref="O21">IFNA(INDEX($P$83:$Q$112,MATCH(N21,$P$83:$P115,0),2),0)</f>
        <v>0</v>
      </c>
      <c r="P21" s="186"/>
      <c r="Q21" s="187"/>
      <c r="R21" s="187"/>
      <c r="S21" s="187"/>
      <c r="T21" s="187"/>
      <c r="U21" s="187"/>
      <c r="V21" s="187"/>
      <c r="W21" s="187"/>
      <c r="X21" s="187"/>
      <c r="Y21" s="187" t="str">
        <f t="array" ref="Y21">INDEX('Rankings-Women'!$C:$C,MATCH(1,(P21='Rankings-Women'!$D:$D)*(Q21='Rankings-Women'!$E:$E),0))</f>
        <v/>
      </c>
      <c r="Z21" s="188"/>
      <c r="AA21" s="186"/>
      <c r="AB21" s="187"/>
      <c r="AC21" s="187"/>
      <c r="AD21" s="187"/>
      <c r="AE21" s="187"/>
      <c r="AF21" s="187"/>
      <c r="AG21" s="187">
        <f>COUNTIF('Rankings-Women'!$L:$L,AC21)</f>
        <v>0</v>
      </c>
      <c r="AH21" s="187">
        <f t="shared" ref="AH21:AI21" si="90">IFNA(INDEX($P$83:$Q$112,MATCH(AE21,$P$83:$P129,0),2),0)</f>
        <v>0</v>
      </c>
      <c r="AI21" s="187">
        <f t="shared" si="90"/>
        <v>0</v>
      </c>
      <c r="AJ21" s="187" t="str">
        <f t="array" ref="AJ21">INDEX('Rankings-Women'!$C:$C,MATCH(1,(AA21='Rankings-Women'!$D:$D)*(AB21='Rankings-Women'!$E:$E),0))</f>
        <v/>
      </c>
      <c r="AK21" s="188">
        <f t="shared" ref="AK21:AK22" si="92">IFNA(INDEX($P$83:$Q$112,MATCH(AJ21,$P$83:$P115,0),2),0)</f>
        <v>0</v>
      </c>
      <c r="AL21" s="186"/>
      <c r="AM21" s="187"/>
      <c r="AN21" s="187"/>
      <c r="AO21" s="187"/>
      <c r="AP21" s="187"/>
      <c r="AQ21" s="187"/>
      <c r="AR21" s="187"/>
      <c r="AS21" s="187"/>
      <c r="AT21" s="187"/>
      <c r="AU21" s="187" t="str">
        <f t="array" ref="AU21">INDEX('Rankings-Women'!$C:$C,MATCH(1,(AL21='Rankings-Women'!$D:$D)*(AM21='Rankings-Women'!$E:$E),0))</f>
        <v/>
      </c>
      <c r="AV21" s="188"/>
      <c r="AW21" s="186"/>
      <c r="AX21" s="187"/>
      <c r="AY21" s="187"/>
      <c r="AZ21" s="187"/>
      <c r="BA21" s="187"/>
      <c r="BB21" s="187"/>
      <c r="BC21" s="187"/>
      <c r="BD21" s="187"/>
      <c r="BE21" s="187"/>
      <c r="BF21" s="187"/>
      <c r="BG21" s="188"/>
      <c r="BH21" s="186"/>
      <c r="BI21" s="187"/>
      <c r="BJ21" s="187"/>
      <c r="BK21" s="187"/>
      <c r="BL21" s="187"/>
      <c r="BM21" s="187"/>
      <c r="BN21" s="187"/>
      <c r="BO21" s="187"/>
      <c r="BP21" s="187"/>
      <c r="BQ21" s="187" t="str">
        <f t="array" ref="BQ21">INDEX('Rankings-Women'!$C:$C,MATCH(1,(BH21='Rankings-Women'!$D:$D)*(BI21='Rankings-Women'!$E:$E),0))</f>
        <v/>
      </c>
      <c r="BR21" s="188"/>
      <c r="BS21" s="186"/>
      <c r="BT21" s="187"/>
      <c r="BU21" s="187"/>
      <c r="BV21" s="187"/>
      <c r="BW21" s="187"/>
      <c r="BX21" s="187"/>
      <c r="BY21" s="187"/>
      <c r="BZ21" s="187"/>
      <c r="CA21" s="187"/>
      <c r="CB21" s="187" t="str">
        <f t="array" ref="CB21">INDEX('Rankings-Women'!$C:$C,MATCH(1,(BS21='Rankings-Women'!$D:$D)*(BT21='Rankings-Women'!$E:$E),0))</f>
        <v/>
      </c>
      <c r="CC21" s="188"/>
      <c r="CD21" s="186"/>
      <c r="CE21" s="187"/>
      <c r="CF21" s="187"/>
      <c r="CG21" s="187"/>
      <c r="CH21" s="187"/>
      <c r="CI21" s="187"/>
      <c r="CJ21" s="187"/>
      <c r="CK21" s="187"/>
      <c r="CL21" s="187"/>
      <c r="CM21" s="187" t="str">
        <f t="array" ref="CM21">INDEX('Rankings-Women'!$C:$C,MATCH(1,(CD21='Rankings-Women'!$D:$D)*(CE21='Rankings-Women'!$E:$E),0))</f>
        <v/>
      </c>
      <c r="CN21" s="188"/>
      <c r="CO21" s="186"/>
      <c r="CP21" s="187"/>
      <c r="CQ21" s="187"/>
      <c r="CR21" s="187"/>
      <c r="CS21" s="187"/>
      <c r="CT21" s="187"/>
      <c r="CU21" s="187"/>
      <c r="CV21" s="187"/>
      <c r="CW21" s="187"/>
      <c r="CX21" s="187" t="str">
        <f t="array" ref="CX21">INDEX('Rankings-Women'!$C:$C,MATCH(1,(CO21='Rankings-Women'!$D:$D)*(CP21='Rankings-Women'!$E:$E),0))</f>
        <v/>
      </c>
      <c r="CY21" s="188"/>
      <c r="CZ21" s="186"/>
      <c r="DA21" s="187"/>
      <c r="DB21" s="187"/>
      <c r="DC21" s="187"/>
      <c r="DD21" s="187"/>
      <c r="DE21" s="187"/>
      <c r="DF21" s="187"/>
      <c r="DG21" s="187"/>
      <c r="DH21" s="187"/>
      <c r="DI21" s="187" t="str">
        <f t="array" ref="DI21">INDEX('Rankings-Women'!$C:$C,MATCH(1,(CZ21='Rankings-Women'!$D:$D)*(DA21='Rankings-Women'!$E:$E),0))</f>
        <v/>
      </c>
      <c r="DJ21" s="188"/>
      <c r="DK21" s="186"/>
      <c r="DL21" s="187"/>
      <c r="DM21" s="187"/>
      <c r="DN21" s="187"/>
      <c r="DO21" s="187"/>
      <c r="DP21" s="187"/>
      <c r="DQ21" s="187"/>
      <c r="DR21" s="187"/>
      <c r="DS21" s="187"/>
      <c r="DT21" s="187" t="str">
        <f t="array" ref="DT21">INDEX('Rankings-Women'!$C:$C,MATCH(1,(DK21='Rankings-Women'!$D:$D)*(DL21='Rankings-Women'!$E:$E),0))</f>
        <v/>
      </c>
      <c r="DU21" s="188"/>
    </row>
    <row r="22">
      <c r="A22" s="168"/>
      <c r="B22" s="169"/>
      <c r="C22" s="170"/>
      <c r="D22" s="170"/>
      <c r="E22" s="186"/>
      <c r="F22" s="187"/>
      <c r="G22" s="187"/>
      <c r="H22" s="187"/>
      <c r="I22" s="187"/>
      <c r="J22" s="187"/>
      <c r="K22" s="187">
        <f>COUNTIF('Rankings-Women'!$L:$L,G22)</f>
        <v>0</v>
      </c>
      <c r="L22" s="187">
        <f t="array" ref="L22">IFNA(INDEX($P$83:$Q$112,MATCH(I22,$P$83:$P115,0),2),0)</f>
        <v>0</v>
      </c>
      <c r="M22" s="187">
        <f t="shared" si="65"/>
        <v>0</v>
      </c>
      <c r="N22" s="187" t="str">
        <f t="array" ref="N22">INDEX('Rankings-Women'!$C:$C,MATCH(1,(E22='Rankings-Women'!$D:$D)*(F22='Rankings-Women'!$E:$E),0))</f>
        <v/>
      </c>
      <c r="O22" s="188">
        <f t="array" ref="O22">IFNA(INDEX($P$83:$Q$112,MATCH(N22,$P$83:$P115,0),2),0)</f>
        <v>0</v>
      </c>
      <c r="P22" s="186"/>
      <c r="Q22" s="187"/>
      <c r="R22" s="187"/>
      <c r="S22" s="187"/>
      <c r="T22" s="187"/>
      <c r="U22" s="187"/>
      <c r="V22" s="187"/>
      <c r="W22" s="187"/>
      <c r="X22" s="187"/>
      <c r="Y22" s="187" t="str">
        <f t="array" ref="Y22">INDEX('Rankings-Women'!$C:$C,MATCH(1,(P22='Rankings-Women'!$D:$D)*(Q22='Rankings-Women'!$E:$E),0))</f>
        <v/>
      </c>
      <c r="Z22" s="188"/>
      <c r="AA22" s="197" t="s">
        <v>486</v>
      </c>
      <c r="AB22" s="196" t="s">
        <v>487</v>
      </c>
      <c r="AC22" s="187"/>
      <c r="AD22" s="187"/>
      <c r="AE22" s="187"/>
      <c r="AF22" s="187"/>
      <c r="AG22" s="187">
        <f>COUNTIF('Rankings-Women'!$L:$L,AC22)</f>
        <v>0</v>
      </c>
      <c r="AH22" s="187">
        <f t="shared" ref="AH22:AI22" si="91">IFNA(INDEX($P$83:$Q$112,MATCH(AE22,$P$83:$P130,0),2),0)</f>
        <v>0</v>
      </c>
      <c r="AI22" s="187">
        <f t="shared" si="91"/>
        <v>0</v>
      </c>
      <c r="AJ22" s="187" t="str">
        <f t="array" ref="AJ22">INDEX('Rankings-Women'!$C:$C,MATCH(1,(AA22='Rankings-Women'!$D:$D)*(AB22='Rankings-Women'!$E:$E),0))</f>
        <v/>
      </c>
      <c r="AK22" s="188">
        <f t="shared" si="92"/>
        <v>0</v>
      </c>
      <c r="AL22" s="186"/>
      <c r="AM22" s="187"/>
      <c r="AN22" s="187"/>
      <c r="AO22" s="187"/>
      <c r="AP22" s="187"/>
      <c r="AQ22" s="187"/>
      <c r="AR22" s="187"/>
      <c r="AS22" s="187"/>
      <c r="AT22" s="187"/>
      <c r="AU22" s="187" t="str">
        <f t="array" ref="AU22">INDEX('Rankings-Women'!$C:$C,MATCH(1,(AL22='Rankings-Women'!$D:$D)*(AM22='Rankings-Women'!$E:$E),0))</f>
        <v/>
      </c>
      <c r="AV22" s="188"/>
      <c r="AW22" s="186"/>
      <c r="AX22" s="187"/>
      <c r="AY22" s="187"/>
      <c r="AZ22" s="187"/>
      <c r="BA22" s="187"/>
      <c r="BB22" s="187"/>
      <c r="BC22" s="187"/>
      <c r="BD22" s="187"/>
      <c r="BE22" s="187"/>
      <c r="BF22" s="187" t="str">
        <f t="array" ref="BF22">INDEX('Rankings-Women'!$C:$C,MATCH(1,(AW22='Rankings-Women'!$D:$D)*(AX22='Rankings-Women'!$E:$E),0))</f>
        <v/>
      </c>
      <c r="BG22" s="188"/>
      <c r="BH22" s="186"/>
      <c r="BI22" s="187"/>
      <c r="BJ22" s="187"/>
      <c r="BK22" s="187"/>
      <c r="BL22" s="187"/>
      <c r="BM22" s="187"/>
      <c r="BN22" s="187"/>
      <c r="BO22" s="187"/>
      <c r="BP22" s="187"/>
      <c r="BQ22" s="187" t="str">
        <f t="array" ref="BQ22">INDEX('Rankings-Women'!$C:$C,MATCH(1,(BH22='Rankings-Women'!$D:$D)*(BI22='Rankings-Women'!$E:$E),0))</f>
        <v/>
      </c>
      <c r="BR22" s="188"/>
      <c r="BS22" s="186"/>
      <c r="BT22" s="187"/>
      <c r="BU22" s="187"/>
      <c r="BV22" s="187"/>
      <c r="BW22" s="187"/>
      <c r="BX22" s="187"/>
      <c r="BY22" s="187"/>
      <c r="BZ22" s="187"/>
      <c r="CA22" s="187"/>
      <c r="CB22" s="187" t="str">
        <f t="array" ref="CB22">INDEX('Rankings-Women'!$C:$C,MATCH(1,(BS22='Rankings-Women'!$D:$D)*(BT22='Rankings-Women'!$E:$E),0))</f>
        <v/>
      </c>
      <c r="CC22" s="188"/>
      <c r="CD22" s="186"/>
      <c r="CE22" s="187"/>
      <c r="CF22" s="187"/>
      <c r="CG22" s="187"/>
      <c r="CH22" s="187"/>
      <c r="CI22" s="187"/>
      <c r="CJ22" s="187"/>
      <c r="CK22" s="187"/>
      <c r="CL22" s="187"/>
      <c r="CM22" s="187" t="str">
        <f t="array" ref="CM22">INDEX('Rankings-Women'!$C:$C,MATCH(1,(CD22='Rankings-Women'!$D:$D)*(CE22='Rankings-Women'!$E:$E),0))</f>
        <v/>
      </c>
      <c r="CN22" s="188"/>
      <c r="CO22" s="186"/>
      <c r="CP22" s="187"/>
      <c r="CQ22" s="187"/>
      <c r="CR22" s="187"/>
      <c r="CS22" s="187"/>
      <c r="CT22" s="187"/>
      <c r="CU22" s="187"/>
      <c r="CV22" s="187"/>
      <c r="CW22" s="187"/>
      <c r="CX22" s="187" t="str">
        <f t="array" ref="CX22">INDEX('Rankings-Women'!$C:$C,MATCH(1,(CO22='Rankings-Women'!$D:$D)*(CP22='Rankings-Women'!$E:$E),0))</f>
        <v/>
      </c>
      <c r="CY22" s="188"/>
      <c r="CZ22" s="186"/>
      <c r="DA22" s="187"/>
      <c r="DB22" s="187"/>
      <c r="DC22" s="187"/>
      <c r="DD22" s="187"/>
      <c r="DE22" s="187"/>
      <c r="DF22" s="187"/>
      <c r="DG22" s="187"/>
      <c r="DH22" s="187"/>
      <c r="DI22" s="187" t="str">
        <f t="array" ref="DI22">INDEX('Rankings-Women'!$C:$C,MATCH(1,(CZ22='Rankings-Women'!$D:$D)*(DA22='Rankings-Women'!$E:$E),0))</f>
        <v/>
      </c>
      <c r="DJ22" s="188"/>
      <c r="DK22" s="186"/>
      <c r="DL22" s="187"/>
      <c r="DM22" s="187"/>
      <c r="DN22" s="187"/>
      <c r="DO22" s="187"/>
      <c r="DP22" s="187"/>
      <c r="DQ22" s="187"/>
      <c r="DR22" s="187"/>
      <c r="DS22" s="187"/>
      <c r="DT22" s="187" t="str">
        <f t="array" ref="DT22">INDEX('Rankings-Women'!$C:$C,MATCH(1,(DK22='Rankings-Women'!$D:$D)*(DL22='Rankings-Women'!$E:$E),0))</f>
        <v/>
      </c>
      <c r="DU22" s="188"/>
    </row>
    <row r="23">
      <c r="A23" s="168"/>
      <c r="B23" s="169"/>
      <c r="C23" s="170"/>
      <c r="D23" s="170"/>
      <c r="E23" s="186"/>
      <c r="F23" s="187"/>
      <c r="G23" s="187"/>
      <c r="H23" s="187"/>
      <c r="I23" s="187"/>
      <c r="J23" s="187"/>
      <c r="K23" s="187">
        <f>COUNTIF('Rankings-Women'!$L:$L,G23)</f>
        <v>0</v>
      </c>
      <c r="L23" s="187">
        <f t="array" ref="L23">IFNA(INDEX($P$83:$Q$112,MATCH(I23,$P$83:$P115,0),2),0)</f>
        <v>0</v>
      </c>
      <c r="M23" s="187">
        <f t="shared" si="65"/>
        <v>0</v>
      </c>
      <c r="N23" s="187" t="str">
        <f t="array" ref="N23">INDEX('Rankings-Women'!$C:$C,MATCH(1,(E23='Rankings-Women'!$D:$D)*(F23='Rankings-Women'!$E:$E),0))</f>
        <v/>
      </c>
      <c r="O23" s="188">
        <f t="array" ref="O23">IFNA(INDEX($P$83:$Q$112,MATCH(N23,$P$83:$P115,0),2),0)</f>
        <v>0</v>
      </c>
      <c r="P23" s="186"/>
      <c r="Q23" s="187"/>
      <c r="R23" s="187"/>
      <c r="S23" s="187"/>
      <c r="T23" s="187"/>
      <c r="U23" s="187"/>
      <c r="V23" s="187"/>
      <c r="W23" s="187"/>
      <c r="X23" s="187"/>
      <c r="Y23" s="187" t="str">
        <f t="array" ref="Y23">INDEX('Rankings-Women'!$C:$C,MATCH(1,(P23='Rankings-Women'!$D:$D)*(Q23='Rankings-Women'!$E:$E),0))</f>
        <v/>
      </c>
      <c r="Z23" s="188"/>
      <c r="AA23" s="186"/>
      <c r="AB23" s="187"/>
      <c r="AC23" s="187"/>
      <c r="AD23" s="187"/>
      <c r="AE23" s="187"/>
      <c r="AF23" s="187"/>
      <c r="AG23" s="187"/>
      <c r="AH23" s="187"/>
      <c r="AI23" s="187"/>
      <c r="AJ23" s="187" t="str">
        <f t="array" ref="AJ23">INDEX('Rankings-Women'!$C:$C,MATCH(1,(AA23='Rankings-Women'!$D:$D)*(AB23='Rankings-Women'!$E:$E),0))</f>
        <v/>
      </c>
      <c r="AK23" s="188"/>
      <c r="AL23" s="186"/>
      <c r="AM23" s="187"/>
      <c r="AN23" s="187"/>
      <c r="AO23" s="187"/>
      <c r="AP23" s="187"/>
      <c r="AQ23" s="187"/>
      <c r="AR23" s="187"/>
      <c r="AS23" s="187"/>
      <c r="AT23" s="187"/>
      <c r="AU23" s="187" t="str">
        <f t="array" ref="AU23">INDEX('Rankings-Women'!$C:$C,MATCH(1,(AL23='Rankings-Women'!$D:$D)*(AM23='Rankings-Women'!$E:$E),0))</f>
        <v/>
      </c>
      <c r="AV23" s="188"/>
      <c r="AW23" s="186"/>
      <c r="AX23" s="187"/>
      <c r="AY23" s="187"/>
      <c r="AZ23" s="187"/>
      <c r="BA23" s="187"/>
      <c r="BB23" s="187"/>
      <c r="BC23" s="187"/>
      <c r="BD23" s="187"/>
      <c r="BE23" s="187"/>
      <c r="BF23" s="187" t="str">
        <f t="array" ref="BF23">INDEX('Rankings-Women'!$C:$C,MATCH(1,(AW23='Rankings-Women'!$D:$D)*(AX23='Rankings-Women'!$E:$E),0))</f>
        <v/>
      </c>
      <c r="BG23" s="188"/>
      <c r="BH23" s="186"/>
      <c r="BI23" s="187"/>
      <c r="BJ23" s="187"/>
      <c r="BK23" s="187"/>
      <c r="BL23" s="187"/>
      <c r="BM23" s="187"/>
      <c r="BN23" s="187"/>
      <c r="BO23" s="187"/>
      <c r="BP23" s="187"/>
      <c r="BQ23" s="187" t="str">
        <f t="array" ref="BQ23">INDEX('Rankings-Women'!$C:$C,MATCH(1,(BH23='Rankings-Women'!$D:$D)*(BI23='Rankings-Women'!$E:$E),0))</f>
        <v/>
      </c>
      <c r="BR23" s="188"/>
      <c r="BS23" s="186"/>
      <c r="BT23" s="187"/>
      <c r="BU23" s="187"/>
      <c r="BV23" s="187"/>
      <c r="BW23" s="187"/>
      <c r="BX23" s="187"/>
      <c r="BY23" s="187"/>
      <c r="BZ23" s="187"/>
      <c r="CA23" s="187"/>
      <c r="CB23" s="187" t="str">
        <f t="array" ref="CB23">INDEX('Rankings-Women'!$C:$C,MATCH(1,(BS23='Rankings-Women'!$D:$D)*(BT23='Rankings-Women'!$E:$E),0))</f>
        <v/>
      </c>
      <c r="CC23" s="188"/>
      <c r="CD23" s="186"/>
      <c r="CE23" s="187"/>
      <c r="CF23" s="187"/>
      <c r="CG23" s="187"/>
      <c r="CH23" s="187"/>
      <c r="CI23" s="187"/>
      <c r="CJ23" s="187"/>
      <c r="CK23" s="187"/>
      <c r="CL23" s="187"/>
      <c r="CM23" s="187" t="str">
        <f t="array" ref="CM23">INDEX('Rankings-Women'!$C:$C,MATCH(1,(CD23='Rankings-Women'!$D:$D)*(CE23='Rankings-Women'!$E:$E),0))</f>
        <v/>
      </c>
      <c r="CN23" s="188"/>
      <c r="CO23" s="186"/>
      <c r="CP23" s="187"/>
      <c r="CQ23" s="187"/>
      <c r="CR23" s="187"/>
      <c r="CS23" s="187"/>
      <c r="CT23" s="187"/>
      <c r="CU23" s="187"/>
      <c r="CV23" s="187"/>
      <c r="CW23" s="187"/>
      <c r="CX23" s="187" t="str">
        <f t="array" ref="CX23">INDEX('Rankings-Women'!$C:$C,MATCH(1,(CO23='Rankings-Women'!$D:$D)*(CP23='Rankings-Women'!$E:$E),0))</f>
        <v/>
      </c>
      <c r="CY23" s="188"/>
      <c r="CZ23" s="186"/>
      <c r="DA23" s="187"/>
      <c r="DB23" s="187"/>
      <c r="DC23" s="187"/>
      <c r="DD23" s="187"/>
      <c r="DE23" s="187"/>
      <c r="DF23" s="187"/>
      <c r="DG23" s="187"/>
      <c r="DH23" s="187"/>
      <c r="DI23" s="187" t="str">
        <f t="array" ref="DI23">INDEX('Rankings-Women'!$C:$C,MATCH(1,(CZ23='Rankings-Women'!$D:$D)*(DA23='Rankings-Women'!$E:$E),0))</f>
        <v/>
      </c>
      <c r="DJ23" s="188"/>
      <c r="DK23" s="186"/>
      <c r="DL23" s="187"/>
      <c r="DM23" s="187"/>
      <c r="DN23" s="187"/>
      <c r="DO23" s="187"/>
      <c r="DP23" s="187"/>
      <c r="DQ23" s="187"/>
      <c r="DR23" s="187"/>
      <c r="DS23" s="187"/>
      <c r="DT23" s="187" t="str">
        <f t="array" ref="DT23">INDEX('Rankings-Women'!$C:$C,MATCH(1,(DK23='Rankings-Women'!$D:$D)*(DL23='Rankings-Women'!$E:$E),0))</f>
        <v/>
      </c>
      <c r="DU23" s="188"/>
    </row>
    <row r="24">
      <c r="A24" s="168"/>
      <c r="B24" s="169"/>
      <c r="C24" s="170"/>
      <c r="D24" s="170"/>
      <c r="E24" s="186"/>
      <c r="F24" s="187"/>
      <c r="G24" s="187"/>
      <c r="H24" s="187"/>
      <c r="I24" s="187"/>
      <c r="J24" s="187"/>
      <c r="K24" s="187">
        <f>COUNTIF('Rankings-Women'!$L:$L,G24)</f>
        <v>0</v>
      </c>
      <c r="L24" s="187">
        <f t="array" ref="L24">IFNA(INDEX($P$83:$Q$112,MATCH(I24,$P$83:$P115,0),2),0)</f>
        <v>0</v>
      </c>
      <c r="M24" s="187">
        <f t="shared" si="65"/>
        <v>0</v>
      </c>
      <c r="N24" s="187" t="str">
        <f t="array" ref="N24">INDEX('Rankings-Women'!$C:$C,MATCH(1,(E24='Rankings-Women'!$D:$D)*(F24='Rankings-Women'!$E:$E),0))</f>
        <v/>
      </c>
      <c r="O24" s="188">
        <f t="array" ref="O24">IFNA(INDEX($P$83:$Q$112,MATCH(N24,$P$83:$P115,0),2),0)</f>
        <v>0</v>
      </c>
      <c r="P24" s="186"/>
      <c r="Q24" s="187"/>
      <c r="R24" s="187"/>
      <c r="S24" s="187"/>
      <c r="T24" s="187"/>
      <c r="U24" s="187"/>
      <c r="V24" s="187"/>
      <c r="W24" s="187"/>
      <c r="X24" s="187"/>
      <c r="Y24" s="187" t="str">
        <f t="array" ref="Y24">INDEX('Rankings-Women'!$C:$C,MATCH(1,(P24='Rankings-Women'!$D:$D)*(Q24='Rankings-Women'!$E:$E),0))</f>
        <v/>
      </c>
      <c r="Z24" s="188"/>
      <c r="AA24" s="186"/>
      <c r="AB24" s="187"/>
      <c r="AC24" s="187"/>
      <c r="AD24" s="187"/>
      <c r="AE24" s="187"/>
      <c r="AF24" s="187"/>
      <c r="AG24" s="187"/>
      <c r="AH24" s="187"/>
      <c r="AI24" s="187"/>
      <c r="AJ24" s="187" t="str">
        <f t="array" ref="AJ24">INDEX('Rankings-Women'!$C:$C,MATCH(1,(AA24='Rankings-Women'!$D:$D)*(AB24='Rankings-Women'!$E:$E),0))</f>
        <v/>
      </c>
      <c r="AK24" s="188"/>
      <c r="AL24" s="186"/>
      <c r="AM24" s="187"/>
      <c r="AN24" s="187"/>
      <c r="AO24" s="187"/>
      <c r="AP24" s="187"/>
      <c r="AQ24" s="187"/>
      <c r="AR24" s="187"/>
      <c r="AS24" s="187"/>
      <c r="AT24" s="187"/>
      <c r="AU24" s="187" t="str">
        <f t="array" ref="AU24">INDEX('Rankings-Women'!$C:$C,MATCH(1,(AL24='Rankings-Women'!$D:$D)*(AM24='Rankings-Women'!$E:$E),0))</f>
        <v/>
      </c>
      <c r="AV24" s="188"/>
      <c r="AW24" s="186"/>
      <c r="AX24" s="187"/>
      <c r="AY24" s="187"/>
      <c r="AZ24" s="187"/>
      <c r="BA24" s="187"/>
      <c r="BB24" s="187"/>
      <c r="BC24" s="187"/>
      <c r="BD24" s="187"/>
      <c r="BE24" s="187"/>
      <c r="BF24" s="187" t="str">
        <f t="array" ref="BF24">INDEX('Rankings-Women'!$C:$C,MATCH(1,(AW24='Rankings-Women'!$D:$D)*(AX24='Rankings-Women'!$E:$E),0))</f>
        <v/>
      </c>
      <c r="BG24" s="188"/>
      <c r="BH24" s="186"/>
      <c r="BI24" s="187"/>
      <c r="BJ24" s="187"/>
      <c r="BK24" s="187"/>
      <c r="BL24" s="187"/>
      <c r="BM24" s="187"/>
      <c r="BN24" s="187"/>
      <c r="BO24" s="187"/>
      <c r="BP24" s="187"/>
      <c r="BQ24" s="187" t="str">
        <f t="array" ref="BQ24">INDEX('Rankings-Women'!$C:$C,MATCH(1,(BH24='Rankings-Women'!$D:$D)*(BI24='Rankings-Women'!$E:$E),0))</f>
        <v/>
      </c>
      <c r="BR24" s="188"/>
      <c r="BS24" s="186"/>
      <c r="BT24" s="187"/>
      <c r="BU24" s="187"/>
      <c r="BV24" s="187"/>
      <c r="BW24" s="187"/>
      <c r="BX24" s="187"/>
      <c r="BY24" s="187"/>
      <c r="BZ24" s="187"/>
      <c r="CA24" s="187"/>
      <c r="CB24" s="187" t="str">
        <f t="array" ref="CB24">INDEX('Rankings-Women'!$C:$C,MATCH(1,(BS24='Rankings-Women'!$D:$D)*(BT24='Rankings-Women'!$E:$E),0))</f>
        <v/>
      </c>
      <c r="CC24" s="188"/>
      <c r="CD24" s="186"/>
      <c r="CE24" s="187"/>
      <c r="CF24" s="187"/>
      <c r="CG24" s="187"/>
      <c r="CH24" s="187"/>
      <c r="CI24" s="187"/>
      <c r="CJ24" s="187"/>
      <c r="CK24" s="187"/>
      <c r="CL24" s="187"/>
      <c r="CM24" s="187" t="str">
        <f t="array" ref="CM24">INDEX('Rankings-Women'!$C:$C,MATCH(1,(CD24='Rankings-Women'!$D:$D)*(CE24='Rankings-Women'!$E:$E),0))</f>
        <v/>
      </c>
      <c r="CN24" s="188"/>
      <c r="CO24" s="186"/>
      <c r="CP24" s="187"/>
      <c r="CQ24" s="187"/>
      <c r="CR24" s="187"/>
      <c r="CS24" s="187"/>
      <c r="CT24" s="187"/>
      <c r="CU24" s="187"/>
      <c r="CV24" s="187"/>
      <c r="CW24" s="187"/>
      <c r="CX24" s="187" t="str">
        <f t="array" ref="CX24">INDEX('Rankings-Women'!$C:$C,MATCH(1,(CO24='Rankings-Women'!$D:$D)*(CP24='Rankings-Women'!$E:$E),0))</f>
        <v/>
      </c>
      <c r="CY24" s="188"/>
      <c r="CZ24" s="186"/>
      <c r="DA24" s="187"/>
      <c r="DB24" s="187"/>
      <c r="DC24" s="187"/>
      <c r="DD24" s="187"/>
      <c r="DE24" s="187"/>
      <c r="DF24" s="187"/>
      <c r="DG24" s="187"/>
      <c r="DH24" s="187"/>
      <c r="DI24" s="187" t="str">
        <f t="array" ref="DI24">INDEX('Rankings-Women'!$C:$C,MATCH(1,(CZ24='Rankings-Women'!$D:$D)*(DA24='Rankings-Women'!$E:$E),0))</f>
        <v/>
      </c>
      <c r="DJ24" s="188"/>
      <c r="DK24" s="186"/>
      <c r="DL24" s="187"/>
      <c r="DM24" s="187"/>
      <c r="DN24" s="187"/>
      <c r="DO24" s="187"/>
      <c r="DP24" s="187"/>
      <c r="DQ24" s="187"/>
      <c r="DR24" s="187"/>
      <c r="DS24" s="187"/>
      <c r="DT24" s="187" t="str">
        <f t="array" ref="DT24">INDEX('Rankings-Women'!$C:$C,MATCH(1,(DK24='Rankings-Women'!$D:$D)*(DL24='Rankings-Women'!$E:$E),0))</f>
        <v/>
      </c>
      <c r="DU24" s="188"/>
    </row>
    <row r="25">
      <c r="A25" s="198"/>
      <c r="B25" s="199"/>
      <c r="C25" s="200"/>
      <c r="D25" s="200"/>
      <c r="E25" s="186"/>
      <c r="F25" s="187"/>
      <c r="G25" s="187"/>
      <c r="H25" s="187"/>
      <c r="I25" s="187"/>
      <c r="J25" s="187"/>
      <c r="K25" s="187">
        <f>COUNTIF('Rankings-Women'!$L:$L,G25)</f>
        <v>0</v>
      </c>
      <c r="L25" s="187">
        <f t="array" ref="L25">IFNA(INDEX($P$83:$Q$112,MATCH(I25,$P$83:$P115,0),2),0)</f>
        <v>0</v>
      </c>
      <c r="M25" s="187">
        <f t="shared" si="65"/>
        <v>0</v>
      </c>
      <c r="N25" s="187" t="str">
        <f t="array" ref="N25">INDEX('Rankings-Women'!$C:$C,MATCH(1,(E25='Rankings-Women'!$D:$D)*(F25='Rankings-Women'!$E:$E),0))</f>
        <v/>
      </c>
      <c r="O25" s="188">
        <f t="array" ref="O25">IFNA(INDEX($P$83:$Q$112,MATCH(N25,$P$83:$P115,0),2),0)</f>
        <v>0</v>
      </c>
      <c r="P25" s="186"/>
      <c r="Q25" s="187"/>
      <c r="R25" s="187"/>
      <c r="S25" s="187"/>
      <c r="T25" s="187"/>
      <c r="U25" s="187"/>
      <c r="V25" s="187"/>
      <c r="W25" s="187"/>
      <c r="X25" s="187"/>
      <c r="Y25" s="187" t="str">
        <f t="array" ref="Y25">INDEX('Rankings-Women'!$C:$C,MATCH(1,(P25='Rankings-Women'!$D:$D)*(Q25='Rankings-Women'!$E:$E),0))</f>
        <v/>
      </c>
      <c r="Z25" s="188"/>
      <c r="AA25" s="186"/>
      <c r="AB25" s="187"/>
      <c r="AC25" s="187"/>
      <c r="AD25" s="187"/>
      <c r="AE25" s="187"/>
      <c r="AF25" s="187"/>
      <c r="AG25" s="187"/>
      <c r="AH25" s="187"/>
      <c r="AI25" s="187"/>
      <c r="AJ25" s="187" t="str">
        <f t="array" ref="AJ25">INDEX('Rankings-Women'!$C:$C,MATCH(1,(AA25='Rankings-Women'!$D:$D)*(AB25='Rankings-Women'!$E:$E),0))</f>
        <v/>
      </c>
      <c r="AK25" s="188"/>
      <c r="AL25" s="186"/>
      <c r="AM25" s="187"/>
      <c r="AN25" s="187"/>
      <c r="AO25" s="187"/>
      <c r="AP25" s="187"/>
      <c r="AQ25" s="187"/>
      <c r="AR25" s="187"/>
      <c r="AS25" s="187"/>
      <c r="AT25" s="187"/>
      <c r="AU25" s="187" t="str">
        <f t="array" ref="AU25">INDEX('Rankings-Women'!$C:$C,MATCH(1,(AL25='Rankings-Women'!$D:$D)*(AM25='Rankings-Women'!$E:$E),0))</f>
        <v/>
      </c>
      <c r="AV25" s="188"/>
      <c r="AW25" s="186"/>
      <c r="AX25" s="187"/>
      <c r="AY25" s="187"/>
      <c r="AZ25" s="187"/>
      <c r="BA25" s="187"/>
      <c r="BB25" s="187"/>
      <c r="BC25" s="187"/>
      <c r="BD25" s="187"/>
      <c r="BE25" s="187"/>
      <c r="BF25" s="187" t="str">
        <f t="array" ref="BF25">INDEX('Rankings-Women'!$C:$C,MATCH(1,(AW25='Rankings-Women'!$D:$D)*(AX25='Rankings-Women'!$E:$E),0))</f>
        <v/>
      </c>
      <c r="BG25" s="188"/>
      <c r="BH25" s="186"/>
      <c r="BI25" s="187"/>
      <c r="BJ25" s="187"/>
      <c r="BK25" s="187"/>
      <c r="BL25" s="187"/>
      <c r="BM25" s="187"/>
      <c r="BN25" s="187"/>
      <c r="BO25" s="187"/>
      <c r="BP25" s="187"/>
      <c r="BQ25" s="187" t="str">
        <f t="array" ref="BQ25">INDEX('Rankings-Women'!$C:$C,MATCH(1,(BH25='Rankings-Women'!$D:$D)*(BI25='Rankings-Women'!$E:$E),0))</f>
        <v/>
      </c>
      <c r="BR25" s="188"/>
      <c r="BS25" s="186"/>
      <c r="BT25" s="187"/>
      <c r="BU25" s="187"/>
      <c r="BV25" s="187"/>
      <c r="BW25" s="187"/>
      <c r="BX25" s="187"/>
      <c r="BY25" s="187"/>
      <c r="BZ25" s="187"/>
      <c r="CA25" s="187"/>
      <c r="CB25" s="187" t="str">
        <f t="array" ref="CB25">INDEX('Rankings-Women'!$C:$C,MATCH(1,(BS25='Rankings-Women'!$D:$D)*(BT25='Rankings-Women'!$E:$E),0))</f>
        <v/>
      </c>
      <c r="CC25" s="188"/>
      <c r="CD25" s="186"/>
      <c r="CE25" s="187"/>
      <c r="CF25" s="187"/>
      <c r="CG25" s="187"/>
      <c r="CH25" s="187"/>
      <c r="CI25" s="187"/>
      <c r="CJ25" s="187"/>
      <c r="CK25" s="187"/>
      <c r="CL25" s="187"/>
      <c r="CM25" s="187" t="str">
        <f t="array" ref="CM25">INDEX('Rankings-Women'!$C:$C,MATCH(1,(CD25='Rankings-Women'!$D:$D)*(CE25='Rankings-Women'!$E:$E),0))</f>
        <v/>
      </c>
      <c r="CN25" s="188"/>
      <c r="CO25" s="186"/>
      <c r="CP25" s="187"/>
      <c r="CQ25" s="187"/>
      <c r="CR25" s="187"/>
      <c r="CS25" s="187"/>
      <c r="CT25" s="187"/>
      <c r="CU25" s="187"/>
      <c r="CV25" s="187"/>
      <c r="CW25" s="187"/>
      <c r="CX25" s="187" t="str">
        <f t="array" ref="CX25">INDEX('Rankings-Women'!$C:$C,MATCH(1,(CO25='Rankings-Women'!$D:$D)*(CP25='Rankings-Women'!$E:$E),0))</f>
        <v/>
      </c>
      <c r="CY25" s="188"/>
      <c r="CZ25" s="186"/>
      <c r="DA25" s="187"/>
      <c r="DB25" s="187"/>
      <c r="DC25" s="187"/>
      <c r="DD25" s="187"/>
      <c r="DE25" s="187"/>
      <c r="DF25" s="187"/>
      <c r="DG25" s="187"/>
      <c r="DH25" s="187"/>
      <c r="DI25" s="187" t="str">
        <f t="array" ref="DI25">INDEX('Rankings-Women'!$C:$C,MATCH(1,(CZ25='Rankings-Women'!$D:$D)*(DA25='Rankings-Women'!$E:$E),0))</f>
        <v/>
      </c>
      <c r="DJ25" s="188"/>
      <c r="DK25" s="186"/>
      <c r="DL25" s="187"/>
      <c r="DM25" s="187"/>
      <c r="DN25" s="187"/>
      <c r="DO25" s="187"/>
      <c r="DP25" s="187"/>
      <c r="DQ25" s="187"/>
      <c r="DR25" s="187"/>
      <c r="DS25" s="187"/>
      <c r="DT25" s="187" t="str">
        <f t="array" ref="DT25">INDEX('Rankings-Women'!$C:$C,MATCH(1,(DK25='Rankings-Women'!$D:$D)*(DL25='Rankings-Women'!$E:$E),0))</f>
        <v/>
      </c>
      <c r="DU25" s="188"/>
    </row>
    <row r="26" hidden="1">
      <c r="A26" s="187"/>
      <c r="B26" s="64"/>
      <c r="C26" s="64"/>
      <c r="D26" s="64"/>
      <c r="E26" s="201"/>
      <c r="F26" s="172"/>
      <c r="G26" s="172"/>
      <c r="H26" s="172"/>
      <c r="I26" s="172"/>
      <c r="J26" s="172"/>
      <c r="K26" s="172"/>
      <c r="L26" s="172"/>
      <c r="M26" s="172"/>
      <c r="N26" s="172"/>
      <c r="O26" s="173"/>
      <c r="P26" s="201"/>
      <c r="Q26" s="172"/>
      <c r="R26" s="172"/>
      <c r="S26" s="172"/>
      <c r="T26" s="172"/>
      <c r="U26" s="172"/>
      <c r="V26" s="172"/>
      <c r="W26" s="172"/>
      <c r="X26" s="172"/>
      <c r="Y26" s="172"/>
      <c r="Z26" s="173"/>
      <c r="AA26" s="201"/>
      <c r="AB26" s="172"/>
      <c r="AC26" s="172"/>
      <c r="AD26" s="172"/>
      <c r="AE26" s="172"/>
      <c r="AF26" s="172"/>
      <c r="AG26" s="172"/>
      <c r="AH26" s="172"/>
      <c r="AI26" s="172"/>
      <c r="AJ26" s="172"/>
      <c r="AK26" s="173"/>
      <c r="AL26" s="201"/>
      <c r="AM26" s="172"/>
      <c r="AN26" s="172"/>
      <c r="AO26" s="172"/>
      <c r="AP26" s="172"/>
      <c r="AQ26" s="172"/>
      <c r="AR26" s="172"/>
      <c r="AS26" s="172"/>
      <c r="AT26" s="172"/>
      <c r="AU26" s="172"/>
      <c r="AV26" s="173"/>
      <c r="AW26" s="201"/>
      <c r="AX26" s="172"/>
      <c r="AY26" s="172"/>
      <c r="AZ26" s="172"/>
      <c r="BA26" s="172"/>
      <c r="BB26" s="172"/>
      <c r="BC26" s="172"/>
      <c r="BD26" s="172"/>
      <c r="BE26" s="172"/>
      <c r="BF26" s="172"/>
      <c r="BG26" s="173"/>
      <c r="BH26" s="201"/>
      <c r="BI26" s="172"/>
      <c r="BJ26" s="172"/>
      <c r="BK26" s="172"/>
      <c r="BL26" s="172"/>
      <c r="BM26" s="172"/>
      <c r="BN26" s="172"/>
      <c r="BO26" s="172"/>
      <c r="BP26" s="172"/>
      <c r="BQ26" s="172"/>
      <c r="BR26" s="173"/>
      <c r="BS26" s="201"/>
      <c r="BT26" s="172"/>
      <c r="BU26" s="172"/>
      <c r="BV26" s="172"/>
      <c r="BW26" s="172"/>
      <c r="BX26" s="172"/>
      <c r="BY26" s="172"/>
      <c r="BZ26" s="172"/>
      <c r="CA26" s="172"/>
      <c r="CB26" s="172"/>
      <c r="CC26" s="173"/>
      <c r="CD26" s="201"/>
      <c r="CE26" s="172"/>
      <c r="CF26" s="172"/>
      <c r="CG26" s="172"/>
      <c r="CH26" s="172"/>
      <c r="CI26" s="172"/>
      <c r="CJ26" s="172"/>
      <c r="CK26" s="172"/>
      <c r="CL26" s="172"/>
      <c r="CM26" s="172"/>
      <c r="CN26" s="173"/>
      <c r="CO26" s="201"/>
      <c r="CP26" s="172"/>
      <c r="CQ26" s="172"/>
      <c r="CR26" s="172"/>
      <c r="CS26" s="172"/>
      <c r="CT26" s="172"/>
      <c r="CU26" s="172"/>
      <c r="CV26" s="172"/>
      <c r="CW26" s="172"/>
      <c r="CX26" s="172"/>
      <c r="CY26" s="173"/>
      <c r="CZ26" s="201"/>
      <c r="DA26" s="172"/>
      <c r="DB26" s="172"/>
      <c r="DC26" s="172"/>
      <c r="DD26" s="172"/>
      <c r="DE26" s="172"/>
      <c r="DF26" s="172"/>
      <c r="DG26" s="172"/>
      <c r="DH26" s="172"/>
      <c r="DI26" s="172"/>
      <c r="DJ26" s="173"/>
      <c r="DK26" s="201"/>
      <c r="DL26" s="172"/>
      <c r="DM26" s="172"/>
      <c r="DN26" s="172"/>
      <c r="DO26" s="172"/>
      <c r="DP26" s="172"/>
      <c r="DQ26" s="172"/>
      <c r="DR26" s="172"/>
      <c r="DS26" s="172"/>
      <c r="DT26" s="172"/>
      <c r="DU26" s="173"/>
    </row>
    <row r="27" hidden="1">
      <c r="A27" s="187"/>
      <c r="B27" s="64"/>
      <c r="C27" s="64"/>
      <c r="D27" s="64"/>
      <c r="E27" s="202"/>
      <c r="F27" s="203"/>
      <c r="G27" s="203"/>
      <c r="H27" s="203"/>
      <c r="I27" s="203"/>
      <c r="J27" s="203"/>
      <c r="K27" s="203"/>
      <c r="L27" s="203"/>
      <c r="M27" s="203"/>
      <c r="N27" s="203"/>
      <c r="O27" s="204"/>
      <c r="P27" s="202"/>
      <c r="Q27" s="203"/>
      <c r="R27" s="203"/>
      <c r="S27" s="203"/>
      <c r="T27" s="203"/>
      <c r="U27" s="203"/>
      <c r="V27" s="203"/>
      <c r="W27" s="203"/>
      <c r="X27" s="203"/>
      <c r="Y27" s="203"/>
      <c r="Z27" s="204"/>
      <c r="AA27" s="202"/>
      <c r="AB27" s="203"/>
      <c r="AC27" s="203"/>
      <c r="AD27" s="203"/>
      <c r="AE27" s="203"/>
      <c r="AF27" s="203"/>
      <c r="AG27" s="203"/>
      <c r="AH27" s="203"/>
      <c r="AI27" s="203"/>
      <c r="AJ27" s="203"/>
      <c r="AK27" s="204"/>
      <c r="AL27" s="202"/>
      <c r="AM27" s="203"/>
      <c r="AN27" s="203"/>
      <c r="AO27" s="203"/>
      <c r="AP27" s="203"/>
      <c r="AQ27" s="203"/>
      <c r="AR27" s="203"/>
      <c r="AS27" s="203"/>
      <c r="AT27" s="203"/>
      <c r="AU27" s="203"/>
      <c r="AV27" s="204"/>
      <c r="AW27" s="202"/>
      <c r="AX27" s="203"/>
      <c r="AY27" s="203"/>
      <c r="AZ27" s="203"/>
      <c r="BA27" s="203"/>
      <c r="BB27" s="203"/>
      <c r="BC27" s="203"/>
      <c r="BD27" s="203"/>
      <c r="BE27" s="203"/>
      <c r="BF27" s="203"/>
      <c r="BG27" s="204"/>
      <c r="BH27" s="202"/>
      <c r="BI27" s="203"/>
      <c r="BJ27" s="203"/>
      <c r="BK27" s="203"/>
      <c r="BL27" s="203"/>
      <c r="BM27" s="203"/>
      <c r="BN27" s="203"/>
      <c r="BO27" s="203"/>
      <c r="BP27" s="203"/>
      <c r="BQ27" s="203"/>
      <c r="BR27" s="204"/>
      <c r="BS27" s="202"/>
      <c r="BT27" s="203"/>
      <c r="BU27" s="203"/>
      <c r="BV27" s="203"/>
      <c r="BW27" s="203"/>
      <c r="BX27" s="203"/>
      <c r="BY27" s="203"/>
      <c r="BZ27" s="203"/>
      <c r="CA27" s="203"/>
      <c r="CB27" s="203"/>
      <c r="CC27" s="204"/>
      <c r="CD27" s="202"/>
      <c r="CE27" s="203"/>
      <c r="CF27" s="203"/>
      <c r="CG27" s="203"/>
      <c r="CH27" s="203"/>
      <c r="CI27" s="203"/>
      <c r="CJ27" s="203"/>
      <c r="CK27" s="203"/>
      <c r="CL27" s="203"/>
      <c r="CM27" s="203"/>
      <c r="CN27" s="204"/>
      <c r="CO27" s="202"/>
      <c r="CP27" s="203"/>
      <c r="CQ27" s="203"/>
      <c r="CR27" s="203"/>
      <c r="CS27" s="203"/>
      <c r="CT27" s="203"/>
      <c r="CU27" s="203"/>
      <c r="CV27" s="203"/>
      <c r="CW27" s="203"/>
      <c r="CX27" s="203"/>
      <c r="CY27" s="204"/>
      <c r="CZ27" s="202"/>
      <c r="DA27" s="203"/>
      <c r="DB27" s="203"/>
      <c r="DC27" s="203"/>
      <c r="DD27" s="203"/>
      <c r="DE27" s="203"/>
      <c r="DF27" s="203"/>
      <c r="DG27" s="203"/>
      <c r="DH27" s="203"/>
      <c r="DI27" s="203"/>
      <c r="DJ27" s="204"/>
      <c r="DK27" s="202"/>
      <c r="DL27" s="203"/>
      <c r="DM27" s="203"/>
      <c r="DN27" s="203"/>
      <c r="DO27" s="203"/>
      <c r="DP27" s="203"/>
      <c r="DQ27" s="203"/>
      <c r="DR27" s="203"/>
      <c r="DS27" s="203"/>
      <c r="DT27" s="203"/>
      <c r="DU27" s="204"/>
    </row>
    <row r="28" hidden="1">
      <c r="A28" s="187"/>
      <c r="B28" s="64"/>
      <c r="C28" s="64"/>
      <c r="D28" s="64"/>
      <c r="E28" s="205"/>
      <c r="F28" s="206"/>
      <c r="G28" s="207"/>
      <c r="H28" s="207"/>
      <c r="I28" s="207"/>
      <c r="J28" s="207"/>
      <c r="K28" s="206"/>
      <c r="L28" s="206"/>
      <c r="M28" s="206"/>
      <c r="N28" s="206"/>
      <c r="O28" s="208"/>
      <c r="P28" s="205"/>
      <c r="Q28" s="206"/>
      <c r="R28" s="207"/>
      <c r="S28" s="207"/>
      <c r="T28" s="207"/>
      <c r="U28" s="207"/>
      <c r="V28" s="206"/>
      <c r="W28" s="206"/>
      <c r="X28" s="206"/>
      <c r="Y28" s="206"/>
      <c r="Z28" s="208"/>
      <c r="AA28" s="205"/>
      <c r="AB28" s="206"/>
      <c r="AC28" s="207"/>
      <c r="AD28" s="207"/>
      <c r="AE28" s="207"/>
      <c r="AF28" s="207"/>
      <c r="AG28" s="206"/>
      <c r="AH28" s="206"/>
      <c r="AI28" s="206"/>
      <c r="AJ28" s="206"/>
      <c r="AK28" s="208"/>
      <c r="AL28" s="205"/>
      <c r="AM28" s="206"/>
      <c r="AN28" s="207"/>
      <c r="AO28" s="207"/>
      <c r="AP28" s="207"/>
      <c r="AQ28" s="207"/>
      <c r="AR28" s="206"/>
      <c r="AS28" s="206"/>
      <c r="AT28" s="206"/>
      <c r="AU28" s="206"/>
      <c r="AV28" s="208"/>
      <c r="AW28" s="205"/>
      <c r="AX28" s="206"/>
      <c r="AY28" s="207"/>
      <c r="AZ28" s="207"/>
      <c r="BA28" s="207"/>
      <c r="BB28" s="207"/>
      <c r="BC28" s="206"/>
      <c r="BD28" s="206"/>
      <c r="BE28" s="206"/>
      <c r="BF28" s="206"/>
      <c r="BG28" s="208"/>
      <c r="BH28" s="205"/>
      <c r="BI28" s="206"/>
      <c r="BJ28" s="207"/>
      <c r="BK28" s="207"/>
      <c r="BL28" s="207"/>
      <c r="BM28" s="207"/>
      <c r="BN28" s="206"/>
      <c r="BO28" s="206"/>
      <c r="BP28" s="206"/>
      <c r="BQ28" s="206"/>
      <c r="BR28" s="208"/>
      <c r="BS28" s="205"/>
      <c r="BT28" s="206"/>
      <c r="BU28" s="207"/>
      <c r="BV28" s="207"/>
      <c r="BW28" s="207"/>
      <c r="BX28" s="207"/>
      <c r="BY28" s="206"/>
      <c r="BZ28" s="206"/>
      <c r="CA28" s="206"/>
      <c r="CB28" s="206"/>
      <c r="CC28" s="208"/>
      <c r="CD28" s="205"/>
      <c r="CE28" s="206"/>
      <c r="CF28" s="207"/>
      <c r="CG28" s="207"/>
      <c r="CH28" s="207"/>
      <c r="CI28" s="207"/>
      <c r="CJ28" s="206"/>
      <c r="CK28" s="206"/>
      <c r="CL28" s="206"/>
      <c r="CM28" s="206"/>
      <c r="CN28" s="208"/>
      <c r="CO28" s="205"/>
      <c r="CP28" s="206"/>
      <c r="CQ28" s="207"/>
      <c r="CR28" s="207"/>
      <c r="CS28" s="207"/>
      <c r="CT28" s="207"/>
      <c r="CU28" s="206"/>
      <c r="CV28" s="206"/>
      <c r="CW28" s="206"/>
      <c r="CX28" s="206"/>
      <c r="CY28" s="208"/>
      <c r="CZ28" s="205"/>
      <c r="DA28" s="206"/>
      <c r="DB28" s="207"/>
      <c r="DC28" s="207"/>
      <c r="DD28" s="207"/>
      <c r="DE28" s="207"/>
      <c r="DF28" s="206"/>
      <c r="DG28" s="206"/>
      <c r="DH28" s="206"/>
      <c r="DI28" s="206"/>
      <c r="DJ28" s="208"/>
      <c r="DK28" s="205"/>
      <c r="DL28" s="206"/>
      <c r="DM28" s="207"/>
      <c r="DN28" s="207"/>
      <c r="DO28" s="207"/>
      <c r="DP28" s="207"/>
      <c r="DQ28" s="206"/>
      <c r="DR28" s="206"/>
      <c r="DS28" s="206"/>
      <c r="DT28" s="206"/>
      <c r="DU28" s="208"/>
    </row>
    <row r="29" hidden="1">
      <c r="A29" s="187"/>
      <c r="B29" s="64"/>
      <c r="C29" s="64"/>
      <c r="D29" s="64"/>
      <c r="E29" s="186"/>
      <c r="F29" s="187"/>
      <c r="G29" s="187"/>
      <c r="H29" s="187"/>
      <c r="I29" s="187"/>
      <c r="J29" s="187"/>
      <c r="K29" s="187"/>
      <c r="L29" s="187"/>
      <c r="M29" s="187"/>
      <c r="N29" s="187"/>
      <c r="O29" s="188"/>
      <c r="P29" s="186"/>
      <c r="Q29" s="187"/>
      <c r="R29" s="187"/>
      <c r="S29" s="187"/>
      <c r="T29" s="187"/>
      <c r="U29" s="187"/>
      <c r="V29" s="187"/>
      <c r="W29" s="187"/>
      <c r="X29" s="187"/>
      <c r="Y29" s="187"/>
      <c r="Z29" s="188"/>
      <c r="AA29" s="186"/>
      <c r="AB29" s="187"/>
      <c r="AC29" s="187"/>
      <c r="AD29" s="187"/>
      <c r="AE29" s="187"/>
      <c r="AF29" s="187"/>
      <c r="AG29" s="187"/>
      <c r="AH29" s="187"/>
      <c r="AI29" s="187"/>
      <c r="AJ29" s="187"/>
      <c r="AK29" s="188"/>
      <c r="AL29" s="186"/>
      <c r="AM29" s="187"/>
      <c r="AN29" s="187"/>
      <c r="AO29" s="187"/>
      <c r="AP29" s="187"/>
      <c r="AQ29" s="187"/>
      <c r="AR29" s="187"/>
      <c r="AS29" s="187"/>
      <c r="AT29" s="187"/>
      <c r="AU29" s="187"/>
      <c r="AV29" s="188"/>
      <c r="AW29" s="186"/>
      <c r="AX29" s="187"/>
      <c r="AY29" s="187"/>
      <c r="AZ29" s="187"/>
      <c r="BA29" s="187"/>
      <c r="BB29" s="187"/>
      <c r="BC29" s="187"/>
      <c r="BD29" s="187"/>
      <c r="BE29" s="187"/>
      <c r="BF29" s="187"/>
      <c r="BG29" s="188"/>
      <c r="BH29" s="186"/>
      <c r="BI29" s="187"/>
      <c r="BJ29" s="187"/>
      <c r="BK29" s="187"/>
      <c r="BL29" s="187"/>
      <c r="BM29" s="187"/>
      <c r="BN29" s="187"/>
      <c r="BO29" s="187"/>
      <c r="BP29" s="187"/>
      <c r="BQ29" s="187"/>
      <c r="BR29" s="188"/>
      <c r="BS29" s="186"/>
      <c r="BT29" s="187"/>
      <c r="BU29" s="187"/>
      <c r="BV29" s="187"/>
      <c r="BW29" s="187"/>
      <c r="BX29" s="187"/>
      <c r="BY29" s="187"/>
      <c r="BZ29" s="187"/>
      <c r="CA29" s="187"/>
      <c r="CB29" s="187"/>
      <c r="CC29" s="188"/>
      <c r="CD29" s="186"/>
      <c r="CE29" s="187"/>
      <c r="CF29" s="187"/>
      <c r="CG29" s="187"/>
      <c r="CH29" s="187"/>
      <c r="CI29" s="187"/>
      <c r="CJ29" s="187"/>
      <c r="CK29" s="187"/>
      <c r="CL29" s="187"/>
      <c r="CM29" s="187"/>
      <c r="CN29" s="188"/>
      <c r="CO29" s="186"/>
      <c r="CP29" s="187"/>
      <c r="CQ29" s="187"/>
      <c r="CR29" s="187"/>
      <c r="CS29" s="187"/>
      <c r="CT29" s="187"/>
      <c r="CU29" s="187"/>
      <c r="CV29" s="187"/>
      <c r="CW29" s="187"/>
      <c r="CX29" s="187"/>
      <c r="CY29" s="188"/>
      <c r="CZ29" s="186"/>
      <c r="DA29" s="187"/>
      <c r="DB29" s="187"/>
      <c r="DC29" s="187"/>
      <c r="DD29" s="187"/>
      <c r="DE29" s="187"/>
      <c r="DF29" s="187"/>
      <c r="DG29" s="187"/>
      <c r="DH29" s="187"/>
      <c r="DI29" s="187"/>
      <c r="DJ29" s="188"/>
      <c r="DK29" s="186"/>
      <c r="DL29" s="187"/>
      <c r="DM29" s="187"/>
      <c r="DN29" s="187"/>
      <c r="DO29" s="187"/>
      <c r="DP29" s="187"/>
      <c r="DQ29" s="187"/>
      <c r="DR29" s="187"/>
      <c r="DS29" s="187"/>
      <c r="DT29" s="187"/>
      <c r="DU29" s="188"/>
    </row>
    <row r="30" hidden="1">
      <c r="A30" s="187"/>
      <c r="B30" s="64"/>
      <c r="C30" s="64"/>
      <c r="D30" s="64"/>
      <c r="E30" s="186"/>
      <c r="F30" s="187"/>
      <c r="G30" s="187"/>
      <c r="H30" s="187"/>
      <c r="I30" s="187"/>
      <c r="J30" s="187"/>
      <c r="K30" s="187"/>
      <c r="L30" s="187"/>
      <c r="M30" s="187"/>
      <c r="N30" s="187"/>
      <c r="O30" s="188"/>
      <c r="P30" s="186"/>
      <c r="Q30" s="187"/>
      <c r="R30" s="187"/>
      <c r="S30" s="187"/>
      <c r="T30" s="187"/>
      <c r="U30" s="187"/>
      <c r="V30" s="187"/>
      <c r="W30" s="187"/>
      <c r="X30" s="187"/>
      <c r="Y30" s="187"/>
      <c r="Z30" s="188"/>
      <c r="AA30" s="186"/>
      <c r="AB30" s="187"/>
      <c r="AC30" s="187"/>
      <c r="AD30" s="187"/>
      <c r="AE30" s="187"/>
      <c r="AF30" s="187"/>
      <c r="AG30" s="187"/>
      <c r="AH30" s="187"/>
      <c r="AI30" s="187"/>
      <c r="AJ30" s="187"/>
      <c r="AK30" s="188"/>
      <c r="AL30" s="186"/>
      <c r="AM30" s="187"/>
      <c r="AN30" s="187"/>
      <c r="AO30" s="187"/>
      <c r="AP30" s="187"/>
      <c r="AQ30" s="187"/>
      <c r="AR30" s="187"/>
      <c r="AS30" s="187"/>
      <c r="AT30" s="187"/>
      <c r="AU30" s="187"/>
      <c r="AV30" s="188"/>
      <c r="AW30" s="186"/>
      <c r="AX30" s="187"/>
      <c r="AY30" s="187"/>
      <c r="AZ30" s="187"/>
      <c r="BA30" s="187"/>
      <c r="BB30" s="187"/>
      <c r="BC30" s="187"/>
      <c r="BD30" s="187"/>
      <c r="BE30" s="187"/>
      <c r="BF30" s="187"/>
      <c r="BG30" s="188"/>
      <c r="BH30" s="186"/>
      <c r="BI30" s="187"/>
      <c r="BJ30" s="187"/>
      <c r="BK30" s="187"/>
      <c r="BL30" s="187"/>
      <c r="BM30" s="187"/>
      <c r="BN30" s="187"/>
      <c r="BO30" s="187"/>
      <c r="BP30" s="187"/>
      <c r="BQ30" s="187"/>
      <c r="BR30" s="188"/>
      <c r="BS30" s="186"/>
      <c r="BT30" s="187"/>
      <c r="BU30" s="187"/>
      <c r="BV30" s="187"/>
      <c r="BW30" s="187"/>
      <c r="BX30" s="187"/>
      <c r="BY30" s="187"/>
      <c r="BZ30" s="187"/>
      <c r="CA30" s="187"/>
      <c r="CB30" s="187"/>
      <c r="CC30" s="188"/>
      <c r="CD30" s="186"/>
      <c r="CE30" s="187"/>
      <c r="CF30" s="187"/>
      <c r="CG30" s="187"/>
      <c r="CH30" s="187"/>
      <c r="CI30" s="187"/>
      <c r="CJ30" s="187"/>
      <c r="CK30" s="187"/>
      <c r="CL30" s="187"/>
      <c r="CM30" s="187"/>
      <c r="CN30" s="188"/>
      <c r="CO30" s="186"/>
      <c r="CP30" s="187"/>
      <c r="CQ30" s="187"/>
      <c r="CR30" s="187"/>
      <c r="CS30" s="187"/>
      <c r="CT30" s="187"/>
      <c r="CU30" s="187"/>
      <c r="CV30" s="187"/>
      <c r="CW30" s="187"/>
      <c r="CX30" s="187"/>
      <c r="CY30" s="188"/>
      <c r="CZ30" s="186"/>
      <c r="DA30" s="187"/>
      <c r="DB30" s="187"/>
      <c r="DC30" s="187"/>
      <c r="DD30" s="187"/>
      <c r="DE30" s="187"/>
      <c r="DF30" s="187"/>
      <c r="DG30" s="187"/>
      <c r="DH30" s="187"/>
      <c r="DI30" s="187"/>
      <c r="DJ30" s="188"/>
      <c r="DK30" s="186"/>
      <c r="DL30" s="187"/>
      <c r="DM30" s="187"/>
      <c r="DN30" s="187"/>
      <c r="DO30" s="187"/>
      <c r="DP30" s="187"/>
      <c r="DQ30" s="187"/>
      <c r="DR30" s="187"/>
      <c r="DS30" s="187"/>
      <c r="DT30" s="187"/>
      <c r="DU30" s="188"/>
    </row>
    <row r="31" hidden="1">
      <c r="A31" s="187"/>
      <c r="B31" s="64"/>
      <c r="C31" s="64"/>
      <c r="D31" s="64"/>
      <c r="E31" s="186"/>
      <c r="F31" s="187"/>
      <c r="G31" s="187"/>
      <c r="H31" s="187"/>
      <c r="I31" s="187"/>
      <c r="J31" s="187"/>
      <c r="K31" s="187"/>
      <c r="L31" s="187"/>
      <c r="M31" s="187"/>
      <c r="N31" s="187"/>
      <c r="O31" s="188"/>
      <c r="P31" s="186"/>
      <c r="Q31" s="187"/>
      <c r="R31" s="187"/>
      <c r="S31" s="187"/>
      <c r="T31" s="187"/>
      <c r="U31" s="187"/>
      <c r="V31" s="187"/>
      <c r="W31" s="187"/>
      <c r="X31" s="187"/>
      <c r="Y31" s="187"/>
      <c r="Z31" s="188"/>
      <c r="AA31" s="186"/>
      <c r="AB31" s="187"/>
      <c r="AC31" s="187"/>
      <c r="AD31" s="187"/>
      <c r="AE31" s="187"/>
      <c r="AF31" s="187"/>
      <c r="AG31" s="187"/>
      <c r="AH31" s="187"/>
      <c r="AI31" s="187"/>
      <c r="AJ31" s="187"/>
      <c r="AK31" s="188"/>
      <c r="AL31" s="186"/>
      <c r="AM31" s="187"/>
      <c r="AN31" s="187"/>
      <c r="AO31" s="187"/>
      <c r="AP31" s="187"/>
      <c r="AQ31" s="187"/>
      <c r="AR31" s="187"/>
      <c r="AS31" s="187"/>
      <c r="AT31" s="187"/>
      <c r="AU31" s="187"/>
      <c r="AV31" s="188"/>
      <c r="AW31" s="186"/>
      <c r="AX31" s="187"/>
      <c r="AY31" s="187"/>
      <c r="AZ31" s="187"/>
      <c r="BA31" s="187"/>
      <c r="BB31" s="187"/>
      <c r="BC31" s="187"/>
      <c r="BD31" s="187"/>
      <c r="BE31" s="187"/>
      <c r="BF31" s="187"/>
      <c r="BG31" s="188"/>
      <c r="BH31" s="186"/>
      <c r="BI31" s="187"/>
      <c r="BJ31" s="187"/>
      <c r="BK31" s="187"/>
      <c r="BL31" s="187"/>
      <c r="BM31" s="187"/>
      <c r="BN31" s="187"/>
      <c r="BO31" s="187"/>
      <c r="BP31" s="187"/>
      <c r="BQ31" s="187"/>
      <c r="BR31" s="188"/>
      <c r="BS31" s="186"/>
      <c r="BT31" s="187"/>
      <c r="BU31" s="187"/>
      <c r="BV31" s="187"/>
      <c r="BW31" s="187"/>
      <c r="BX31" s="187"/>
      <c r="BY31" s="187"/>
      <c r="BZ31" s="187"/>
      <c r="CA31" s="187"/>
      <c r="CB31" s="187"/>
      <c r="CC31" s="188"/>
      <c r="CD31" s="186"/>
      <c r="CE31" s="187"/>
      <c r="CF31" s="187"/>
      <c r="CG31" s="187"/>
      <c r="CH31" s="187"/>
      <c r="CI31" s="187"/>
      <c r="CJ31" s="187"/>
      <c r="CK31" s="187"/>
      <c r="CL31" s="187"/>
      <c r="CM31" s="187"/>
      <c r="CN31" s="188"/>
      <c r="CO31" s="186"/>
      <c r="CP31" s="187"/>
      <c r="CQ31" s="187"/>
      <c r="CR31" s="187"/>
      <c r="CS31" s="187"/>
      <c r="CT31" s="187"/>
      <c r="CU31" s="187"/>
      <c r="CV31" s="187"/>
      <c r="CW31" s="187"/>
      <c r="CX31" s="187"/>
      <c r="CY31" s="188"/>
      <c r="CZ31" s="186"/>
      <c r="DA31" s="187"/>
      <c r="DB31" s="187"/>
      <c r="DC31" s="187"/>
      <c r="DD31" s="187"/>
      <c r="DE31" s="187"/>
      <c r="DF31" s="187"/>
      <c r="DG31" s="187"/>
      <c r="DH31" s="187"/>
      <c r="DI31" s="187"/>
      <c r="DJ31" s="188"/>
      <c r="DK31" s="186"/>
      <c r="DL31" s="187"/>
      <c r="DM31" s="187"/>
      <c r="DN31" s="187"/>
      <c r="DO31" s="187"/>
      <c r="DP31" s="187"/>
      <c r="DQ31" s="187"/>
      <c r="DR31" s="187"/>
      <c r="DS31" s="187"/>
      <c r="DT31" s="187"/>
      <c r="DU31" s="188"/>
    </row>
    <row r="32" hidden="1">
      <c r="A32" s="187"/>
      <c r="B32" s="64"/>
      <c r="C32" s="64"/>
      <c r="D32" s="64"/>
      <c r="E32" s="186"/>
      <c r="F32" s="187"/>
      <c r="G32" s="187"/>
      <c r="H32" s="187"/>
      <c r="I32" s="187"/>
      <c r="J32" s="187"/>
      <c r="K32" s="187"/>
      <c r="L32" s="187"/>
      <c r="M32" s="187"/>
      <c r="N32" s="187"/>
      <c r="O32" s="188"/>
      <c r="P32" s="186"/>
      <c r="Q32" s="187"/>
      <c r="R32" s="187"/>
      <c r="S32" s="187"/>
      <c r="T32" s="187"/>
      <c r="U32" s="187"/>
      <c r="V32" s="187"/>
      <c r="W32" s="187"/>
      <c r="X32" s="187"/>
      <c r="Y32" s="187"/>
      <c r="Z32" s="188"/>
      <c r="AA32" s="186"/>
      <c r="AB32" s="187"/>
      <c r="AC32" s="187"/>
      <c r="AD32" s="187"/>
      <c r="AE32" s="187"/>
      <c r="AF32" s="187"/>
      <c r="AG32" s="187"/>
      <c r="AH32" s="187"/>
      <c r="AI32" s="187"/>
      <c r="AJ32" s="187"/>
      <c r="AK32" s="188"/>
      <c r="AL32" s="186"/>
      <c r="AM32" s="187"/>
      <c r="AN32" s="187"/>
      <c r="AO32" s="187"/>
      <c r="AP32" s="187"/>
      <c r="AQ32" s="187"/>
      <c r="AR32" s="187"/>
      <c r="AS32" s="187"/>
      <c r="AT32" s="187"/>
      <c r="AU32" s="187"/>
      <c r="AV32" s="188"/>
      <c r="AW32" s="186"/>
      <c r="AX32" s="187"/>
      <c r="AY32" s="187"/>
      <c r="AZ32" s="187"/>
      <c r="BA32" s="187"/>
      <c r="BB32" s="187"/>
      <c r="BC32" s="187"/>
      <c r="BD32" s="187"/>
      <c r="BE32" s="187"/>
      <c r="BF32" s="187"/>
      <c r="BG32" s="188"/>
      <c r="BH32" s="186"/>
      <c r="BI32" s="187"/>
      <c r="BJ32" s="187"/>
      <c r="BK32" s="187"/>
      <c r="BL32" s="187"/>
      <c r="BM32" s="187"/>
      <c r="BN32" s="187"/>
      <c r="BO32" s="187"/>
      <c r="BP32" s="187"/>
      <c r="BQ32" s="187"/>
      <c r="BR32" s="188"/>
      <c r="BS32" s="186"/>
      <c r="BT32" s="187"/>
      <c r="BU32" s="187"/>
      <c r="BV32" s="187"/>
      <c r="BW32" s="187"/>
      <c r="BX32" s="187"/>
      <c r="BY32" s="187"/>
      <c r="BZ32" s="187"/>
      <c r="CA32" s="187"/>
      <c r="CB32" s="187"/>
      <c r="CC32" s="188"/>
      <c r="CD32" s="186"/>
      <c r="CE32" s="187"/>
      <c r="CF32" s="187"/>
      <c r="CG32" s="187"/>
      <c r="CH32" s="187"/>
      <c r="CI32" s="187"/>
      <c r="CJ32" s="187"/>
      <c r="CK32" s="187"/>
      <c r="CL32" s="187"/>
      <c r="CM32" s="187"/>
      <c r="CN32" s="188"/>
      <c r="CO32" s="186"/>
      <c r="CP32" s="187"/>
      <c r="CQ32" s="187"/>
      <c r="CR32" s="187"/>
      <c r="CS32" s="187"/>
      <c r="CT32" s="187"/>
      <c r="CU32" s="187"/>
      <c r="CV32" s="187"/>
      <c r="CW32" s="187"/>
      <c r="CX32" s="187"/>
      <c r="CY32" s="188"/>
      <c r="CZ32" s="186"/>
      <c r="DA32" s="187"/>
      <c r="DB32" s="187"/>
      <c r="DC32" s="187"/>
      <c r="DD32" s="187"/>
      <c r="DE32" s="187"/>
      <c r="DF32" s="187"/>
      <c r="DG32" s="187"/>
      <c r="DH32" s="187"/>
      <c r="DI32" s="187"/>
      <c r="DJ32" s="188"/>
      <c r="DK32" s="186"/>
      <c r="DL32" s="187"/>
      <c r="DM32" s="187"/>
      <c r="DN32" s="187"/>
      <c r="DO32" s="187"/>
      <c r="DP32" s="187"/>
      <c r="DQ32" s="187"/>
      <c r="DR32" s="187"/>
      <c r="DS32" s="187"/>
      <c r="DT32" s="187"/>
      <c r="DU32" s="188"/>
    </row>
    <row r="33" hidden="1">
      <c r="A33" s="187"/>
      <c r="B33" s="64"/>
      <c r="C33" s="64"/>
      <c r="D33" s="64"/>
      <c r="E33" s="186"/>
      <c r="F33" s="187"/>
      <c r="G33" s="187"/>
      <c r="H33" s="187"/>
      <c r="I33" s="187"/>
      <c r="J33" s="187"/>
      <c r="K33" s="187"/>
      <c r="L33" s="187"/>
      <c r="M33" s="187"/>
      <c r="N33" s="187"/>
      <c r="O33" s="188"/>
      <c r="P33" s="186"/>
      <c r="Q33" s="187"/>
      <c r="R33" s="187"/>
      <c r="S33" s="187"/>
      <c r="T33" s="187"/>
      <c r="U33" s="187"/>
      <c r="V33" s="187"/>
      <c r="W33" s="187"/>
      <c r="X33" s="187"/>
      <c r="Y33" s="187"/>
      <c r="Z33" s="188"/>
      <c r="AA33" s="186"/>
      <c r="AB33" s="187"/>
      <c r="AC33" s="187"/>
      <c r="AD33" s="187"/>
      <c r="AE33" s="187"/>
      <c r="AF33" s="187"/>
      <c r="AG33" s="187"/>
      <c r="AH33" s="187"/>
      <c r="AI33" s="187"/>
      <c r="AJ33" s="187"/>
      <c r="AK33" s="188"/>
      <c r="AL33" s="186"/>
      <c r="AM33" s="187"/>
      <c r="AN33" s="187"/>
      <c r="AO33" s="187"/>
      <c r="AP33" s="187"/>
      <c r="AQ33" s="187"/>
      <c r="AR33" s="187"/>
      <c r="AS33" s="187"/>
      <c r="AT33" s="187"/>
      <c r="AU33" s="187"/>
      <c r="AV33" s="188"/>
      <c r="AW33" s="186"/>
      <c r="AX33" s="187"/>
      <c r="AY33" s="187"/>
      <c r="AZ33" s="187"/>
      <c r="BA33" s="187"/>
      <c r="BB33" s="187"/>
      <c r="BC33" s="187"/>
      <c r="BD33" s="187"/>
      <c r="BE33" s="187"/>
      <c r="BF33" s="187"/>
      <c r="BG33" s="188"/>
      <c r="BH33" s="186"/>
      <c r="BI33" s="187"/>
      <c r="BJ33" s="187"/>
      <c r="BK33" s="187"/>
      <c r="BL33" s="187"/>
      <c r="BM33" s="187"/>
      <c r="BN33" s="187"/>
      <c r="BO33" s="187"/>
      <c r="BP33" s="187"/>
      <c r="BQ33" s="187"/>
      <c r="BR33" s="188"/>
      <c r="BS33" s="186"/>
      <c r="BT33" s="187"/>
      <c r="BU33" s="187"/>
      <c r="BV33" s="187"/>
      <c r="BW33" s="187"/>
      <c r="BX33" s="187"/>
      <c r="BY33" s="187"/>
      <c r="BZ33" s="187"/>
      <c r="CA33" s="187"/>
      <c r="CB33" s="187"/>
      <c r="CC33" s="188"/>
      <c r="CD33" s="186"/>
      <c r="CE33" s="187"/>
      <c r="CF33" s="187"/>
      <c r="CG33" s="187"/>
      <c r="CH33" s="187"/>
      <c r="CI33" s="187"/>
      <c r="CJ33" s="187"/>
      <c r="CK33" s="187"/>
      <c r="CL33" s="187"/>
      <c r="CM33" s="187"/>
      <c r="CN33" s="188"/>
      <c r="CO33" s="186"/>
      <c r="CP33" s="187"/>
      <c r="CQ33" s="187"/>
      <c r="CR33" s="187"/>
      <c r="CS33" s="187"/>
      <c r="CT33" s="187"/>
      <c r="CU33" s="187"/>
      <c r="CV33" s="187"/>
      <c r="CW33" s="187"/>
      <c r="CX33" s="187"/>
      <c r="CY33" s="188"/>
      <c r="CZ33" s="186"/>
      <c r="DA33" s="187"/>
      <c r="DB33" s="187"/>
      <c r="DC33" s="187"/>
      <c r="DD33" s="187"/>
      <c r="DE33" s="187"/>
      <c r="DF33" s="187"/>
      <c r="DG33" s="187"/>
      <c r="DH33" s="187"/>
      <c r="DI33" s="187"/>
      <c r="DJ33" s="188"/>
      <c r="DK33" s="186"/>
      <c r="DL33" s="187"/>
      <c r="DM33" s="187"/>
      <c r="DN33" s="187"/>
      <c r="DO33" s="187"/>
      <c r="DP33" s="187"/>
      <c r="DQ33" s="187"/>
      <c r="DR33" s="187"/>
      <c r="DS33" s="187"/>
      <c r="DT33" s="187"/>
      <c r="DU33" s="188"/>
    </row>
    <row r="34" hidden="1">
      <c r="A34" s="187"/>
      <c r="B34" s="64"/>
      <c r="C34" s="64"/>
      <c r="D34" s="64"/>
      <c r="E34" s="186"/>
      <c r="F34" s="187"/>
      <c r="G34" s="187"/>
      <c r="H34" s="187"/>
      <c r="I34" s="187"/>
      <c r="J34" s="187"/>
      <c r="K34" s="187"/>
      <c r="L34" s="187"/>
      <c r="M34" s="187"/>
      <c r="N34" s="187"/>
      <c r="O34" s="188"/>
      <c r="P34" s="186"/>
      <c r="Q34" s="187"/>
      <c r="R34" s="187"/>
      <c r="S34" s="187"/>
      <c r="T34" s="187"/>
      <c r="U34" s="187"/>
      <c r="V34" s="187"/>
      <c r="W34" s="187"/>
      <c r="X34" s="187"/>
      <c r="Y34" s="187"/>
      <c r="Z34" s="188"/>
      <c r="AA34" s="186"/>
      <c r="AB34" s="187"/>
      <c r="AC34" s="187"/>
      <c r="AD34" s="187"/>
      <c r="AE34" s="187"/>
      <c r="AF34" s="187"/>
      <c r="AG34" s="187"/>
      <c r="AH34" s="187"/>
      <c r="AI34" s="187"/>
      <c r="AJ34" s="187"/>
      <c r="AK34" s="188"/>
      <c r="AL34" s="186"/>
      <c r="AM34" s="187"/>
      <c r="AN34" s="187"/>
      <c r="AO34" s="187"/>
      <c r="AP34" s="187"/>
      <c r="AQ34" s="187"/>
      <c r="AR34" s="187"/>
      <c r="AS34" s="187"/>
      <c r="AT34" s="187"/>
      <c r="AU34" s="187"/>
      <c r="AV34" s="188"/>
      <c r="AW34" s="186"/>
      <c r="AX34" s="187"/>
      <c r="AY34" s="187"/>
      <c r="AZ34" s="187"/>
      <c r="BA34" s="187"/>
      <c r="BB34" s="187"/>
      <c r="BC34" s="187"/>
      <c r="BD34" s="187"/>
      <c r="BE34" s="187"/>
      <c r="BF34" s="187"/>
      <c r="BG34" s="188"/>
      <c r="BH34" s="186"/>
      <c r="BI34" s="187"/>
      <c r="BJ34" s="187"/>
      <c r="BK34" s="187"/>
      <c r="BL34" s="187"/>
      <c r="BM34" s="187"/>
      <c r="BN34" s="187"/>
      <c r="BO34" s="187"/>
      <c r="BP34" s="187"/>
      <c r="BQ34" s="187"/>
      <c r="BR34" s="188"/>
      <c r="BS34" s="186"/>
      <c r="BT34" s="187"/>
      <c r="BU34" s="187"/>
      <c r="BV34" s="187"/>
      <c r="BW34" s="187"/>
      <c r="BX34" s="187"/>
      <c r="BY34" s="187"/>
      <c r="BZ34" s="187"/>
      <c r="CA34" s="187"/>
      <c r="CB34" s="187"/>
      <c r="CC34" s="188"/>
      <c r="CD34" s="186"/>
      <c r="CE34" s="187"/>
      <c r="CF34" s="187"/>
      <c r="CG34" s="187"/>
      <c r="CH34" s="187"/>
      <c r="CI34" s="187"/>
      <c r="CJ34" s="187"/>
      <c r="CK34" s="187"/>
      <c r="CL34" s="187"/>
      <c r="CM34" s="187"/>
      <c r="CN34" s="188"/>
      <c r="CO34" s="186"/>
      <c r="CP34" s="187"/>
      <c r="CQ34" s="187"/>
      <c r="CR34" s="187"/>
      <c r="CS34" s="187"/>
      <c r="CT34" s="187"/>
      <c r="CU34" s="187"/>
      <c r="CV34" s="187"/>
      <c r="CW34" s="187"/>
      <c r="CX34" s="187"/>
      <c r="CY34" s="188"/>
      <c r="CZ34" s="186"/>
      <c r="DA34" s="187"/>
      <c r="DB34" s="187"/>
      <c r="DC34" s="187"/>
      <c r="DD34" s="187"/>
      <c r="DE34" s="187"/>
      <c r="DF34" s="187"/>
      <c r="DG34" s="187"/>
      <c r="DH34" s="187"/>
      <c r="DI34" s="187"/>
      <c r="DJ34" s="188"/>
      <c r="DK34" s="186"/>
      <c r="DL34" s="187"/>
      <c r="DM34" s="187"/>
      <c r="DN34" s="187"/>
      <c r="DO34" s="187"/>
      <c r="DP34" s="187"/>
      <c r="DQ34" s="187"/>
      <c r="DR34" s="187"/>
      <c r="DS34" s="187"/>
      <c r="DT34" s="187"/>
      <c r="DU34" s="188"/>
    </row>
    <row r="35" hidden="1">
      <c r="A35" s="187"/>
      <c r="B35" s="64"/>
      <c r="C35" s="64"/>
      <c r="D35" s="64"/>
      <c r="E35" s="186"/>
      <c r="F35" s="187"/>
      <c r="G35" s="187"/>
      <c r="H35" s="187"/>
      <c r="I35" s="187"/>
      <c r="J35" s="187"/>
      <c r="K35" s="187"/>
      <c r="L35" s="187"/>
      <c r="M35" s="187"/>
      <c r="N35" s="187"/>
      <c r="O35" s="188"/>
      <c r="P35" s="186"/>
      <c r="Q35" s="187"/>
      <c r="R35" s="187"/>
      <c r="S35" s="187"/>
      <c r="T35" s="187"/>
      <c r="U35" s="187"/>
      <c r="V35" s="187"/>
      <c r="W35" s="187"/>
      <c r="X35" s="187"/>
      <c r="Y35" s="187"/>
      <c r="Z35" s="188"/>
      <c r="AA35" s="186"/>
      <c r="AB35" s="187"/>
      <c r="AC35" s="187"/>
      <c r="AD35" s="187"/>
      <c r="AE35" s="187"/>
      <c r="AF35" s="187"/>
      <c r="AG35" s="187"/>
      <c r="AH35" s="187"/>
      <c r="AI35" s="187"/>
      <c r="AJ35" s="187"/>
      <c r="AK35" s="188"/>
      <c r="AL35" s="186"/>
      <c r="AM35" s="187"/>
      <c r="AN35" s="187"/>
      <c r="AO35" s="187"/>
      <c r="AP35" s="187"/>
      <c r="AQ35" s="187"/>
      <c r="AR35" s="187"/>
      <c r="AS35" s="187"/>
      <c r="AT35" s="187"/>
      <c r="AU35" s="187"/>
      <c r="AV35" s="188"/>
      <c r="AW35" s="186"/>
      <c r="AX35" s="187"/>
      <c r="AY35" s="187"/>
      <c r="AZ35" s="187"/>
      <c r="BA35" s="187"/>
      <c r="BB35" s="187"/>
      <c r="BC35" s="187"/>
      <c r="BD35" s="187"/>
      <c r="BE35" s="187"/>
      <c r="BF35" s="187"/>
      <c r="BG35" s="188"/>
      <c r="BH35" s="186"/>
      <c r="BI35" s="187"/>
      <c r="BJ35" s="187"/>
      <c r="BK35" s="187"/>
      <c r="BL35" s="187"/>
      <c r="BM35" s="187"/>
      <c r="BN35" s="187"/>
      <c r="BO35" s="187"/>
      <c r="BP35" s="187"/>
      <c r="BQ35" s="187"/>
      <c r="BR35" s="188"/>
      <c r="BS35" s="186"/>
      <c r="BT35" s="187"/>
      <c r="BU35" s="187"/>
      <c r="BV35" s="187"/>
      <c r="BW35" s="187"/>
      <c r="BX35" s="187"/>
      <c r="BY35" s="187"/>
      <c r="BZ35" s="187"/>
      <c r="CA35" s="187"/>
      <c r="CB35" s="187"/>
      <c r="CC35" s="188"/>
      <c r="CD35" s="186"/>
      <c r="CE35" s="187"/>
      <c r="CF35" s="187"/>
      <c r="CG35" s="187"/>
      <c r="CH35" s="187"/>
      <c r="CI35" s="187"/>
      <c r="CJ35" s="187"/>
      <c r="CK35" s="187"/>
      <c r="CL35" s="187"/>
      <c r="CM35" s="187"/>
      <c r="CN35" s="188"/>
      <c r="CO35" s="186"/>
      <c r="CP35" s="187"/>
      <c r="CQ35" s="187"/>
      <c r="CR35" s="187"/>
      <c r="CS35" s="187"/>
      <c r="CT35" s="187"/>
      <c r="CU35" s="187"/>
      <c r="CV35" s="187"/>
      <c r="CW35" s="187"/>
      <c r="CX35" s="187"/>
      <c r="CY35" s="188"/>
      <c r="CZ35" s="186"/>
      <c r="DA35" s="187"/>
      <c r="DB35" s="187"/>
      <c r="DC35" s="187"/>
      <c r="DD35" s="187"/>
      <c r="DE35" s="187"/>
      <c r="DF35" s="187"/>
      <c r="DG35" s="187"/>
      <c r="DH35" s="187"/>
      <c r="DI35" s="187"/>
      <c r="DJ35" s="188"/>
      <c r="DK35" s="186"/>
      <c r="DL35" s="187"/>
      <c r="DM35" s="187"/>
      <c r="DN35" s="187"/>
      <c r="DO35" s="187"/>
      <c r="DP35" s="187"/>
      <c r="DQ35" s="187"/>
      <c r="DR35" s="187"/>
      <c r="DS35" s="187"/>
      <c r="DT35" s="187"/>
      <c r="DU35" s="188"/>
    </row>
    <row r="36" hidden="1">
      <c r="A36" s="187"/>
      <c r="B36" s="64"/>
      <c r="C36" s="64"/>
      <c r="D36" s="64"/>
      <c r="E36" s="186"/>
      <c r="F36" s="187"/>
      <c r="G36" s="187"/>
      <c r="H36" s="187"/>
      <c r="I36" s="187"/>
      <c r="J36" s="187"/>
      <c r="K36" s="187"/>
      <c r="L36" s="187"/>
      <c r="M36" s="187"/>
      <c r="N36" s="187"/>
      <c r="O36" s="188"/>
      <c r="P36" s="186"/>
      <c r="Q36" s="187"/>
      <c r="R36" s="187"/>
      <c r="S36" s="187"/>
      <c r="T36" s="187"/>
      <c r="U36" s="187"/>
      <c r="V36" s="187"/>
      <c r="W36" s="187"/>
      <c r="X36" s="187"/>
      <c r="Y36" s="187"/>
      <c r="Z36" s="188"/>
      <c r="AA36" s="186"/>
      <c r="AB36" s="187"/>
      <c r="AC36" s="187"/>
      <c r="AD36" s="187"/>
      <c r="AE36" s="187"/>
      <c r="AF36" s="187"/>
      <c r="AG36" s="187"/>
      <c r="AH36" s="187"/>
      <c r="AI36" s="187"/>
      <c r="AJ36" s="187"/>
      <c r="AK36" s="188"/>
      <c r="AL36" s="186"/>
      <c r="AM36" s="187"/>
      <c r="AN36" s="187"/>
      <c r="AO36" s="187"/>
      <c r="AP36" s="187"/>
      <c r="AQ36" s="187"/>
      <c r="AR36" s="187"/>
      <c r="AS36" s="187"/>
      <c r="AT36" s="187"/>
      <c r="AU36" s="187"/>
      <c r="AV36" s="188"/>
      <c r="AW36" s="186"/>
      <c r="AX36" s="187"/>
      <c r="AY36" s="187"/>
      <c r="AZ36" s="187"/>
      <c r="BA36" s="187"/>
      <c r="BB36" s="187"/>
      <c r="BC36" s="187"/>
      <c r="BD36" s="187"/>
      <c r="BE36" s="187"/>
      <c r="BF36" s="187"/>
      <c r="BG36" s="188"/>
      <c r="BH36" s="186"/>
      <c r="BI36" s="187"/>
      <c r="BJ36" s="187"/>
      <c r="BK36" s="187"/>
      <c r="BL36" s="187"/>
      <c r="BM36" s="187"/>
      <c r="BN36" s="187"/>
      <c r="BO36" s="187"/>
      <c r="BP36" s="187"/>
      <c r="BQ36" s="187"/>
      <c r="BR36" s="188"/>
      <c r="BS36" s="186"/>
      <c r="BT36" s="187"/>
      <c r="BU36" s="187"/>
      <c r="BV36" s="187"/>
      <c r="BW36" s="187"/>
      <c r="BX36" s="187"/>
      <c r="BY36" s="187"/>
      <c r="BZ36" s="187"/>
      <c r="CA36" s="187"/>
      <c r="CB36" s="187"/>
      <c r="CC36" s="188"/>
      <c r="CD36" s="186"/>
      <c r="CE36" s="187"/>
      <c r="CF36" s="187"/>
      <c r="CG36" s="187"/>
      <c r="CH36" s="187"/>
      <c r="CI36" s="187"/>
      <c r="CJ36" s="187"/>
      <c r="CK36" s="187"/>
      <c r="CL36" s="187"/>
      <c r="CM36" s="187"/>
      <c r="CN36" s="188"/>
      <c r="CO36" s="186"/>
      <c r="CP36" s="187"/>
      <c r="CQ36" s="187"/>
      <c r="CR36" s="187"/>
      <c r="CS36" s="187"/>
      <c r="CT36" s="187"/>
      <c r="CU36" s="187"/>
      <c r="CV36" s="187"/>
      <c r="CW36" s="187"/>
      <c r="CX36" s="187"/>
      <c r="CY36" s="188"/>
      <c r="CZ36" s="186"/>
      <c r="DA36" s="187"/>
      <c r="DB36" s="187"/>
      <c r="DC36" s="187"/>
      <c r="DD36" s="187"/>
      <c r="DE36" s="187"/>
      <c r="DF36" s="187"/>
      <c r="DG36" s="187"/>
      <c r="DH36" s="187"/>
      <c r="DI36" s="187"/>
      <c r="DJ36" s="188"/>
      <c r="DK36" s="186"/>
      <c r="DL36" s="187"/>
      <c r="DM36" s="187"/>
      <c r="DN36" s="187"/>
      <c r="DO36" s="187"/>
      <c r="DP36" s="187"/>
      <c r="DQ36" s="187"/>
      <c r="DR36" s="187"/>
      <c r="DS36" s="187"/>
      <c r="DT36" s="187"/>
      <c r="DU36" s="188"/>
    </row>
    <row r="37" hidden="1">
      <c r="A37" s="187"/>
      <c r="B37" s="64"/>
      <c r="C37" s="64"/>
      <c r="D37" s="64"/>
      <c r="E37" s="186"/>
      <c r="F37" s="187"/>
      <c r="G37" s="187"/>
      <c r="H37" s="187"/>
      <c r="I37" s="187"/>
      <c r="J37" s="187"/>
      <c r="K37" s="187"/>
      <c r="L37" s="187"/>
      <c r="M37" s="187"/>
      <c r="N37" s="187"/>
      <c r="O37" s="188"/>
      <c r="P37" s="186"/>
      <c r="Q37" s="187"/>
      <c r="R37" s="187"/>
      <c r="S37" s="187"/>
      <c r="T37" s="187"/>
      <c r="U37" s="187"/>
      <c r="V37" s="187"/>
      <c r="W37" s="187"/>
      <c r="X37" s="187"/>
      <c r="Y37" s="187"/>
      <c r="Z37" s="188"/>
      <c r="AA37" s="186"/>
      <c r="AB37" s="187"/>
      <c r="AC37" s="187"/>
      <c r="AD37" s="187"/>
      <c r="AE37" s="187"/>
      <c r="AF37" s="187"/>
      <c r="AG37" s="187"/>
      <c r="AH37" s="187"/>
      <c r="AI37" s="187"/>
      <c r="AJ37" s="187"/>
      <c r="AK37" s="188"/>
      <c r="AL37" s="186"/>
      <c r="AM37" s="187"/>
      <c r="AN37" s="187"/>
      <c r="AO37" s="187"/>
      <c r="AP37" s="187"/>
      <c r="AQ37" s="187"/>
      <c r="AR37" s="187"/>
      <c r="AS37" s="187"/>
      <c r="AT37" s="187"/>
      <c r="AU37" s="187"/>
      <c r="AV37" s="188"/>
      <c r="AW37" s="186"/>
      <c r="AX37" s="187"/>
      <c r="AY37" s="187"/>
      <c r="AZ37" s="187"/>
      <c r="BA37" s="187"/>
      <c r="BB37" s="187"/>
      <c r="BC37" s="187"/>
      <c r="BD37" s="187"/>
      <c r="BE37" s="187"/>
      <c r="BF37" s="187"/>
      <c r="BG37" s="188"/>
      <c r="BH37" s="186"/>
      <c r="BI37" s="187"/>
      <c r="BJ37" s="187"/>
      <c r="BK37" s="187"/>
      <c r="BL37" s="187"/>
      <c r="BM37" s="187"/>
      <c r="BN37" s="187"/>
      <c r="BO37" s="187"/>
      <c r="BP37" s="187"/>
      <c r="BQ37" s="187"/>
      <c r="BR37" s="188"/>
      <c r="BS37" s="186"/>
      <c r="BT37" s="187"/>
      <c r="BU37" s="187"/>
      <c r="BV37" s="187"/>
      <c r="BW37" s="187"/>
      <c r="BX37" s="187"/>
      <c r="BY37" s="187"/>
      <c r="BZ37" s="187"/>
      <c r="CA37" s="187"/>
      <c r="CB37" s="187"/>
      <c r="CC37" s="188"/>
      <c r="CD37" s="186"/>
      <c r="CE37" s="187"/>
      <c r="CF37" s="187"/>
      <c r="CG37" s="187"/>
      <c r="CH37" s="187"/>
      <c r="CI37" s="187"/>
      <c r="CJ37" s="187"/>
      <c r="CK37" s="187"/>
      <c r="CL37" s="187"/>
      <c r="CM37" s="187"/>
      <c r="CN37" s="188"/>
      <c r="CO37" s="186"/>
      <c r="CP37" s="187"/>
      <c r="CQ37" s="187"/>
      <c r="CR37" s="187"/>
      <c r="CS37" s="187"/>
      <c r="CT37" s="187"/>
      <c r="CU37" s="187"/>
      <c r="CV37" s="187"/>
      <c r="CW37" s="187"/>
      <c r="CX37" s="187"/>
      <c r="CY37" s="188"/>
      <c r="CZ37" s="186"/>
      <c r="DA37" s="187"/>
      <c r="DB37" s="187"/>
      <c r="DC37" s="187"/>
      <c r="DD37" s="187"/>
      <c r="DE37" s="187"/>
      <c r="DF37" s="187"/>
      <c r="DG37" s="187"/>
      <c r="DH37" s="187"/>
      <c r="DI37" s="187"/>
      <c r="DJ37" s="188"/>
      <c r="DK37" s="186"/>
      <c r="DL37" s="187"/>
      <c r="DM37" s="187"/>
      <c r="DN37" s="187"/>
      <c r="DO37" s="187"/>
      <c r="DP37" s="187"/>
      <c r="DQ37" s="187"/>
      <c r="DR37" s="187"/>
      <c r="DS37" s="187"/>
      <c r="DT37" s="187"/>
      <c r="DU37" s="188"/>
    </row>
    <row r="38" hidden="1">
      <c r="A38" s="187"/>
      <c r="B38" s="64"/>
      <c r="C38" s="64"/>
      <c r="D38" s="64"/>
      <c r="E38" s="186"/>
      <c r="F38" s="187"/>
      <c r="G38" s="187"/>
      <c r="H38" s="187"/>
      <c r="I38" s="187"/>
      <c r="J38" s="187"/>
      <c r="K38" s="187"/>
      <c r="L38" s="187"/>
      <c r="M38" s="187"/>
      <c r="N38" s="187"/>
      <c r="O38" s="188"/>
      <c r="P38" s="186"/>
      <c r="Q38" s="187"/>
      <c r="R38" s="187"/>
      <c r="S38" s="187"/>
      <c r="T38" s="187"/>
      <c r="U38" s="187"/>
      <c r="V38" s="187"/>
      <c r="W38" s="187"/>
      <c r="X38" s="187"/>
      <c r="Y38" s="187"/>
      <c r="Z38" s="188"/>
      <c r="AA38" s="186"/>
      <c r="AB38" s="187"/>
      <c r="AC38" s="187"/>
      <c r="AD38" s="187"/>
      <c r="AE38" s="187"/>
      <c r="AF38" s="187"/>
      <c r="AG38" s="187"/>
      <c r="AH38" s="187"/>
      <c r="AI38" s="187"/>
      <c r="AJ38" s="187"/>
      <c r="AK38" s="188"/>
      <c r="AL38" s="186"/>
      <c r="AM38" s="187"/>
      <c r="AN38" s="187"/>
      <c r="AO38" s="187"/>
      <c r="AP38" s="187"/>
      <c r="AQ38" s="187"/>
      <c r="AR38" s="187"/>
      <c r="AS38" s="187"/>
      <c r="AT38" s="187"/>
      <c r="AU38" s="187"/>
      <c r="AV38" s="188"/>
      <c r="AW38" s="186"/>
      <c r="AX38" s="187"/>
      <c r="AY38" s="187"/>
      <c r="AZ38" s="187"/>
      <c r="BA38" s="187"/>
      <c r="BB38" s="187"/>
      <c r="BC38" s="187"/>
      <c r="BD38" s="187"/>
      <c r="BE38" s="187"/>
      <c r="BF38" s="187"/>
      <c r="BG38" s="188"/>
      <c r="BH38" s="186"/>
      <c r="BI38" s="187"/>
      <c r="BJ38" s="187"/>
      <c r="BK38" s="187"/>
      <c r="BL38" s="187"/>
      <c r="BM38" s="187"/>
      <c r="BN38" s="187"/>
      <c r="BO38" s="187"/>
      <c r="BP38" s="187"/>
      <c r="BQ38" s="187"/>
      <c r="BR38" s="188"/>
      <c r="BS38" s="186"/>
      <c r="BT38" s="187"/>
      <c r="BU38" s="187"/>
      <c r="BV38" s="187"/>
      <c r="BW38" s="187"/>
      <c r="BX38" s="187"/>
      <c r="BY38" s="187"/>
      <c r="BZ38" s="187"/>
      <c r="CA38" s="187"/>
      <c r="CB38" s="187"/>
      <c r="CC38" s="188"/>
      <c r="CD38" s="186"/>
      <c r="CE38" s="187"/>
      <c r="CF38" s="187"/>
      <c r="CG38" s="187"/>
      <c r="CH38" s="187"/>
      <c r="CI38" s="187"/>
      <c r="CJ38" s="187"/>
      <c r="CK38" s="187"/>
      <c r="CL38" s="187"/>
      <c r="CM38" s="187"/>
      <c r="CN38" s="188"/>
      <c r="CO38" s="186"/>
      <c r="CP38" s="187"/>
      <c r="CQ38" s="187"/>
      <c r="CR38" s="187"/>
      <c r="CS38" s="187"/>
      <c r="CT38" s="187"/>
      <c r="CU38" s="187"/>
      <c r="CV38" s="187"/>
      <c r="CW38" s="187"/>
      <c r="CX38" s="187"/>
      <c r="CY38" s="188"/>
      <c r="CZ38" s="186"/>
      <c r="DA38" s="187"/>
      <c r="DB38" s="187"/>
      <c r="DC38" s="187"/>
      <c r="DD38" s="187"/>
      <c r="DE38" s="187"/>
      <c r="DF38" s="187"/>
      <c r="DG38" s="187"/>
      <c r="DH38" s="187"/>
      <c r="DI38" s="187"/>
      <c r="DJ38" s="188"/>
      <c r="DK38" s="186"/>
      <c r="DL38" s="187"/>
      <c r="DM38" s="187"/>
      <c r="DN38" s="187"/>
      <c r="DO38" s="187"/>
      <c r="DP38" s="187"/>
      <c r="DQ38" s="187"/>
      <c r="DR38" s="187"/>
      <c r="DS38" s="187"/>
      <c r="DT38" s="187"/>
      <c r="DU38" s="188"/>
    </row>
    <row r="39" hidden="1">
      <c r="A39" s="187"/>
      <c r="B39" s="64"/>
      <c r="C39" s="64"/>
      <c r="D39" s="64"/>
      <c r="E39" s="186"/>
      <c r="F39" s="187"/>
      <c r="G39" s="187"/>
      <c r="H39" s="187"/>
      <c r="I39" s="187"/>
      <c r="J39" s="187"/>
      <c r="K39" s="187"/>
      <c r="L39" s="187"/>
      <c r="M39" s="187"/>
      <c r="N39" s="187"/>
      <c r="O39" s="188"/>
      <c r="P39" s="186"/>
      <c r="Q39" s="187"/>
      <c r="R39" s="187"/>
      <c r="S39" s="187"/>
      <c r="T39" s="187"/>
      <c r="U39" s="187"/>
      <c r="V39" s="187"/>
      <c r="W39" s="187"/>
      <c r="X39" s="187"/>
      <c r="Y39" s="187"/>
      <c r="Z39" s="188"/>
      <c r="AA39" s="186"/>
      <c r="AB39" s="187"/>
      <c r="AC39" s="187"/>
      <c r="AD39" s="187"/>
      <c r="AE39" s="187"/>
      <c r="AF39" s="187"/>
      <c r="AG39" s="187"/>
      <c r="AH39" s="187"/>
      <c r="AI39" s="187"/>
      <c r="AJ39" s="187"/>
      <c r="AK39" s="188"/>
      <c r="AL39" s="186"/>
      <c r="AM39" s="187"/>
      <c r="AN39" s="187"/>
      <c r="AO39" s="187"/>
      <c r="AP39" s="187"/>
      <c r="AQ39" s="187"/>
      <c r="AR39" s="187"/>
      <c r="AS39" s="187"/>
      <c r="AT39" s="187"/>
      <c r="AU39" s="187"/>
      <c r="AV39" s="188"/>
      <c r="AW39" s="186"/>
      <c r="AX39" s="187"/>
      <c r="AY39" s="187"/>
      <c r="AZ39" s="187"/>
      <c r="BA39" s="187"/>
      <c r="BB39" s="187"/>
      <c r="BC39" s="187"/>
      <c r="BD39" s="187"/>
      <c r="BE39" s="187"/>
      <c r="BF39" s="187"/>
      <c r="BG39" s="188"/>
      <c r="BH39" s="186"/>
      <c r="BI39" s="187"/>
      <c r="BJ39" s="187"/>
      <c r="BK39" s="187"/>
      <c r="BL39" s="187"/>
      <c r="BM39" s="187"/>
      <c r="BN39" s="187"/>
      <c r="BO39" s="187"/>
      <c r="BP39" s="187"/>
      <c r="BQ39" s="187"/>
      <c r="BR39" s="188"/>
      <c r="BS39" s="186"/>
      <c r="BT39" s="187"/>
      <c r="BU39" s="187"/>
      <c r="BV39" s="187"/>
      <c r="BW39" s="187"/>
      <c r="BX39" s="187"/>
      <c r="BY39" s="187"/>
      <c r="BZ39" s="187"/>
      <c r="CA39" s="187"/>
      <c r="CB39" s="187"/>
      <c r="CC39" s="188"/>
      <c r="CD39" s="186"/>
      <c r="CE39" s="187"/>
      <c r="CF39" s="187"/>
      <c r="CG39" s="187"/>
      <c r="CH39" s="187"/>
      <c r="CI39" s="187"/>
      <c r="CJ39" s="187"/>
      <c r="CK39" s="187"/>
      <c r="CL39" s="187"/>
      <c r="CM39" s="187"/>
      <c r="CN39" s="188"/>
      <c r="CO39" s="186"/>
      <c r="CP39" s="187"/>
      <c r="CQ39" s="187"/>
      <c r="CR39" s="187"/>
      <c r="CS39" s="187"/>
      <c r="CT39" s="187"/>
      <c r="CU39" s="187"/>
      <c r="CV39" s="187"/>
      <c r="CW39" s="187"/>
      <c r="CX39" s="187"/>
      <c r="CY39" s="188"/>
      <c r="CZ39" s="186"/>
      <c r="DA39" s="187"/>
      <c r="DB39" s="187"/>
      <c r="DC39" s="187"/>
      <c r="DD39" s="187"/>
      <c r="DE39" s="187"/>
      <c r="DF39" s="187"/>
      <c r="DG39" s="187"/>
      <c r="DH39" s="187"/>
      <c r="DI39" s="187"/>
      <c r="DJ39" s="188"/>
      <c r="DK39" s="186"/>
      <c r="DL39" s="187"/>
      <c r="DM39" s="187"/>
      <c r="DN39" s="187"/>
      <c r="DO39" s="187"/>
      <c r="DP39" s="187"/>
      <c r="DQ39" s="187"/>
      <c r="DR39" s="187"/>
      <c r="DS39" s="187"/>
      <c r="DT39" s="187"/>
      <c r="DU39" s="188"/>
    </row>
    <row r="40" hidden="1">
      <c r="A40" s="187"/>
      <c r="B40" s="64"/>
      <c r="C40" s="64"/>
      <c r="D40" s="64"/>
      <c r="E40" s="186"/>
      <c r="F40" s="187"/>
      <c r="G40" s="187"/>
      <c r="H40" s="187"/>
      <c r="I40" s="187"/>
      <c r="J40" s="187"/>
      <c r="K40" s="187"/>
      <c r="L40" s="187"/>
      <c r="M40" s="187"/>
      <c r="N40" s="187"/>
      <c r="O40" s="188"/>
      <c r="P40" s="186"/>
      <c r="Q40" s="187"/>
      <c r="R40" s="187"/>
      <c r="S40" s="187"/>
      <c r="T40" s="187"/>
      <c r="U40" s="187"/>
      <c r="V40" s="187"/>
      <c r="W40" s="187"/>
      <c r="X40" s="187"/>
      <c r="Y40" s="187"/>
      <c r="Z40" s="188"/>
      <c r="AA40" s="186"/>
      <c r="AB40" s="187"/>
      <c r="AC40" s="187"/>
      <c r="AD40" s="187"/>
      <c r="AE40" s="187"/>
      <c r="AF40" s="187"/>
      <c r="AG40" s="187"/>
      <c r="AH40" s="187"/>
      <c r="AI40" s="187"/>
      <c r="AJ40" s="187"/>
      <c r="AK40" s="188"/>
      <c r="AL40" s="186"/>
      <c r="AM40" s="187"/>
      <c r="AN40" s="187"/>
      <c r="AO40" s="187"/>
      <c r="AP40" s="187"/>
      <c r="AQ40" s="187"/>
      <c r="AR40" s="187"/>
      <c r="AS40" s="187"/>
      <c r="AT40" s="187"/>
      <c r="AU40" s="187"/>
      <c r="AV40" s="188"/>
      <c r="AW40" s="186"/>
      <c r="AX40" s="187"/>
      <c r="AY40" s="187"/>
      <c r="AZ40" s="187"/>
      <c r="BA40" s="187"/>
      <c r="BB40" s="187"/>
      <c r="BC40" s="187"/>
      <c r="BD40" s="187"/>
      <c r="BE40" s="187"/>
      <c r="BF40" s="187"/>
      <c r="BG40" s="188"/>
      <c r="BH40" s="186"/>
      <c r="BI40" s="187"/>
      <c r="BJ40" s="187"/>
      <c r="BK40" s="187"/>
      <c r="BL40" s="187"/>
      <c r="BM40" s="187"/>
      <c r="BN40" s="187"/>
      <c r="BO40" s="187"/>
      <c r="BP40" s="187"/>
      <c r="BQ40" s="187"/>
      <c r="BR40" s="188"/>
      <c r="BS40" s="186"/>
      <c r="BT40" s="187"/>
      <c r="BU40" s="187"/>
      <c r="BV40" s="187"/>
      <c r="BW40" s="187"/>
      <c r="BX40" s="187"/>
      <c r="BY40" s="187"/>
      <c r="BZ40" s="187"/>
      <c r="CA40" s="187"/>
      <c r="CB40" s="187"/>
      <c r="CC40" s="188"/>
      <c r="CD40" s="186"/>
      <c r="CE40" s="187"/>
      <c r="CF40" s="187"/>
      <c r="CG40" s="187"/>
      <c r="CH40" s="187"/>
      <c r="CI40" s="187"/>
      <c r="CJ40" s="187"/>
      <c r="CK40" s="187"/>
      <c r="CL40" s="187"/>
      <c r="CM40" s="187"/>
      <c r="CN40" s="188"/>
      <c r="CO40" s="186"/>
      <c r="CP40" s="187"/>
      <c r="CQ40" s="187"/>
      <c r="CR40" s="187"/>
      <c r="CS40" s="187"/>
      <c r="CT40" s="187"/>
      <c r="CU40" s="187"/>
      <c r="CV40" s="187"/>
      <c r="CW40" s="187"/>
      <c r="CX40" s="187"/>
      <c r="CY40" s="188"/>
      <c r="CZ40" s="186"/>
      <c r="DA40" s="187"/>
      <c r="DB40" s="187"/>
      <c r="DC40" s="187"/>
      <c r="DD40" s="187"/>
      <c r="DE40" s="187"/>
      <c r="DF40" s="187"/>
      <c r="DG40" s="187"/>
      <c r="DH40" s="187"/>
      <c r="DI40" s="187"/>
      <c r="DJ40" s="188"/>
      <c r="DK40" s="186"/>
      <c r="DL40" s="187"/>
      <c r="DM40" s="187"/>
      <c r="DN40" s="187"/>
      <c r="DO40" s="187"/>
      <c r="DP40" s="187"/>
      <c r="DQ40" s="187"/>
      <c r="DR40" s="187"/>
      <c r="DS40" s="187"/>
      <c r="DT40" s="187"/>
      <c r="DU40" s="188"/>
    </row>
    <row r="41" hidden="1">
      <c r="A41" s="187"/>
      <c r="B41" s="64"/>
      <c r="C41" s="64"/>
      <c r="D41" s="64"/>
      <c r="E41" s="186"/>
      <c r="F41" s="187"/>
      <c r="G41" s="187"/>
      <c r="H41" s="187"/>
      <c r="I41" s="187"/>
      <c r="J41" s="187"/>
      <c r="K41" s="187"/>
      <c r="L41" s="187"/>
      <c r="M41" s="187"/>
      <c r="N41" s="187"/>
      <c r="O41" s="188"/>
      <c r="P41" s="186"/>
      <c r="Q41" s="187"/>
      <c r="R41" s="187"/>
      <c r="S41" s="187"/>
      <c r="T41" s="187"/>
      <c r="U41" s="187"/>
      <c r="V41" s="187"/>
      <c r="W41" s="187"/>
      <c r="X41" s="187"/>
      <c r="Y41" s="187"/>
      <c r="Z41" s="188"/>
      <c r="AA41" s="186"/>
      <c r="AB41" s="187"/>
      <c r="AC41" s="187"/>
      <c r="AD41" s="187"/>
      <c r="AE41" s="187"/>
      <c r="AF41" s="187"/>
      <c r="AG41" s="187"/>
      <c r="AH41" s="187"/>
      <c r="AI41" s="187"/>
      <c r="AJ41" s="187"/>
      <c r="AK41" s="188"/>
      <c r="AL41" s="186"/>
      <c r="AM41" s="187"/>
      <c r="AN41" s="187"/>
      <c r="AO41" s="187"/>
      <c r="AP41" s="187"/>
      <c r="AQ41" s="187"/>
      <c r="AR41" s="187"/>
      <c r="AS41" s="187"/>
      <c r="AT41" s="187"/>
      <c r="AU41" s="187"/>
      <c r="AV41" s="188"/>
      <c r="AW41" s="186"/>
      <c r="AX41" s="187"/>
      <c r="AY41" s="187"/>
      <c r="AZ41" s="187"/>
      <c r="BA41" s="187"/>
      <c r="BB41" s="187"/>
      <c r="BC41" s="187"/>
      <c r="BD41" s="187"/>
      <c r="BE41" s="187"/>
      <c r="BF41" s="187"/>
      <c r="BG41" s="188"/>
      <c r="BH41" s="186"/>
      <c r="BI41" s="187"/>
      <c r="BJ41" s="187"/>
      <c r="BK41" s="187"/>
      <c r="BL41" s="187"/>
      <c r="BM41" s="187"/>
      <c r="BN41" s="187"/>
      <c r="BO41" s="187"/>
      <c r="BP41" s="187"/>
      <c r="BQ41" s="187"/>
      <c r="BR41" s="188"/>
      <c r="BS41" s="186"/>
      <c r="BT41" s="187"/>
      <c r="BU41" s="187"/>
      <c r="BV41" s="187"/>
      <c r="BW41" s="187"/>
      <c r="BX41" s="187"/>
      <c r="BY41" s="187"/>
      <c r="BZ41" s="187"/>
      <c r="CA41" s="187"/>
      <c r="CB41" s="187"/>
      <c r="CC41" s="188"/>
      <c r="CD41" s="186"/>
      <c r="CE41" s="187"/>
      <c r="CF41" s="187"/>
      <c r="CG41" s="187"/>
      <c r="CH41" s="187"/>
      <c r="CI41" s="187"/>
      <c r="CJ41" s="187"/>
      <c r="CK41" s="187"/>
      <c r="CL41" s="187"/>
      <c r="CM41" s="187"/>
      <c r="CN41" s="188"/>
      <c r="CO41" s="186"/>
      <c r="CP41" s="187"/>
      <c r="CQ41" s="187"/>
      <c r="CR41" s="187"/>
      <c r="CS41" s="187"/>
      <c r="CT41" s="187"/>
      <c r="CU41" s="187"/>
      <c r="CV41" s="187"/>
      <c r="CW41" s="187"/>
      <c r="CX41" s="187"/>
      <c r="CY41" s="188"/>
      <c r="CZ41" s="186"/>
      <c r="DA41" s="187"/>
      <c r="DB41" s="187"/>
      <c r="DC41" s="187"/>
      <c r="DD41" s="187"/>
      <c r="DE41" s="187"/>
      <c r="DF41" s="187"/>
      <c r="DG41" s="187"/>
      <c r="DH41" s="187"/>
      <c r="DI41" s="187"/>
      <c r="DJ41" s="188"/>
      <c r="DK41" s="186"/>
      <c r="DL41" s="187"/>
      <c r="DM41" s="187"/>
      <c r="DN41" s="187"/>
      <c r="DO41" s="187"/>
      <c r="DP41" s="187"/>
      <c r="DQ41" s="187"/>
      <c r="DR41" s="187"/>
      <c r="DS41" s="187"/>
      <c r="DT41" s="187"/>
      <c r="DU41" s="188"/>
    </row>
    <row r="42" hidden="1">
      <c r="A42" s="187"/>
      <c r="B42" s="64"/>
      <c r="C42" s="64"/>
      <c r="D42" s="64"/>
      <c r="E42" s="186"/>
      <c r="F42" s="187"/>
      <c r="G42" s="187"/>
      <c r="H42" s="187"/>
      <c r="I42" s="187"/>
      <c r="J42" s="187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7"/>
      <c r="V42" s="187"/>
      <c r="W42" s="187"/>
      <c r="X42" s="187"/>
      <c r="Y42" s="187"/>
      <c r="Z42" s="188"/>
      <c r="AA42" s="186"/>
      <c r="AB42" s="187"/>
      <c r="AC42" s="187"/>
      <c r="AD42" s="187"/>
      <c r="AE42" s="187"/>
      <c r="AF42" s="187"/>
      <c r="AG42" s="187"/>
      <c r="AH42" s="187"/>
      <c r="AI42" s="187"/>
      <c r="AJ42" s="187"/>
      <c r="AK42" s="188"/>
      <c r="AL42" s="186"/>
      <c r="AM42" s="187"/>
      <c r="AN42" s="187"/>
      <c r="AO42" s="187"/>
      <c r="AP42" s="187"/>
      <c r="AQ42" s="187"/>
      <c r="AR42" s="187"/>
      <c r="AS42" s="187"/>
      <c r="AT42" s="187"/>
      <c r="AU42" s="187"/>
      <c r="AV42" s="188"/>
      <c r="AW42" s="186"/>
      <c r="AX42" s="187"/>
      <c r="AY42" s="187"/>
      <c r="AZ42" s="187"/>
      <c r="BA42" s="187"/>
      <c r="BB42" s="187"/>
      <c r="BC42" s="187"/>
      <c r="BD42" s="187"/>
      <c r="BE42" s="187"/>
      <c r="BF42" s="187"/>
      <c r="BG42" s="188"/>
      <c r="BH42" s="186"/>
      <c r="BI42" s="187"/>
      <c r="BJ42" s="187"/>
      <c r="BK42" s="187"/>
      <c r="BL42" s="187"/>
      <c r="BM42" s="187"/>
      <c r="BN42" s="187"/>
      <c r="BO42" s="187"/>
      <c r="BP42" s="187"/>
      <c r="BQ42" s="187"/>
      <c r="BR42" s="188"/>
      <c r="BS42" s="186"/>
      <c r="BT42" s="187"/>
      <c r="BU42" s="187"/>
      <c r="BV42" s="187"/>
      <c r="BW42" s="187"/>
      <c r="BX42" s="187"/>
      <c r="BY42" s="187"/>
      <c r="BZ42" s="187"/>
      <c r="CA42" s="187"/>
      <c r="CB42" s="187"/>
      <c r="CC42" s="188"/>
      <c r="CD42" s="186"/>
      <c r="CE42" s="187"/>
      <c r="CF42" s="187"/>
      <c r="CG42" s="187"/>
      <c r="CH42" s="187"/>
      <c r="CI42" s="187"/>
      <c r="CJ42" s="187"/>
      <c r="CK42" s="187"/>
      <c r="CL42" s="187"/>
      <c r="CM42" s="187"/>
      <c r="CN42" s="188"/>
      <c r="CO42" s="186"/>
      <c r="CP42" s="187"/>
      <c r="CQ42" s="187"/>
      <c r="CR42" s="187"/>
      <c r="CS42" s="187"/>
      <c r="CT42" s="187"/>
      <c r="CU42" s="187"/>
      <c r="CV42" s="187"/>
      <c r="CW42" s="187"/>
      <c r="CX42" s="187"/>
      <c r="CY42" s="188"/>
      <c r="CZ42" s="186"/>
      <c r="DA42" s="187"/>
      <c r="DB42" s="187"/>
      <c r="DC42" s="187"/>
      <c r="DD42" s="187"/>
      <c r="DE42" s="187"/>
      <c r="DF42" s="187"/>
      <c r="DG42" s="187"/>
      <c r="DH42" s="187"/>
      <c r="DI42" s="187"/>
      <c r="DJ42" s="188"/>
      <c r="DK42" s="186"/>
      <c r="DL42" s="187"/>
      <c r="DM42" s="187"/>
      <c r="DN42" s="187"/>
      <c r="DO42" s="187"/>
      <c r="DP42" s="187"/>
      <c r="DQ42" s="187"/>
      <c r="DR42" s="187"/>
      <c r="DS42" s="187"/>
      <c r="DT42" s="187"/>
      <c r="DU42" s="188"/>
    </row>
    <row r="43" hidden="1">
      <c r="A43" s="187"/>
      <c r="B43" s="64"/>
      <c r="C43" s="64"/>
      <c r="D43" s="64"/>
      <c r="E43" s="186"/>
      <c r="F43" s="187"/>
      <c r="G43" s="187"/>
      <c r="H43" s="187"/>
      <c r="I43" s="187"/>
      <c r="J43" s="187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7"/>
      <c r="V43" s="187"/>
      <c r="W43" s="187"/>
      <c r="X43" s="187"/>
      <c r="Y43" s="187"/>
      <c r="Z43" s="188"/>
      <c r="AA43" s="186"/>
      <c r="AB43" s="187"/>
      <c r="AC43" s="187"/>
      <c r="AD43" s="187"/>
      <c r="AE43" s="187"/>
      <c r="AF43" s="187"/>
      <c r="AG43" s="187"/>
      <c r="AH43" s="187"/>
      <c r="AI43" s="187"/>
      <c r="AJ43" s="187"/>
      <c r="AK43" s="188"/>
      <c r="AL43" s="186"/>
      <c r="AM43" s="187"/>
      <c r="AN43" s="187"/>
      <c r="AO43" s="187"/>
      <c r="AP43" s="187"/>
      <c r="AQ43" s="187"/>
      <c r="AR43" s="187"/>
      <c r="AS43" s="187"/>
      <c r="AT43" s="187"/>
      <c r="AU43" s="187"/>
      <c r="AV43" s="188"/>
      <c r="AW43" s="186"/>
      <c r="AX43" s="187"/>
      <c r="AY43" s="187"/>
      <c r="AZ43" s="187"/>
      <c r="BA43" s="187"/>
      <c r="BB43" s="187"/>
      <c r="BC43" s="187"/>
      <c r="BD43" s="187"/>
      <c r="BE43" s="187"/>
      <c r="BF43" s="187"/>
      <c r="BG43" s="188"/>
      <c r="BH43" s="186"/>
      <c r="BI43" s="187"/>
      <c r="BJ43" s="187"/>
      <c r="BK43" s="187"/>
      <c r="BL43" s="187"/>
      <c r="BM43" s="187"/>
      <c r="BN43" s="187"/>
      <c r="BO43" s="187"/>
      <c r="BP43" s="187"/>
      <c r="BQ43" s="187"/>
      <c r="BR43" s="188"/>
      <c r="BS43" s="186"/>
      <c r="BT43" s="187"/>
      <c r="BU43" s="187"/>
      <c r="BV43" s="187"/>
      <c r="BW43" s="187"/>
      <c r="BX43" s="187"/>
      <c r="BY43" s="187"/>
      <c r="BZ43" s="187"/>
      <c r="CA43" s="187"/>
      <c r="CB43" s="187"/>
      <c r="CC43" s="188"/>
      <c r="CD43" s="186"/>
      <c r="CE43" s="187"/>
      <c r="CF43" s="187"/>
      <c r="CG43" s="187"/>
      <c r="CH43" s="187"/>
      <c r="CI43" s="187"/>
      <c r="CJ43" s="187"/>
      <c r="CK43" s="187"/>
      <c r="CL43" s="187"/>
      <c r="CM43" s="187"/>
      <c r="CN43" s="188"/>
      <c r="CO43" s="186"/>
      <c r="CP43" s="187"/>
      <c r="CQ43" s="187"/>
      <c r="CR43" s="187"/>
      <c r="CS43" s="187"/>
      <c r="CT43" s="187"/>
      <c r="CU43" s="187"/>
      <c r="CV43" s="187"/>
      <c r="CW43" s="187"/>
      <c r="CX43" s="187"/>
      <c r="CY43" s="188"/>
      <c r="CZ43" s="186"/>
      <c r="DA43" s="187"/>
      <c r="DB43" s="187"/>
      <c r="DC43" s="187"/>
      <c r="DD43" s="187"/>
      <c r="DE43" s="187"/>
      <c r="DF43" s="187"/>
      <c r="DG43" s="187"/>
      <c r="DH43" s="187"/>
      <c r="DI43" s="187"/>
      <c r="DJ43" s="188"/>
      <c r="DK43" s="186"/>
      <c r="DL43" s="187"/>
      <c r="DM43" s="187"/>
      <c r="DN43" s="187"/>
      <c r="DO43" s="187"/>
      <c r="DP43" s="187"/>
      <c r="DQ43" s="187"/>
      <c r="DR43" s="187"/>
      <c r="DS43" s="187"/>
      <c r="DT43" s="187"/>
      <c r="DU43" s="188"/>
    </row>
    <row r="44" hidden="1">
      <c r="A44" s="187"/>
      <c r="B44" s="64"/>
      <c r="C44" s="64"/>
      <c r="D44" s="64"/>
      <c r="E44" s="186"/>
      <c r="F44" s="187"/>
      <c r="G44" s="187"/>
      <c r="H44" s="187"/>
      <c r="I44" s="187"/>
      <c r="J44" s="187"/>
      <c r="K44" s="187"/>
      <c r="L44" s="187"/>
      <c r="M44" s="187"/>
      <c r="N44" s="187"/>
      <c r="O44" s="188"/>
      <c r="P44" s="186"/>
      <c r="Q44" s="187"/>
      <c r="R44" s="187"/>
      <c r="S44" s="187"/>
      <c r="T44" s="187"/>
      <c r="U44" s="187"/>
      <c r="V44" s="187"/>
      <c r="W44" s="187"/>
      <c r="X44" s="187"/>
      <c r="Y44" s="187"/>
      <c r="Z44" s="188"/>
      <c r="AA44" s="186"/>
      <c r="AB44" s="187"/>
      <c r="AC44" s="187"/>
      <c r="AD44" s="187"/>
      <c r="AE44" s="187"/>
      <c r="AF44" s="187"/>
      <c r="AG44" s="187"/>
      <c r="AH44" s="187"/>
      <c r="AI44" s="187"/>
      <c r="AJ44" s="187"/>
      <c r="AK44" s="188"/>
      <c r="AL44" s="186"/>
      <c r="AM44" s="187"/>
      <c r="AN44" s="187"/>
      <c r="AO44" s="187"/>
      <c r="AP44" s="187"/>
      <c r="AQ44" s="187"/>
      <c r="AR44" s="187"/>
      <c r="AS44" s="187"/>
      <c r="AT44" s="187"/>
      <c r="AU44" s="187"/>
      <c r="AV44" s="188"/>
      <c r="AW44" s="186"/>
      <c r="AX44" s="187"/>
      <c r="AY44" s="187"/>
      <c r="AZ44" s="187"/>
      <c r="BA44" s="187"/>
      <c r="BB44" s="187"/>
      <c r="BC44" s="187"/>
      <c r="BD44" s="187"/>
      <c r="BE44" s="187"/>
      <c r="BF44" s="187"/>
      <c r="BG44" s="188"/>
      <c r="BH44" s="186"/>
      <c r="BI44" s="187"/>
      <c r="BJ44" s="187"/>
      <c r="BK44" s="187"/>
      <c r="BL44" s="187"/>
      <c r="BM44" s="187"/>
      <c r="BN44" s="187"/>
      <c r="BO44" s="187"/>
      <c r="BP44" s="187"/>
      <c r="BQ44" s="187"/>
      <c r="BR44" s="188"/>
      <c r="BS44" s="186"/>
      <c r="BT44" s="187"/>
      <c r="BU44" s="187"/>
      <c r="BV44" s="187"/>
      <c r="BW44" s="187"/>
      <c r="BX44" s="187"/>
      <c r="BY44" s="187"/>
      <c r="BZ44" s="187"/>
      <c r="CA44" s="187"/>
      <c r="CB44" s="187"/>
      <c r="CC44" s="188"/>
      <c r="CD44" s="186"/>
      <c r="CE44" s="187"/>
      <c r="CF44" s="187"/>
      <c r="CG44" s="187"/>
      <c r="CH44" s="187"/>
      <c r="CI44" s="187"/>
      <c r="CJ44" s="187"/>
      <c r="CK44" s="187"/>
      <c r="CL44" s="187"/>
      <c r="CM44" s="187"/>
      <c r="CN44" s="188"/>
      <c r="CO44" s="186"/>
      <c r="CP44" s="187"/>
      <c r="CQ44" s="187"/>
      <c r="CR44" s="187"/>
      <c r="CS44" s="187"/>
      <c r="CT44" s="187"/>
      <c r="CU44" s="187"/>
      <c r="CV44" s="187"/>
      <c r="CW44" s="187"/>
      <c r="CX44" s="187"/>
      <c r="CY44" s="188"/>
      <c r="CZ44" s="186"/>
      <c r="DA44" s="187"/>
      <c r="DB44" s="187"/>
      <c r="DC44" s="187"/>
      <c r="DD44" s="187"/>
      <c r="DE44" s="187"/>
      <c r="DF44" s="187"/>
      <c r="DG44" s="187"/>
      <c r="DH44" s="187"/>
      <c r="DI44" s="187"/>
      <c r="DJ44" s="188"/>
      <c r="DK44" s="186"/>
      <c r="DL44" s="187"/>
      <c r="DM44" s="187"/>
      <c r="DN44" s="187"/>
      <c r="DO44" s="187"/>
      <c r="DP44" s="187"/>
      <c r="DQ44" s="187"/>
      <c r="DR44" s="187"/>
      <c r="DS44" s="187"/>
      <c r="DT44" s="187"/>
      <c r="DU44" s="188"/>
    </row>
    <row r="45" hidden="1">
      <c r="A45" s="187"/>
      <c r="B45" s="64"/>
      <c r="C45" s="64"/>
      <c r="D45" s="64"/>
      <c r="E45" s="186"/>
      <c r="F45" s="187"/>
      <c r="G45" s="187"/>
      <c r="H45" s="187"/>
      <c r="I45" s="187"/>
      <c r="J45" s="187"/>
      <c r="K45" s="187"/>
      <c r="L45" s="187"/>
      <c r="M45" s="187"/>
      <c r="N45" s="187"/>
      <c r="O45" s="188"/>
      <c r="P45" s="186"/>
      <c r="Q45" s="187"/>
      <c r="R45" s="187"/>
      <c r="S45" s="187"/>
      <c r="T45" s="187"/>
      <c r="U45" s="187"/>
      <c r="V45" s="187"/>
      <c r="W45" s="187"/>
      <c r="X45" s="187"/>
      <c r="Y45" s="187"/>
      <c r="Z45" s="188"/>
      <c r="AA45" s="186"/>
      <c r="AB45" s="187"/>
      <c r="AC45" s="187"/>
      <c r="AD45" s="187"/>
      <c r="AE45" s="187"/>
      <c r="AF45" s="187"/>
      <c r="AG45" s="187"/>
      <c r="AH45" s="187"/>
      <c r="AI45" s="187"/>
      <c r="AJ45" s="187"/>
      <c r="AK45" s="188"/>
      <c r="AL45" s="186"/>
      <c r="AM45" s="187"/>
      <c r="AN45" s="187"/>
      <c r="AO45" s="187"/>
      <c r="AP45" s="187"/>
      <c r="AQ45" s="187"/>
      <c r="AR45" s="187"/>
      <c r="AS45" s="187"/>
      <c r="AT45" s="187"/>
      <c r="AU45" s="187"/>
      <c r="AV45" s="188"/>
      <c r="AW45" s="186"/>
      <c r="AX45" s="187"/>
      <c r="AY45" s="187"/>
      <c r="AZ45" s="187"/>
      <c r="BA45" s="187"/>
      <c r="BB45" s="187"/>
      <c r="BC45" s="187"/>
      <c r="BD45" s="187"/>
      <c r="BE45" s="187"/>
      <c r="BF45" s="187"/>
      <c r="BG45" s="188"/>
      <c r="BH45" s="186"/>
      <c r="BI45" s="187"/>
      <c r="BJ45" s="187"/>
      <c r="BK45" s="187"/>
      <c r="BL45" s="187"/>
      <c r="BM45" s="187"/>
      <c r="BN45" s="187"/>
      <c r="BO45" s="187"/>
      <c r="BP45" s="187"/>
      <c r="BQ45" s="187"/>
      <c r="BR45" s="188"/>
      <c r="BS45" s="186"/>
      <c r="BT45" s="187"/>
      <c r="BU45" s="187"/>
      <c r="BV45" s="187"/>
      <c r="BW45" s="187"/>
      <c r="BX45" s="187"/>
      <c r="BY45" s="187"/>
      <c r="BZ45" s="187"/>
      <c r="CA45" s="187"/>
      <c r="CB45" s="187"/>
      <c r="CC45" s="188"/>
      <c r="CD45" s="186"/>
      <c r="CE45" s="187"/>
      <c r="CF45" s="187"/>
      <c r="CG45" s="187"/>
      <c r="CH45" s="187"/>
      <c r="CI45" s="187"/>
      <c r="CJ45" s="187"/>
      <c r="CK45" s="187"/>
      <c r="CL45" s="187"/>
      <c r="CM45" s="187"/>
      <c r="CN45" s="188"/>
      <c r="CO45" s="186"/>
      <c r="CP45" s="187"/>
      <c r="CQ45" s="187"/>
      <c r="CR45" s="187"/>
      <c r="CS45" s="187"/>
      <c r="CT45" s="187"/>
      <c r="CU45" s="187"/>
      <c r="CV45" s="187"/>
      <c r="CW45" s="187"/>
      <c r="CX45" s="187"/>
      <c r="CY45" s="188"/>
      <c r="CZ45" s="186"/>
      <c r="DA45" s="187"/>
      <c r="DB45" s="187"/>
      <c r="DC45" s="187"/>
      <c r="DD45" s="187"/>
      <c r="DE45" s="187"/>
      <c r="DF45" s="187"/>
      <c r="DG45" s="187"/>
      <c r="DH45" s="187"/>
      <c r="DI45" s="187"/>
      <c r="DJ45" s="188"/>
      <c r="DK45" s="186"/>
      <c r="DL45" s="187"/>
      <c r="DM45" s="187"/>
      <c r="DN45" s="187"/>
      <c r="DO45" s="187"/>
      <c r="DP45" s="187"/>
      <c r="DQ45" s="187"/>
      <c r="DR45" s="187"/>
      <c r="DS45" s="187"/>
      <c r="DT45" s="187"/>
      <c r="DU45" s="188"/>
    </row>
    <row r="46" hidden="1">
      <c r="A46" s="187"/>
      <c r="B46" s="64"/>
      <c r="C46" s="64"/>
      <c r="D46" s="64"/>
      <c r="E46" s="186"/>
      <c r="F46" s="187"/>
      <c r="G46" s="187"/>
      <c r="H46" s="187"/>
      <c r="I46" s="187"/>
      <c r="J46" s="187"/>
      <c r="K46" s="187"/>
      <c r="L46" s="187"/>
      <c r="M46" s="187"/>
      <c r="N46" s="187"/>
      <c r="O46" s="188"/>
      <c r="P46" s="186"/>
      <c r="Q46" s="187"/>
      <c r="R46" s="187"/>
      <c r="S46" s="187"/>
      <c r="T46" s="187"/>
      <c r="U46" s="187"/>
      <c r="V46" s="187"/>
      <c r="W46" s="187"/>
      <c r="X46" s="187"/>
      <c r="Y46" s="187"/>
      <c r="Z46" s="188"/>
      <c r="AA46" s="186"/>
      <c r="AB46" s="187"/>
      <c r="AC46" s="187"/>
      <c r="AD46" s="187"/>
      <c r="AE46" s="187"/>
      <c r="AF46" s="187"/>
      <c r="AG46" s="187"/>
      <c r="AH46" s="187"/>
      <c r="AI46" s="187"/>
      <c r="AJ46" s="187"/>
      <c r="AK46" s="188"/>
      <c r="AL46" s="186"/>
      <c r="AM46" s="187"/>
      <c r="AN46" s="187"/>
      <c r="AO46" s="187"/>
      <c r="AP46" s="187"/>
      <c r="AQ46" s="187"/>
      <c r="AR46" s="187"/>
      <c r="AS46" s="187"/>
      <c r="AT46" s="187"/>
      <c r="AU46" s="187"/>
      <c r="AV46" s="188"/>
      <c r="AW46" s="186"/>
      <c r="AX46" s="187"/>
      <c r="AY46" s="187"/>
      <c r="AZ46" s="187"/>
      <c r="BA46" s="187"/>
      <c r="BB46" s="187"/>
      <c r="BC46" s="187"/>
      <c r="BD46" s="187"/>
      <c r="BE46" s="187"/>
      <c r="BF46" s="187"/>
      <c r="BG46" s="188"/>
      <c r="BH46" s="186"/>
      <c r="BI46" s="187"/>
      <c r="BJ46" s="187"/>
      <c r="BK46" s="187"/>
      <c r="BL46" s="187"/>
      <c r="BM46" s="187"/>
      <c r="BN46" s="187"/>
      <c r="BO46" s="187"/>
      <c r="BP46" s="187"/>
      <c r="BQ46" s="187"/>
      <c r="BR46" s="188"/>
      <c r="BS46" s="186"/>
      <c r="BT46" s="187"/>
      <c r="BU46" s="187"/>
      <c r="BV46" s="187"/>
      <c r="BW46" s="187"/>
      <c r="BX46" s="187"/>
      <c r="BY46" s="187"/>
      <c r="BZ46" s="187"/>
      <c r="CA46" s="187"/>
      <c r="CB46" s="187"/>
      <c r="CC46" s="188"/>
      <c r="CD46" s="186"/>
      <c r="CE46" s="187"/>
      <c r="CF46" s="187"/>
      <c r="CG46" s="187"/>
      <c r="CH46" s="187"/>
      <c r="CI46" s="187"/>
      <c r="CJ46" s="187"/>
      <c r="CK46" s="187"/>
      <c r="CL46" s="187"/>
      <c r="CM46" s="187"/>
      <c r="CN46" s="188"/>
      <c r="CO46" s="186"/>
      <c r="CP46" s="187"/>
      <c r="CQ46" s="187"/>
      <c r="CR46" s="187"/>
      <c r="CS46" s="187"/>
      <c r="CT46" s="187"/>
      <c r="CU46" s="187"/>
      <c r="CV46" s="187"/>
      <c r="CW46" s="187"/>
      <c r="CX46" s="187"/>
      <c r="CY46" s="188"/>
      <c r="CZ46" s="186"/>
      <c r="DA46" s="187"/>
      <c r="DB46" s="187"/>
      <c r="DC46" s="187"/>
      <c r="DD46" s="187"/>
      <c r="DE46" s="187"/>
      <c r="DF46" s="187"/>
      <c r="DG46" s="187"/>
      <c r="DH46" s="187"/>
      <c r="DI46" s="187"/>
      <c r="DJ46" s="188"/>
      <c r="DK46" s="186"/>
      <c r="DL46" s="187"/>
      <c r="DM46" s="187"/>
      <c r="DN46" s="187"/>
      <c r="DO46" s="187"/>
      <c r="DP46" s="187"/>
      <c r="DQ46" s="187"/>
      <c r="DR46" s="187"/>
      <c r="DS46" s="187"/>
      <c r="DT46" s="187"/>
      <c r="DU46" s="188"/>
    </row>
    <row r="47" hidden="1">
      <c r="A47" s="187"/>
      <c r="B47" s="64"/>
      <c r="C47" s="64"/>
      <c r="D47" s="64"/>
      <c r="E47" s="186"/>
      <c r="F47" s="187"/>
      <c r="G47" s="187"/>
      <c r="H47" s="187"/>
      <c r="I47" s="187"/>
      <c r="J47" s="187"/>
      <c r="K47" s="187"/>
      <c r="L47" s="187"/>
      <c r="M47" s="187"/>
      <c r="N47" s="187"/>
      <c r="O47" s="188"/>
      <c r="P47" s="186"/>
      <c r="Q47" s="187"/>
      <c r="R47" s="187"/>
      <c r="S47" s="187"/>
      <c r="T47" s="187"/>
      <c r="U47" s="187"/>
      <c r="V47" s="187"/>
      <c r="W47" s="187"/>
      <c r="X47" s="187"/>
      <c r="Y47" s="187"/>
      <c r="Z47" s="188"/>
      <c r="AA47" s="186"/>
      <c r="AB47" s="187"/>
      <c r="AC47" s="187"/>
      <c r="AD47" s="187"/>
      <c r="AE47" s="187"/>
      <c r="AF47" s="187"/>
      <c r="AG47" s="187"/>
      <c r="AH47" s="187"/>
      <c r="AI47" s="187"/>
      <c r="AJ47" s="187"/>
      <c r="AK47" s="188"/>
      <c r="AL47" s="186"/>
      <c r="AM47" s="187"/>
      <c r="AN47" s="187"/>
      <c r="AO47" s="187"/>
      <c r="AP47" s="187"/>
      <c r="AQ47" s="187"/>
      <c r="AR47" s="187"/>
      <c r="AS47" s="187"/>
      <c r="AT47" s="187"/>
      <c r="AU47" s="187"/>
      <c r="AV47" s="188"/>
      <c r="AW47" s="186"/>
      <c r="AX47" s="187"/>
      <c r="AY47" s="187"/>
      <c r="AZ47" s="187"/>
      <c r="BA47" s="187"/>
      <c r="BB47" s="187"/>
      <c r="BC47" s="187"/>
      <c r="BD47" s="187"/>
      <c r="BE47" s="187"/>
      <c r="BF47" s="187"/>
      <c r="BG47" s="188"/>
      <c r="BH47" s="186"/>
      <c r="BI47" s="187"/>
      <c r="BJ47" s="187"/>
      <c r="BK47" s="187"/>
      <c r="BL47" s="187"/>
      <c r="BM47" s="187"/>
      <c r="BN47" s="187"/>
      <c r="BO47" s="187"/>
      <c r="BP47" s="187"/>
      <c r="BQ47" s="187"/>
      <c r="BR47" s="188"/>
      <c r="BS47" s="186"/>
      <c r="BT47" s="187"/>
      <c r="BU47" s="187"/>
      <c r="BV47" s="187"/>
      <c r="BW47" s="187"/>
      <c r="BX47" s="187"/>
      <c r="BY47" s="187"/>
      <c r="BZ47" s="187"/>
      <c r="CA47" s="187"/>
      <c r="CB47" s="187"/>
      <c r="CC47" s="188"/>
      <c r="CD47" s="186"/>
      <c r="CE47" s="187"/>
      <c r="CF47" s="187"/>
      <c r="CG47" s="187"/>
      <c r="CH47" s="187"/>
      <c r="CI47" s="187"/>
      <c r="CJ47" s="187"/>
      <c r="CK47" s="187"/>
      <c r="CL47" s="187"/>
      <c r="CM47" s="187"/>
      <c r="CN47" s="188"/>
      <c r="CO47" s="186"/>
      <c r="CP47" s="187"/>
      <c r="CQ47" s="187"/>
      <c r="CR47" s="187"/>
      <c r="CS47" s="187"/>
      <c r="CT47" s="187"/>
      <c r="CU47" s="187"/>
      <c r="CV47" s="187"/>
      <c r="CW47" s="187"/>
      <c r="CX47" s="187"/>
      <c r="CY47" s="188"/>
      <c r="CZ47" s="186"/>
      <c r="DA47" s="187"/>
      <c r="DB47" s="187"/>
      <c r="DC47" s="187"/>
      <c r="DD47" s="187"/>
      <c r="DE47" s="187"/>
      <c r="DF47" s="187"/>
      <c r="DG47" s="187"/>
      <c r="DH47" s="187"/>
      <c r="DI47" s="187"/>
      <c r="DJ47" s="188"/>
      <c r="DK47" s="186"/>
      <c r="DL47" s="187"/>
      <c r="DM47" s="187"/>
      <c r="DN47" s="187"/>
      <c r="DO47" s="187"/>
      <c r="DP47" s="187"/>
      <c r="DQ47" s="187"/>
      <c r="DR47" s="187"/>
      <c r="DS47" s="187"/>
      <c r="DT47" s="187"/>
      <c r="DU47" s="188"/>
    </row>
    <row r="48" hidden="1">
      <c r="A48" s="187"/>
      <c r="B48" s="64"/>
      <c r="C48" s="64"/>
      <c r="D48" s="64"/>
      <c r="E48" s="186"/>
      <c r="F48" s="187"/>
      <c r="G48" s="187"/>
      <c r="H48" s="187"/>
      <c r="I48" s="187"/>
      <c r="J48" s="187"/>
      <c r="K48" s="187"/>
      <c r="L48" s="187"/>
      <c r="M48" s="187"/>
      <c r="N48" s="187"/>
      <c r="O48" s="188"/>
      <c r="P48" s="186"/>
      <c r="Q48" s="187"/>
      <c r="R48" s="187"/>
      <c r="S48" s="187"/>
      <c r="T48" s="187"/>
      <c r="U48" s="187"/>
      <c r="V48" s="187"/>
      <c r="W48" s="187"/>
      <c r="X48" s="187"/>
      <c r="Y48" s="187"/>
      <c r="Z48" s="188"/>
      <c r="AA48" s="186"/>
      <c r="AB48" s="187"/>
      <c r="AC48" s="187"/>
      <c r="AD48" s="187"/>
      <c r="AE48" s="187"/>
      <c r="AF48" s="187"/>
      <c r="AG48" s="187"/>
      <c r="AH48" s="187"/>
      <c r="AI48" s="187"/>
      <c r="AJ48" s="187"/>
      <c r="AK48" s="188"/>
      <c r="AL48" s="186"/>
      <c r="AM48" s="187"/>
      <c r="AN48" s="187"/>
      <c r="AO48" s="187"/>
      <c r="AP48" s="187"/>
      <c r="AQ48" s="187"/>
      <c r="AR48" s="187"/>
      <c r="AS48" s="187"/>
      <c r="AT48" s="187"/>
      <c r="AU48" s="187"/>
      <c r="AV48" s="188"/>
      <c r="AW48" s="186"/>
      <c r="AX48" s="187"/>
      <c r="AY48" s="187"/>
      <c r="AZ48" s="187"/>
      <c r="BA48" s="187"/>
      <c r="BB48" s="187"/>
      <c r="BC48" s="187"/>
      <c r="BD48" s="187"/>
      <c r="BE48" s="187"/>
      <c r="BF48" s="187"/>
      <c r="BG48" s="188"/>
      <c r="BH48" s="186"/>
      <c r="BI48" s="187"/>
      <c r="BJ48" s="187"/>
      <c r="BK48" s="187"/>
      <c r="BL48" s="187"/>
      <c r="BM48" s="187"/>
      <c r="BN48" s="187"/>
      <c r="BO48" s="187"/>
      <c r="BP48" s="187"/>
      <c r="BQ48" s="187"/>
      <c r="BR48" s="188"/>
      <c r="BS48" s="186"/>
      <c r="BT48" s="187"/>
      <c r="BU48" s="187"/>
      <c r="BV48" s="187"/>
      <c r="BW48" s="187"/>
      <c r="BX48" s="187"/>
      <c r="BY48" s="187"/>
      <c r="BZ48" s="187"/>
      <c r="CA48" s="187"/>
      <c r="CB48" s="187"/>
      <c r="CC48" s="188"/>
      <c r="CD48" s="186"/>
      <c r="CE48" s="187"/>
      <c r="CF48" s="187"/>
      <c r="CG48" s="187"/>
      <c r="CH48" s="187"/>
      <c r="CI48" s="187"/>
      <c r="CJ48" s="187"/>
      <c r="CK48" s="187"/>
      <c r="CL48" s="187"/>
      <c r="CM48" s="187"/>
      <c r="CN48" s="188"/>
      <c r="CO48" s="186"/>
      <c r="CP48" s="187"/>
      <c r="CQ48" s="187"/>
      <c r="CR48" s="187"/>
      <c r="CS48" s="187"/>
      <c r="CT48" s="187"/>
      <c r="CU48" s="187"/>
      <c r="CV48" s="187"/>
      <c r="CW48" s="187"/>
      <c r="CX48" s="187"/>
      <c r="CY48" s="188"/>
      <c r="CZ48" s="186"/>
      <c r="DA48" s="187"/>
      <c r="DB48" s="187"/>
      <c r="DC48" s="187"/>
      <c r="DD48" s="187"/>
      <c r="DE48" s="187"/>
      <c r="DF48" s="187"/>
      <c r="DG48" s="187"/>
      <c r="DH48" s="187"/>
      <c r="DI48" s="187"/>
      <c r="DJ48" s="188"/>
      <c r="DK48" s="186"/>
      <c r="DL48" s="187"/>
      <c r="DM48" s="187"/>
      <c r="DN48" s="187"/>
      <c r="DO48" s="187"/>
      <c r="DP48" s="187"/>
      <c r="DQ48" s="187"/>
      <c r="DR48" s="187"/>
      <c r="DS48" s="187"/>
      <c r="DT48" s="187"/>
      <c r="DU48" s="188"/>
    </row>
    <row r="49" hidden="1">
      <c r="A49" s="187"/>
      <c r="B49" s="64"/>
      <c r="C49" s="64"/>
      <c r="D49" s="64"/>
      <c r="E49" s="186"/>
      <c r="F49" s="187"/>
      <c r="G49" s="187"/>
      <c r="H49" s="187"/>
      <c r="I49" s="187"/>
      <c r="J49" s="187"/>
      <c r="K49" s="187"/>
      <c r="L49" s="187"/>
      <c r="M49" s="187"/>
      <c r="N49" s="187"/>
      <c r="O49" s="188"/>
      <c r="P49" s="186"/>
      <c r="Q49" s="187"/>
      <c r="R49" s="187"/>
      <c r="S49" s="187"/>
      <c r="T49" s="187"/>
      <c r="U49" s="187"/>
      <c r="V49" s="187"/>
      <c r="W49" s="187"/>
      <c r="X49" s="187"/>
      <c r="Y49" s="187"/>
      <c r="Z49" s="188"/>
      <c r="AA49" s="186"/>
      <c r="AB49" s="187"/>
      <c r="AC49" s="187"/>
      <c r="AD49" s="187"/>
      <c r="AE49" s="187"/>
      <c r="AF49" s="187"/>
      <c r="AG49" s="187"/>
      <c r="AH49" s="187"/>
      <c r="AI49" s="187"/>
      <c r="AJ49" s="187"/>
      <c r="AK49" s="188"/>
      <c r="AL49" s="186"/>
      <c r="AM49" s="187"/>
      <c r="AN49" s="187"/>
      <c r="AO49" s="187"/>
      <c r="AP49" s="187"/>
      <c r="AQ49" s="187"/>
      <c r="AR49" s="187"/>
      <c r="AS49" s="187"/>
      <c r="AT49" s="187"/>
      <c r="AU49" s="187"/>
      <c r="AV49" s="188"/>
      <c r="AW49" s="186"/>
      <c r="AX49" s="187"/>
      <c r="AY49" s="187"/>
      <c r="AZ49" s="187"/>
      <c r="BA49" s="187"/>
      <c r="BB49" s="187"/>
      <c r="BC49" s="187"/>
      <c r="BD49" s="187"/>
      <c r="BE49" s="187"/>
      <c r="BF49" s="187"/>
      <c r="BG49" s="188"/>
      <c r="BH49" s="186"/>
      <c r="BI49" s="187"/>
      <c r="BJ49" s="187"/>
      <c r="BK49" s="187"/>
      <c r="BL49" s="187"/>
      <c r="BM49" s="187"/>
      <c r="BN49" s="187"/>
      <c r="BO49" s="187"/>
      <c r="BP49" s="187"/>
      <c r="BQ49" s="187"/>
      <c r="BR49" s="188"/>
      <c r="BS49" s="186"/>
      <c r="BT49" s="187"/>
      <c r="BU49" s="187"/>
      <c r="BV49" s="187"/>
      <c r="BW49" s="187"/>
      <c r="BX49" s="187"/>
      <c r="BY49" s="187"/>
      <c r="BZ49" s="187"/>
      <c r="CA49" s="187"/>
      <c r="CB49" s="187"/>
      <c r="CC49" s="188"/>
      <c r="CD49" s="186"/>
      <c r="CE49" s="187"/>
      <c r="CF49" s="187"/>
      <c r="CG49" s="187"/>
      <c r="CH49" s="187"/>
      <c r="CI49" s="187"/>
      <c r="CJ49" s="187"/>
      <c r="CK49" s="187"/>
      <c r="CL49" s="187"/>
      <c r="CM49" s="187"/>
      <c r="CN49" s="188"/>
      <c r="CO49" s="186"/>
      <c r="CP49" s="187"/>
      <c r="CQ49" s="187"/>
      <c r="CR49" s="187"/>
      <c r="CS49" s="187"/>
      <c r="CT49" s="187"/>
      <c r="CU49" s="187"/>
      <c r="CV49" s="187"/>
      <c r="CW49" s="187"/>
      <c r="CX49" s="187"/>
      <c r="CY49" s="188"/>
      <c r="CZ49" s="186"/>
      <c r="DA49" s="187"/>
      <c r="DB49" s="187"/>
      <c r="DC49" s="187"/>
      <c r="DD49" s="187"/>
      <c r="DE49" s="187"/>
      <c r="DF49" s="187"/>
      <c r="DG49" s="187"/>
      <c r="DH49" s="187"/>
      <c r="DI49" s="187"/>
      <c r="DJ49" s="188"/>
      <c r="DK49" s="186"/>
      <c r="DL49" s="187"/>
      <c r="DM49" s="187"/>
      <c r="DN49" s="187"/>
      <c r="DO49" s="187"/>
      <c r="DP49" s="187"/>
      <c r="DQ49" s="187"/>
      <c r="DR49" s="187"/>
      <c r="DS49" s="187"/>
      <c r="DT49" s="187"/>
      <c r="DU49" s="188"/>
    </row>
    <row r="50" hidden="1">
      <c r="A50" s="187"/>
      <c r="B50" s="64"/>
      <c r="C50" s="64"/>
      <c r="D50" s="64"/>
      <c r="E50" s="186"/>
      <c r="F50" s="187"/>
      <c r="G50" s="187"/>
      <c r="H50" s="187"/>
      <c r="I50" s="187"/>
      <c r="J50" s="187"/>
      <c r="K50" s="187"/>
      <c r="L50" s="187"/>
      <c r="M50" s="187"/>
      <c r="N50" s="187"/>
      <c r="O50" s="188"/>
      <c r="P50" s="186"/>
      <c r="Q50" s="187"/>
      <c r="R50" s="187"/>
      <c r="S50" s="187"/>
      <c r="T50" s="187"/>
      <c r="U50" s="187"/>
      <c r="V50" s="187"/>
      <c r="W50" s="187"/>
      <c r="X50" s="187"/>
      <c r="Y50" s="187"/>
      <c r="Z50" s="188"/>
      <c r="AA50" s="186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186"/>
      <c r="AM50" s="187"/>
      <c r="AN50" s="187"/>
      <c r="AO50" s="187"/>
      <c r="AP50" s="187"/>
      <c r="AQ50" s="187"/>
      <c r="AR50" s="187"/>
      <c r="AS50" s="187"/>
      <c r="AT50" s="187"/>
      <c r="AU50" s="187"/>
      <c r="AV50" s="188"/>
      <c r="AW50" s="186"/>
      <c r="AX50" s="187"/>
      <c r="AY50" s="187"/>
      <c r="AZ50" s="187"/>
      <c r="BA50" s="187"/>
      <c r="BB50" s="187"/>
      <c r="BC50" s="187"/>
      <c r="BD50" s="187"/>
      <c r="BE50" s="187"/>
      <c r="BF50" s="187"/>
      <c r="BG50" s="188"/>
      <c r="BH50" s="186"/>
      <c r="BI50" s="187"/>
      <c r="BJ50" s="187"/>
      <c r="BK50" s="187"/>
      <c r="BL50" s="187"/>
      <c r="BM50" s="187"/>
      <c r="BN50" s="187"/>
      <c r="BO50" s="187"/>
      <c r="BP50" s="187"/>
      <c r="BQ50" s="187"/>
      <c r="BR50" s="188"/>
      <c r="BS50" s="186"/>
      <c r="BT50" s="187"/>
      <c r="BU50" s="187"/>
      <c r="BV50" s="187"/>
      <c r="BW50" s="187"/>
      <c r="BX50" s="187"/>
      <c r="BY50" s="187"/>
      <c r="BZ50" s="187"/>
      <c r="CA50" s="187"/>
      <c r="CB50" s="187"/>
      <c r="CC50" s="188"/>
      <c r="CD50" s="186"/>
      <c r="CE50" s="187"/>
      <c r="CF50" s="187"/>
      <c r="CG50" s="187"/>
      <c r="CH50" s="187"/>
      <c r="CI50" s="187"/>
      <c r="CJ50" s="187"/>
      <c r="CK50" s="187"/>
      <c r="CL50" s="187"/>
      <c r="CM50" s="187"/>
      <c r="CN50" s="188"/>
      <c r="CO50" s="186"/>
      <c r="CP50" s="187"/>
      <c r="CQ50" s="187"/>
      <c r="CR50" s="187"/>
      <c r="CS50" s="187"/>
      <c r="CT50" s="187"/>
      <c r="CU50" s="187"/>
      <c r="CV50" s="187"/>
      <c r="CW50" s="187"/>
      <c r="CX50" s="187"/>
      <c r="CY50" s="188"/>
      <c r="CZ50" s="186"/>
      <c r="DA50" s="187"/>
      <c r="DB50" s="187"/>
      <c r="DC50" s="187"/>
      <c r="DD50" s="187"/>
      <c r="DE50" s="187"/>
      <c r="DF50" s="187"/>
      <c r="DG50" s="187"/>
      <c r="DH50" s="187"/>
      <c r="DI50" s="187"/>
      <c r="DJ50" s="188"/>
      <c r="DK50" s="186"/>
      <c r="DL50" s="187"/>
      <c r="DM50" s="187"/>
      <c r="DN50" s="187"/>
      <c r="DO50" s="187"/>
      <c r="DP50" s="187"/>
      <c r="DQ50" s="187"/>
      <c r="DR50" s="187"/>
      <c r="DS50" s="187"/>
      <c r="DT50" s="187"/>
      <c r="DU50" s="188"/>
    </row>
    <row r="51" hidden="1">
      <c r="A51" s="187"/>
      <c r="B51" s="64"/>
      <c r="C51" s="64"/>
      <c r="D51" s="64"/>
      <c r="E51" s="201"/>
      <c r="F51" s="172"/>
      <c r="G51" s="172"/>
      <c r="H51" s="172"/>
      <c r="I51" s="172"/>
      <c r="J51" s="172"/>
      <c r="K51" s="172"/>
      <c r="L51" s="172"/>
      <c r="M51" s="172"/>
      <c r="N51" s="172"/>
      <c r="O51" s="173"/>
      <c r="P51" s="201"/>
      <c r="Q51" s="172"/>
      <c r="R51" s="172"/>
      <c r="S51" s="172"/>
      <c r="T51" s="172"/>
      <c r="U51" s="172"/>
      <c r="V51" s="172"/>
      <c r="W51" s="172"/>
      <c r="X51" s="172"/>
      <c r="Y51" s="172"/>
      <c r="Z51" s="173"/>
      <c r="AA51" s="201"/>
      <c r="AB51" s="172"/>
      <c r="AC51" s="172"/>
      <c r="AD51" s="172"/>
      <c r="AE51" s="172"/>
      <c r="AF51" s="172"/>
      <c r="AG51" s="172"/>
      <c r="AH51" s="172"/>
      <c r="AI51" s="172"/>
      <c r="AJ51" s="172"/>
      <c r="AK51" s="173"/>
      <c r="AL51" s="201"/>
      <c r="AM51" s="172"/>
      <c r="AN51" s="172"/>
      <c r="AO51" s="172"/>
      <c r="AP51" s="172"/>
      <c r="AQ51" s="172"/>
      <c r="AR51" s="172"/>
      <c r="AS51" s="172"/>
      <c r="AT51" s="172"/>
      <c r="AU51" s="172"/>
      <c r="AV51" s="173"/>
      <c r="AW51" s="201"/>
      <c r="AX51" s="172"/>
      <c r="AY51" s="172"/>
      <c r="AZ51" s="172"/>
      <c r="BA51" s="172"/>
      <c r="BB51" s="172"/>
      <c r="BC51" s="172"/>
      <c r="BD51" s="172"/>
      <c r="BE51" s="172"/>
      <c r="BF51" s="172"/>
      <c r="BG51" s="173"/>
      <c r="BH51" s="201"/>
      <c r="BI51" s="172"/>
      <c r="BJ51" s="172"/>
      <c r="BK51" s="172"/>
      <c r="BL51" s="172"/>
      <c r="BM51" s="172"/>
      <c r="BN51" s="172"/>
      <c r="BO51" s="172"/>
      <c r="BP51" s="172"/>
      <c r="BQ51" s="172"/>
      <c r="BR51" s="173"/>
      <c r="BS51" s="201"/>
      <c r="BT51" s="172"/>
      <c r="BU51" s="172"/>
      <c r="BV51" s="172"/>
      <c r="BW51" s="172"/>
      <c r="BX51" s="172"/>
      <c r="BY51" s="172"/>
      <c r="BZ51" s="172"/>
      <c r="CA51" s="172"/>
      <c r="CB51" s="172"/>
      <c r="CC51" s="173"/>
      <c r="CD51" s="201"/>
      <c r="CE51" s="172"/>
      <c r="CF51" s="172"/>
      <c r="CG51" s="172"/>
      <c r="CH51" s="172"/>
      <c r="CI51" s="172"/>
      <c r="CJ51" s="172"/>
      <c r="CK51" s="172"/>
      <c r="CL51" s="172"/>
      <c r="CM51" s="172"/>
      <c r="CN51" s="173"/>
      <c r="CO51" s="201"/>
      <c r="CP51" s="172"/>
      <c r="CQ51" s="172"/>
      <c r="CR51" s="172"/>
      <c r="CS51" s="172"/>
      <c r="CT51" s="172"/>
      <c r="CU51" s="172"/>
      <c r="CV51" s="172"/>
      <c r="CW51" s="172"/>
      <c r="CX51" s="172"/>
      <c r="CY51" s="173"/>
      <c r="CZ51" s="201"/>
      <c r="DA51" s="172"/>
      <c r="DB51" s="172"/>
      <c r="DC51" s="172"/>
      <c r="DD51" s="172"/>
      <c r="DE51" s="172"/>
      <c r="DF51" s="172"/>
      <c r="DG51" s="172"/>
      <c r="DH51" s="172"/>
      <c r="DI51" s="172"/>
      <c r="DJ51" s="173"/>
      <c r="DK51" s="201"/>
      <c r="DL51" s="172"/>
      <c r="DM51" s="172"/>
      <c r="DN51" s="172"/>
      <c r="DO51" s="172"/>
      <c r="DP51" s="172"/>
      <c r="DQ51" s="172"/>
      <c r="DR51" s="172"/>
      <c r="DS51" s="172"/>
      <c r="DT51" s="172"/>
      <c r="DU51" s="173"/>
    </row>
    <row r="52" hidden="1">
      <c r="A52" s="187"/>
      <c r="B52" s="64"/>
      <c r="C52" s="64"/>
      <c r="D52" s="64"/>
      <c r="E52" s="202"/>
      <c r="F52" s="203"/>
      <c r="G52" s="203"/>
      <c r="H52" s="203"/>
      <c r="I52" s="203"/>
      <c r="J52" s="203"/>
      <c r="K52" s="203"/>
      <c r="L52" s="203"/>
      <c r="M52" s="203"/>
      <c r="N52" s="203"/>
      <c r="O52" s="204"/>
      <c r="P52" s="202"/>
      <c r="Q52" s="203"/>
      <c r="R52" s="203"/>
      <c r="S52" s="203"/>
      <c r="T52" s="203"/>
      <c r="U52" s="203"/>
      <c r="V52" s="203"/>
      <c r="W52" s="203"/>
      <c r="X52" s="203"/>
      <c r="Y52" s="203"/>
      <c r="Z52" s="204"/>
      <c r="AA52" s="202"/>
      <c r="AB52" s="203"/>
      <c r="AC52" s="203"/>
      <c r="AD52" s="203"/>
      <c r="AE52" s="203"/>
      <c r="AF52" s="203"/>
      <c r="AG52" s="203"/>
      <c r="AH52" s="203"/>
      <c r="AI52" s="203"/>
      <c r="AJ52" s="203"/>
      <c r="AK52" s="204"/>
      <c r="AL52" s="202"/>
      <c r="AM52" s="203"/>
      <c r="AN52" s="203"/>
      <c r="AO52" s="203"/>
      <c r="AP52" s="203"/>
      <c r="AQ52" s="203"/>
      <c r="AR52" s="203"/>
      <c r="AS52" s="203"/>
      <c r="AT52" s="203"/>
      <c r="AU52" s="203"/>
      <c r="AV52" s="204"/>
      <c r="AW52" s="202"/>
      <c r="AX52" s="203"/>
      <c r="AY52" s="203"/>
      <c r="AZ52" s="203"/>
      <c r="BA52" s="203"/>
      <c r="BB52" s="203"/>
      <c r="BC52" s="203"/>
      <c r="BD52" s="203"/>
      <c r="BE52" s="203"/>
      <c r="BF52" s="203"/>
      <c r="BG52" s="204"/>
      <c r="BH52" s="202"/>
      <c r="BI52" s="203"/>
      <c r="BJ52" s="203"/>
      <c r="BK52" s="203"/>
      <c r="BL52" s="203"/>
      <c r="BM52" s="203"/>
      <c r="BN52" s="203"/>
      <c r="BO52" s="203"/>
      <c r="BP52" s="203"/>
      <c r="BQ52" s="203"/>
      <c r="BR52" s="204"/>
      <c r="BS52" s="202"/>
      <c r="BT52" s="203"/>
      <c r="BU52" s="203"/>
      <c r="BV52" s="203"/>
      <c r="BW52" s="203"/>
      <c r="BX52" s="203"/>
      <c r="BY52" s="203"/>
      <c r="BZ52" s="203"/>
      <c r="CA52" s="203"/>
      <c r="CB52" s="203"/>
      <c r="CC52" s="204"/>
      <c r="CD52" s="202"/>
      <c r="CE52" s="203"/>
      <c r="CF52" s="203"/>
      <c r="CG52" s="203"/>
      <c r="CH52" s="203"/>
      <c r="CI52" s="203"/>
      <c r="CJ52" s="203"/>
      <c r="CK52" s="203"/>
      <c r="CL52" s="203"/>
      <c r="CM52" s="203"/>
      <c r="CN52" s="204"/>
      <c r="CO52" s="202"/>
      <c r="CP52" s="203"/>
      <c r="CQ52" s="203"/>
      <c r="CR52" s="203"/>
      <c r="CS52" s="203"/>
      <c r="CT52" s="203"/>
      <c r="CU52" s="203"/>
      <c r="CV52" s="203"/>
      <c r="CW52" s="203"/>
      <c r="CX52" s="203"/>
      <c r="CY52" s="204"/>
      <c r="CZ52" s="202"/>
      <c r="DA52" s="203"/>
      <c r="DB52" s="203"/>
      <c r="DC52" s="203"/>
      <c r="DD52" s="203"/>
      <c r="DE52" s="203"/>
      <c r="DF52" s="203"/>
      <c r="DG52" s="203"/>
      <c r="DH52" s="203"/>
      <c r="DI52" s="203"/>
      <c r="DJ52" s="204"/>
      <c r="DK52" s="202"/>
      <c r="DL52" s="203"/>
      <c r="DM52" s="203"/>
      <c r="DN52" s="203"/>
      <c r="DO52" s="203"/>
      <c r="DP52" s="203"/>
      <c r="DQ52" s="203"/>
      <c r="DR52" s="203"/>
      <c r="DS52" s="203"/>
      <c r="DT52" s="203"/>
      <c r="DU52" s="204"/>
    </row>
    <row r="53" hidden="1">
      <c r="A53" s="187"/>
      <c r="B53" s="64"/>
      <c r="C53" s="64"/>
      <c r="D53" s="64"/>
      <c r="E53" s="205"/>
      <c r="F53" s="206"/>
      <c r="G53" s="207"/>
      <c r="H53" s="207"/>
      <c r="I53" s="207"/>
      <c r="J53" s="207"/>
      <c r="K53" s="206"/>
      <c r="L53" s="206"/>
      <c r="M53" s="206"/>
      <c r="N53" s="206"/>
      <c r="O53" s="208"/>
      <c r="P53" s="205"/>
      <c r="Q53" s="206"/>
      <c r="R53" s="207"/>
      <c r="S53" s="207"/>
      <c r="T53" s="207"/>
      <c r="U53" s="207"/>
      <c r="V53" s="206"/>
      <c r="W53" s="206"/>
      <c r="X53" s="206"/>
      <c r="Y53" s="206"/>
      <c r="Z53" s="208"/>
      <c r="AA53" s="205"/>
      <c r="AB53" s="206"/>
      <c r="AC53" s="207"/>
      <c r="AD53" s="207"/>
      <c r="AE53" s="207"/>
      <c r="AF53" s="207"/>
      <c r="AG53" s="206"/>
      <c r="AH53" s="206"/>
      <c r="AI53" s="206"/>
      <c r="AJ53" s="206"/>
      <c r="AK53" s="208"/>
      <c r="AL53" s="205"/>
      <c r="AM53" s="206"/>
      <c r="AN53" s="207"/>
      <c r="AO53" s="207"/>
      <c r="AP53" s="207"/>
      <c r="AQ53" s="207"/>
      <c r="AR53" s="206"/>
      <c r="AS53" s="206"/>
      <c r="AT53" s="206"/>
      <c r="AU53" s="206"/>
      <c r="AV53" s="208"/>
      <c r="AW53" s="205"/>
      <c r="AX53" s="206"/>
      <c r="AY53" s="207"/>
      <c r="AZ53" s="207"/>
      <c r="BA53" s="207"/>
      <c r="BB53" s="207"/>
      <c r="BC53" s="206"/>
      <c r="BD53" s="206"/>
      <c r="BE53" s="206"/>
      <c r="BF53" s="206"/>
      <c r="BG53" s="208"/>
      <c r="BH53" s="205"/>
      <c r="BI53" s="206"/>
      <c r="BJ53" s="207"/>
      <c r="BK53" s="207"/>
      <c r="BL53" s="207"/>
      <c r="BM53" s="207"/>
      <c r="BN53" s="206"/>
      <c r="BO53" s="206"/>
      <c r="BP53" s="206"/>
      <c r="BQ53" s="206"/>
      <c r="BR53" s="208"/>
      <c r="BS53" s="205"/>
      <c r="BT53" s="206"/>
      <c r="BU53" s="207"/>
      <c r="BV53" s="207"/>
      <c r="BW53" s="207"/>
      <c r="BX53" s="207"/>
      <c r="BY53" s="206"/>
      <c r="BZ53" s="206"/>
      <c r="CA53" s="206"/>
      <c r="CB53" s="206"/>
      <c r="CC53" s="208"/>
      <c r="CD53" s="205"/>
      <c r="CE53" s="206"/>
      <c r="CF53" s="207"/>
      <c r="CG53" s="207"/>
      <c r="CH53" s="207"/>
      <c r="CI53" s="207"/>
      <c r="CJ53" s="206"/>
      <c r="CK53" s="206"/>
      <c r="CL53" s="206"/>
      <c r="CM53" s="206"/>
      <c r="CN53" s="208"/>
      <c r="CO53" s="205"/>
      <c r="CP53" s="206"/>
      <c r="CQ53" s="207"/>
      <c r="CR53" s="207"/>
      <c r="CS53" s="207"/>
      <c r="CT53" s="207"/>
      <c r="CU53" s="206"/>
      <c r="CV53" s="206"/>
      <c r="CW53" s="206"/>
      <c r="CX53" s="206"/>
      <c r="CY53" s="208"/>
      <c r="CZ53" s="205"/>
      <c r="DA53" s="206"/>
      <c r="DB53" s="207"/>
      <c r="DC53" s="207"/>
      <c r="DD53" s="207"/>
      <c r="DE53" s="207"/>
      <c r="DF53" s="206"/>
      <c r="DG53" s="206"/>
      <c r="DH53" s="206"/>
      <c r="DI53" s="206"/>
      <c r="DJ53" s="208"/>
      <c r="DK53" s="205"/>
      <c r="DL53" s="206"/>
      <c r="DM53" s="207"/>
      <c r="DN53" s="207"/>
      <c r="DO53" s="207"/>
      <c r="DP53" s="207"/>
      <c r="DQ53" s="206"/>
      <c r="DR53" s="206"/>
      <c r="DS53" s="206"/>
      <c r="DT53" s="206"/>
      <c r="DU53" s="208"/>
    </row>
    <row r="54" hidden="1">
      <c r="A54" s="187"/>
      <c r="B54" s="64"/>
      <c r="C54" s="64"/>
      <c r="D54" s="64"/>
      <c r="E54" s="186"/>
      <c r="F54" s="187"/>
      <c r="G54" s="187"/>
      <c r="H54" s="187"/>
      <c r="I54" s="187"/>
      <c r="J54" s="187"/>
      <c r="K54" s="187"/>
      <c r="L54" s="187"/>
      <c r="M54" s="187"/>
      <c r="N54" s="187"/>
      <c r="O54" s="188"/>
      <c r="P54" s="186"/>
      <c r="Q54" s="187"/>
      <c r="R54" s="187"/>
      <c r="S54" s="187"/>
      <c r="T54" s="187"/>
      <c r="U54" s="187"/>
      <c r="V54" s="187"/>
      <c r="W54" s="187"/>
      <c r="X54" s="187"/>
      <c r="Y54" s="187"/>
      <c r="Z54" s="188"/>
      <c r="AA54" s="186"/>
      <c r="AB54" s="187"/>
      <c r="AC54" s="187"/>
      <c r="AD54" s="187"/>
      <c r="AE54" s="187"/>
      <c r="AF54" s="187"/>
      <c r="AG54" s="187"/>
      <c r="AH54" s="187"/>
      <c r="AI54" s="187"/>
      <c r="AJ54" s="187"/>
      <c r="AK54" s="188"/>
      <c r="AL54" s="186"/>
      <c r="AM54" s="187"/>
      <c r="AN54" s="187"/>
      <c r="AO54" s="187"/>
      <c r="AP54" s="187"/>
      <c r="AQ54" s="187"/>
      <c r="AR54" s="187"/>
      <c r="AS54" s="187"/>
      <c r="AT54" s="187"/>
      <c r="AU54" s="187"/>
      <c r="AV54" s="188"/>
      <c r="AW54" s="186"/>
      <c r="AX54" s="187"/>
      <c r="AY54" s="187"/>
      <c r="AZ54" s="187"/>
      <c r="BA54" s="187"/>
      <c r="BB54" s="187"/>
      <c r="BC54" s="187"/>
      <c r="BD54" s="187"/>
      <c r="BE54" s="187"/>
      <c r="BF54" s="187"/>
      <c r="BG54" s="188"/>
      <c r="BH54" s="186"/>
      <c r="BI54" s="187"/>
      <c r="BJ54" s="187"/>
      <c r="BK54" s="187"/>
      <c r="BL54" s="187"/>
      <c r="BM54" s="187"/>
      <c r="BN54" s="187"/>
      <c r="BO54" s="187"/>
      <c r="BP54" s="187"/>
      <c r="BQ54" s="187"/>
      <c r="BR54" s="188"/>
      <c r="BS54" s="186"/>
      <c r="BT54" s="187"/>
      <c r="BU54" s="187"/>
      <c r="BV54" s="187"/>
      <c r="BW54" s="187"/>
      <c r="BX54" s="187"/>
      <c r="BY54" s="187"/>
      <c r="BZ54" s="187"/>
      <c r="CA54" s="187"/>
      <c r="CB54" s="187"/>
      <c r="CC54" s="188"/>
      <c r="CD54" s="186"/>
      <c r="CE54" s="187"/>
      <c r="CF54" s="187"/>
      <c r="CG54" s="187"/>
      <c r="CH54" s="187"/>
      <c r="CI54" s="187"/>
      <c r="CJ54" s="187"/>
      <c r="CK54" s="187"/>
      <c r="CL54" s="187"/>
      <c r="CM54" s="187"/>
      <c r="CN54" s="188"/>
      <c r="CO54" s="186"/>
      <c r="CP54" s="187"/>
      <c r="CQ54" s="187"/>
      <c r="CR54" s="187"/>
      <c r="CS54" s="187"/>
      <c r="CT54" s="187"/>
      <c r="CU54" s="187"/>
      <c r="CV54" s="187"/>
      <c r="CW54" s="187"/>
      <c r="CX54" s="187"/>
      <c r="CY54" s="188"/>
      <c r="CZ54" s="186"/>
      <c r="DA54" s="187"/>
      <c r="DB54" s="187"/>
      <c r="DC54" s="187"/>
      <c r="DD54" s="187"/>
      <c r="DE54" s="187"/>
      <c r="DF54" s="187"/>
      <c r="DG54" s="187"/>
      <c r="DH54" s="187"/>
      <c r="DI54" s="187"/>
      <c r="DJ54" s="188"/>
      <c r="DK54" s="186"/>
      <c r="DL54" s="187"/>
      <c r="DM54" s="187"/>
      <c r="DN54" s="187"/>
      <c r="DO54" s="187"/>
      <c r="DP54" s="187"/>
      <c r="DQ54" s="187"/>
      <c r="DR54" s="187"/>
      <c r="DS54" s="187"/>
      <c r="DT54" s="187"/>
      <c r="DU54" s="188"/>
    </row>
    <row r="55" hidden="1">
      <c r="A55" s="187"/>
      <c r="B55" s="64"/>
      <c r="C55" s="64"/>
      <c r="D55" s="64"/>
      <c r="E55" s="186"/>
      <c r="F55" s="187"/>
      <c r="G55" s="187"/>
      <c r="H55" s="187"/>
      <c r="I55" s="187"/>
      <c r="J55" s="187"/>
      <c r="K55" s="187"/>
      <c r="L55" s="187"/>
      <c r="M55" s="187"/>
      <c r="N55" s="187"/>
      <c r="O55" s="188"/>
      <c r="P55" s="186"/>
      <c r="Q55" s="187"/>
      <c r="R55" s="187"/>
      <c r="S55" s="187"/>
      <c r="T55" s="187"/>
      <c r="U55" s="187"/>
      <c r="V55" s="187"/>
      <c r="W55" s="187"/>
      <c r="X55" s="187"/>
      <c r="Y55" s="187"/>
      <c r="Z55" s="188"/>
      <c r="AA55" s="186"/>
      <c r="AB55" s="187"/>
      <c r="AC55" s="187"/>
      <c r="AD55" s="187"/>
      <c r="AE55" s="187"/>
      <c r="AF55" s="187"/>
      <c r="AG55" s="187"/>
      <c r="AH55" s="187"/>
      <c r="AI55" s="187"/>
      <c r="AJ55" s="187"/>
      <c r="AK55" s="188"/>
      <c r="AL55" s="186"/>
      <c r="AM55" s="187"/>
      <c r="AN55" s="187"/>
      <c r="AO55" s="187"/>
      <c r="AP55" s="187"/>
      <c r="AQ55" s="187"/>
      <c r="AR55" s="187"/>
      <c r="AS55" s="187"/>
      <c r="AT55" s="187"/>
      <c r="AU55" s="187"/>
      <c r="AV55" s="188"/>
      <c r="AW55" s="186"/>
      <c r="AX55" s="187"/>
      <c r="AY55" s="187"/>
      <c r="AZ55" s="187"/>
      <c r="BA55" s="187"/>
      <c r="BB55" s="187"/>
      <c r="BC55" s="187"/>
      <c r="BD55" s="187"/>
      <c r="BE55" s="187"/>
      <c r="BF55" s="187"/>
      <c r="BG55" s="188"/>
      <c r="BH55" s="186"/>
      <c r="BI55" s="187"/>
      <c r="BJ55" s="187"/>
      <c r="BK55" s="187"/>
      <c r="BL55" s="187"/>
      <c r="BM55" s="187"/>
      <c r="BN55" s="187"/>
      <c r="BO55" s="187"/>
      <c r="BP55" s="187"/>
      <c r="BQ55" s="187"/>
      <c r="BR55" s="188"/>
      <c r="BS55" s="186"/>
      <c r="BT55" s="187"/>
      <c r="BU55" s="187"/>
      <c r="BV55" s="187"/>
      <c r="BW55" s="187"/>
      <c r="BX55" s="187"/>
      <c r="BY55" s="187"/>
      <c r="BZ55" s="187"/>
      <c r="CA55" s="187"/>
      <c r="CB55" s="187"/>
      <c r="CC55" s="188"/>
      <c r="CD55" s="186"/>
      <c r="CE55" s="187"/>
      <c r="CF55" s="187"/>
      <c r="CG55" s="187"/>
      <c r="CH55" s="187"/>
      <c r="CI55" s="187"/>
      <c r="CJ55" s="187"/>
      <c r="CK55" s="187"/>
      <c r="CL55" s="187"/>
      <c r="CM55" s="187"/>
      <c r="CN55" s="188"/>
      <c r="CO55" s="186"/>
      <c r="CP55" s="187"/>
      <c r="CQ55" s="187"/>
      <c r="CR55" s="187"/>
      <c r="CS55" s="187"/>
      <c r="CT55" s="187"/>
      <c r="CU55" s="187"/>
      <c r="CV55" s="187"/>
      <c r="CW55" s="187"/>
      <c r="CX55" s="187"/>
      <c r="CY55" s="188"/>
      <c r="CZ55" s="186"/>
      <c r="DA55" s="187"/>
      <c r="DB55" s="187"/>
      <c r="DC55" s="187"/>
      <c r="DD55" s="187"/>
      <c r="DE55" s="187"/>
      <c r="DF55" s="187"/>
      <c r="DG55" s="187"/>
      <c r="DH55" s="187"/>
      <c r="DI55" s="187"/>
      <c r="DJ55" s="188"/>
      <c r="DK55" s="186"/>
      <c r="DL55" s="187"/>
      <c r="DM55" s="187"/>
      <c r="DN55" s="187"/>
      <c r="DO55" s="187"/>
      <c r="DP55" s="187"/>
      <c r="DQ55" s="187"/>
      <c r="DR55" s="187"/>
      <c r="DS55" s="187"/>
      <c r="DT55" s="187"/>
      <c r="DU55" s="188"/>
    </row>
    <row r="56" hidden="1">
      <c r="A56" s="187"/>
      <c r="B56" s="64"/>
      <c r="C56" s="64"/>
      <c r="D56" s="64"/>
      <c r="E56" s="186"/>
      <c r="F56" s="187"/>
      <c r="G56" s="187"/>
      <c r="H56" s="187"/>
      <c r="I56" s="187"/>
      <c r="J56" s="187"/>
      <c r="K56" s="187"/>
      <c r="L56" s="187"/>
      <c r="M56" s="187"/>
      <c r="N56" s="187"/>
      <c r="O56" s="188"/>
      <c r="P56" s="186"/>
      <c r="Q56" s="187"/>
      <c r="R56" s="187"/>
      <c r="S56" s="187"/>
      <c r="T56" s="187"/>
      <c r="U56" s="187"/>
      <c r="V56" s="187"/>
      <c r="W56" s="187"/>
      <c r="X56" s="187"/>
      <c r="Y56" s="187"/>
      <c r="Z56" s="188"/>
      <c r="AA56" s="186"/>
      <c r="AB56" s="187"/>
      <c r="AC56" s="187"/>
      <c r="AD56" s="187"/>
      <c r="AE56" s="187"/>
      <c r="AF56" s="187"/>
      <c r="AG56" s="187"/>
      <c r="AH56" s="187"/>
      <c r="AI56" s="187"/>
      <c r="AJ56" s="187"/>
      <c r="AK56" s="188"/>
      <c r="AL56" s="186"/>
      <c r="AM56" s="187"/>
      <c r="AN56" s="187"/>
      <c r="AO56" s="187"/>
      <c r="AP56" s="187"/>
      <c r="AQ56" s="187"/>
      <c r="AR56" s="187"/>
      <c r="AS56" s="187"/>
      <c r="AT56" s="187"/>
      <c r="AU56" s="187"/>
      <c r="AV56" s="188"/>
      <c r="AW56" s="186"/>
      <c r="AX56" s="187"/>
      <c r="AY56" s="187"/>
      <c r="AZ56" s="187"/>
      <c r="BA56" s="187"/>
      <c r="BB56" s="187"/>
      <c r="BC56" s="187"/>
      <c r="BD56" s="187"/>
      <c r="BE56" s="187"/>
      <c r="BF56" s="187"/>
      <c r="BG56" s="188"/>
      <c r="BH56" s="186"/>
      <c r="BI56" s="187"/>
      <c r="BJ56" s="187"/>
      <c r="BK56" s="187"/>
      <c r="BL56" s="187"/>
      <c r="BM56" s="187"/>
      <c r="BN56" s="187"/>
      <c r="BO56" s="187"/>
      <c r="BP56" s="187"/>
      <c r="BQ56" s="187"/>
      <c r="BR56" s="188"/>
      <c r="BS56" s="186"/>
      <c r="BT56" s="187"/>
      <c r="BU56" s="187"/>
      <c r="BV56" s="187"/>
      <c r="BW56" s="187"/>
      <c r="BX56" s="187"/>
      <c r="BY56" s="187"/>
      <c r="BZ56" s="187"/>
      <c r="CA56" s="187"/>
      <c r="CB56" s="187"/>
      <c r="CC56" s="188"/>
      <c r="CD56" s="186"/>
      <c r="CE56" s="187"/>
      <c r="CF56" s="187"/>
      <c r="CG56" s="187"/>
      <c r="CH56" s="187"/>
      <c r="CI56" s="187"/>
      <c r="CJ56" s="187"/>
      <c r="CK56" s="187"/>
      <c r="CL56" s="187"/>
      <c r="CM56" s="187"/>
      <c r="CN56" s="188"/>
      <c r="CO56" s="186"/>
      <c r="CP56" s="187"/>
      <c r="CQ56" s="187"/>
      <c r="CR56" s="187"/>
      <c r="CS56" s="187"/>
      <c r="CT56" s="187"/>
      <c r="CU56" s="187"/>
      <c r="CV56" s="187"/>
      <c r="CW56" s="187"/>
      <c r="CX56" s="187"/>
      <c r="CY56" s="188"/>
      <c r="CZ56" s="186"/>
      <c r="DA56" s="187"/>
      <c r="DB56" s="187"/>
      <c r="DC56" s="187"/>
      <c r="DD56" s="187"/>
      <c r="DE56" s="187"/>
      <c r="DF56" s="187"/>
      <c r="DG56" s="187"/>
      <c r="DH56" s="187"/>
      <c r="DI56" s="187"/>
      <c r="DJ56" s="188"/>
      <c r="DK56" s="186"/>
      <c r="DL56" s="187"/>
      <c r="DM56" s="187"/>
      <c r="DN56" s="187"/>
      <c r="DO56" s="187"/>
      <c r="DP56" s="187"/>
      <c r="DQ56" s="187"/>
      <c r="DR56" s="187"/>
      <c r="DS56" s="187"/>
      <c r="DT56" s="187"/>
      <c r="DU56" s="188"/>
    </row>
    <row r="57" hidden="1">
      <c r="A57" s="187"/>
      <c r="B57" s="64"/>
      <c r="C57" s="64"/>
      <c r="D57" s="64"/>
      <c r="E57" s="186"/>
      <c r="F57" s="187"/>
      <c r="G57" s="187"/>
      <c r="H57" s="187"/>
      <c r="I57" s="187"/>
      <c r="J57" s="187"/>
      <c r="K57" s="187"/>
      <c r="L57" s="187"/>
      <c r="M57" s="187"/>
      <c r="N57" s="187"/>
      <c r="O57" s="188"/>
      <c r="P57" s="186"/>
      <c r="Q57" s="187"/>
      <c r="R57" s="187"/>
      <c r="S57" s="187"/>
      <c r="T57" s="187"/>
      <c r="U57" s="187"/>
      <c r="V57" s="187"/>
      <c r="W57" s="187"/>
      <c r="X57" s="187"/>
      <c r="Y57" s="187"/>
      <c r="Z57" s="188"/>
      <c r="AA57" s="186"/>
      <c r="AB57" s="187"/>
      <c r="AC57" s="187"/>
      <c r="AD57" s="187"/>
      <c r="AE57" s="187"/>
      <c r="AF57" s="187"/>
      <c r="AG57" s="187"/>
      <c r="AH57" s="187"/>
      <c r="AI57" s="187"/>
      <c r="AJ57" s="187"/>
      <c r="AK57" s="188"/>
      <c r="AL57" s="186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86"/>
      <c r="AX57" s="187"/>
      <c r="AY57" s="187"/>
      <c r="AZ57" s="187"/>
      <c r="BA57" s="187"/>
      <c r="BB57" s="187"/>
      <c r="BC57" s="187"/>
      <c r="BD57" s="187"/>
      <c r="BE57" s="187"/>
      <c r="BF57" s="187"/>
      <c r="BG57" s="188"/>
      <c r="BH57" s="186"/>
      <c r="BI57" s="187"/>
      <c r="BJ57" s="187"/>
      <c r="BK57" s="187"/>
      <c r="BL57" s="187"/>
      <c r="BM57" s="187"/>
      <c r="BN57" s="187"/>
      <c r="BO57" s="187"/>
      <c r="BP57" s="187"/>
      <c r="BQ57" s="187"/>
      <c r="BR57" s="188"/>
      <c r="BS57" s="186"/>
      <c r="BT57" s="187"/>
      <c r="BU57" s="187"/>
      <c r="BV57" s="187"/>
      <c r="BW57" s="187"/>
      <c r="BX57" s="187"/>
      <c r="BY57" s="187"/>
      <c r="BZ57" s="187"/>
      <c r="CA57" s="187"/>
      <c r="CB57" s="187"/>
      <c r="CC57" s="188"/>
      <c r="CD57" s="186"/>
      <c r="CE57" s="187"/>
      <c r="CF57" s="187"/>
      <c r="CG57" s="187"/>
      <c r="CH57" s="187"/>
      <c r="CI57" s="187"/>
      <c r="CJ57" s="187"/>
      <c r="CK57" s="187"/>
      <c r="CL57" s="187"/>
      <c r="CM57" s="187"/>
      <c r="CN57" s="188"/>
      <c r="CO57" s="186"/>
      <c r="CP57" s="187"/>
      <c r="CQ57" s="187"/>
      <c r="CR57" s="187"/>
      <c r="CS57" s="187"/>
      <c r="CT57" s="187"/>
      <c r="CU57" s="187"/>
      <c r="CV57" s="187"/>
      <c r="CW57" s="187"/>
      <c r="CX57" s="187"/>
      <c r="CY57" s="188"/>
      <c r="CZ57" s="186"/>
      <c r="DA57" s="187"/>
      <c r="DB57" s="187"/>
      <c r="DC57" s="187"/>
      <c r="DD57" s="187"/>
      <c r="DE57" s="187"/>
      <c r="DF57" s="187"/>
      <c r="DG57" s="187"/>
      <c r="DH57" s="187"/>
      <c r="DI57" s="187"/>
      <c r="DJ57" s="188"/>
      <c r="DK57" s="186"/>
      <c r="DL57" s="187"/>
      <c r="DM57" s="187"/>
      <c r="DN57" s="187"/>
      <c r="DO57" s="187"/>
      <c r="DP57" s="187"/>
      <c r="DQ57" s="187"/>
      <c r="DR57" s="187"/>
      <c r="DS57" s="187"/>
      <c r="DT57" s="187"/>
      <c r="DU57" s="188"/>
    </row>
    <row r="58" hidden="1">
      <c r="A58" s="187"/>
      <c r="B58" s="64"/>
      <c r="C58" s="64"/>
      <c r="D58" s="64"/>
      <c r="E58" s="186"/>
      <c r="F58" s="187"/>
      <c r="G58" s="187"/>
      <c r="H58" s="187"/>
      <c r="I58" s="187"/>
      <c r="J58" s="187"/>
      <c r="K58" s="187"/>
      <c r="L58" s="187"/>
      <c r="M58" s="187"/>
      <c r="N58" s="187"/>
      <c r="O58" s="188"/>
      <c r="P58" s="186"/>
      <c r="Q58" s="187"/>
      <c r="R58" s="187"/>
      <c r="S58" s="187"/>
      <c r="T58" s="187"/>
      <c r="U58" s="187"/>
      <c r="V58" s="187"/>
      <c r="W58" s="187"/>
      <c r="X58" s="187"/>
      <c r="Y58" s="187"/>
      <c r="Z58" s="188"/>
      <c r="AA58" s="186"/>
      <c r="AB58" s="187"/>
      <c r="AC58" s="187"/>
      <c r="AD58" s="187"/>
      <c r="AE58" s="187"/>
      <c r="AF58" s="187"/>
      <c r="AG58" s="187"/>
      <c r="AH58" s="187"/>
      <c r="AI58" s="187"/>
      <c r="AJ58" s="187"/>
      <c r="AK58" s="188"/>
      <c r="AL58" s="186"/>
      <c r="AM58" s="187"/>
      <c r="AN58" s="187"/>
      <c r="AO58" s="187"/>
      <c r="AP58" s="187"/>
      <c r="AQ58" s="187"/>
      <c r="AR58" s="187"/>
      <c r="AS58" s="187"/>
      <c r="AT58" s="187"/>
      <c r="AU58" s="187"/>
      <c r="AV58" s="188"/>
      <c r="AW58" s="186"/>
      <c r="AX58" s="187"/>
      <c r="AY58" s="187"/>
      <c r="AZ58" s="187"/>
      <c r="BA58" s="187"/>
      <c r="BB58" s="187"/>
      <c r="BC58" s="187"/>
      <c r="BD58" s="187"/>
      <c r="BE58" s="187"/>
      <c r="BF58" s="187"/>
      <c r="BG58" s="188"/>
      <c r="BH58" s="186"/>
      <c r="BI58" s="187"/>
      <c r="BJ58" s="187"/>
      <c r="BK58" s="187"/>
      <c r="BL58" s="187"/>
      <c r="BM58" s="187"/>
      <c r="BN58" s="187"/>
      <c r="BO58" s="187"/>
      <c r="BP58" s="187"/>
      <c r="BQ58" s="187"/>
      <c r="BR58" s="188"/>
      <c r="BS58" s="186"/>
      <c r="BT58" s="187"/>
      <c r="BU58" s="187"/>
      <c r="BV58" s="187"/>
      <c r="BW58" s="187"/>
      <c r="BX58" s="187"/>
      <c r="BY58" s="187"/>
      <c r="BZ58" s="187"/>
      <c r="CA58" s="187"/>
      <c r="CB58" s="187"/>
      <c r="CC58" s="188"/>
      <c r="CD58" s="186"/>
      <c r="CE58" s="187"/>
      <c r="CF58" s="187"/>
      <c r="CG58" s="187"/>
      <c r="CH58" s="187"/>
      <c r="CI58" s="187"/>
      <c r="CJ58" s="187"/>
      <c r="CK58" s="187"/>
      <c r="CL58" s="187"/>
      <c r="CM58" s="187"/>
      <c r="CN58" s="188"/>
      <c r="CO58" s="186"/>
      <c r="CP58" s="187"/>
      <c r="CQ58" s="187"/>
      <c r="CR58" s="187"/>
      <c r="CS58" s="187"/>
      <c r="CT58" s="187"/>
      <c r="CU58" s="187"/>
      <c r="CV58" s="187"/>
      <c r="CW58" s="187"/>
      <c r="CX58" s="187"/>
      <c r="CY58" s="188"/>
      <c r="CZ58" s="186"/>
      <c r="DA58" s="187"/>
      <c r="DB58" s="187"/>
      <c r="DC58" s="187"/>
      <c r="DD58" s="187"/>
      <c r="DE58" s="187"/>
      <c r="DF58" s="187"/>
      <c r="DG58" s="187"/>
      <c r="DH58" s="187"/>
      <c r="DI58" s="187"/>
      <c r="DJ58" s="188"/>
      <c r="DK58" s="186"/>
      <c r="DL58" s="187"/>
      <c r="DM58" s="187"/>
      <c r="DN58" s="187"/>
      <c r="DO58" s="187"/>
      <c r="DP58" s="187"/>
      <c r="DQ58" s="187"/>
      <c r="DR58" s="187"/>
      <c r="DS58" s="187"/>
      <c r="DT58" s="187"/>
      <c r="DU58" s="188"/>
    </row>
    <row r="59" hidden="1">
      <c r="A59" s="187"/>
      <c r="B59" s="64"/>
      <c r="C59" s="64"/>
      <c r="D59" s="64"/>
      <c r="E59" s="186"/>
      <c r="F59" s="187"/>
      <c r="G59" s="187"/>
      <c r="H59" s="187"/>
      <c r="I59" s="187"/>
      <c r="J59" s="187"/>
      <c r="K59" s="187"/>
      <c r="L59" s="187"/>
      <c r="M59" s="187"/>
      <c r="N59" s="187"/>
      <c r="O59" s="188"/>
      <c r="P59" s="186"/>
      <c r="Q59" s="187"/>
      <c r="R59" s="187"/>
      <c r="S59" s="187"/>
      <c r="T59" s="187"/>
      <c r="U59" s="187"/>
      <c r="V59" s="187"/>
      <c r="W59" s="187"/>
      <c r="X59" s="187"/>
      <c r="Y59" s="187"/>
      <c r="Z59" s="188"/>
      <c r="AA59" s="186"/>
      <c r="AB59" s="187"/>
      <c r="AC59" s="187"/>
      <c r="AD59" s="187"/>
      <c r="AE59" s="187"/>
      <c r="AF59" s="187"/>
      <c r="AG59" s="187"/>
      <c r="AH59" s="187"/>
      <c r="AI59" s="187"/>
      <c r="AJ59" s="187"/>
      <c r="AK59" s="188"/>
      <c r="AL59" s="186"/>
      <c r="AM59" s="187"/>
      <c r="AN59" s="187"/>
      <c r="AO59" s="187"/>
      <c r="AP59" s="187"/>
      <c r="AQ59" s="187"/>
      <c r="AR59" s="187"/>
      <c r="AS59" s="187"/>
      <c r="AT59" s="187"/>
      <c r="AU59" s="187"/>
      <c r="AV59" s="188"/>
      <c r="AW59" s="186"/>
      <c r="AX59" s="187"/>
      <c r="AY59" s="187"/>
      <c r="AZ59" s="187"/>
      <c r="BA59" s="187"/>
      <c r="BB59" s="187"/>
      <c r="BC59" s="187"/>
      <c r="BD59" s="187"/>
      <c r="BE59" s="187"/>
      <c r="BF59" s="187"/>
      <c r="BG59" s="188"/>
      <c r="BH59" s="186"/>
      <c r="BI59" s="187"/>
      <c r="BJ59" s="187"/>
      <c r="BK59" s="187"/>
      <c r="BL59" s="187"/>
      <c r="BM59" s="187"/>
      <c r="BN59" s="187"/>
      <c r="BO59" s="187"/>
      <c r="BP59" s="187"/>
      <c r="BQ59" s="187"/>
      <c r="BR59" s="188"/>
      <c r="BS59" s="186"/>
      <c r="BT59" s="187"/>
      <c r="BU59" s="187"/>
      <c r="BV59" s="187"/>
      <c r="BW59" s="187"/>
      <c r="BX59" s="187"/>
      <c r="BY59" s="187"/>
      <c r="BZ59" s="187"/>
      <c r="CA59" s="187"/>
      <c r="CB59" s="187"/>
      <c r="CC59" s="188"/>
      <c r="CD59" s="186"/>
      <c r="CE59" s="187"/>
      <c r="CF59" s="187"/>
      <c r="CG59" s="187"/>
      <c r="CH59" s="187"/>
      <c r="CI59" s="187"/>
      <c r="CJ59" s="187"/>
      <c r="CK59" s="187"/>
      <c r="CL59" s="187"/>
      <c r="CM59" s="187"/>
      <c r="CN59" s="188"/>
      <c r="CO59" s="186"/>
      <c r="CP59" s="187"/>
      <c r="CQ59" s="187"/>
      <c r="CR59" s="187"/>
      <c r="CS59" s="187"/>
      <c r="CT59" s="187"/>
      <c r="CU59" s="187"/>
      <c r="CV59" s="187"/>
      <c r="CW59" s="187"/>
      <c r="CX59" s="187"/>
      <c r="CY59" s="188"/>
      <c r="CZ59" s="186"/>
      <c r="DA59" s="187"/>
      <c r="DB59" s="187"/>
      <c r="DC59" s="187"/>
      <c r="DD59" s="187"/>
      <c r="DE59" s="187"/>
      <c r="DF59" s="187"/>
      <c r="DG59" s="187"/>
      <c r="DH59" s="187"/>
      <c r="DI59" s="187"/>
      <c r="DJ59" s="188"/>
      <c r="DK59" s="186"/>
      <c r="DL59" s="187"/>
      <c r="DM59" s="187"/>
      <c r="DN59" s="187"/>
      <c r="DO59" s="187"/>
      <c r="DP59" s="187"/>
      <c r="DQ59" s="187"/>
      <c r="DR59" s="187"/>
      <c r="DS59" s="187"/>
      <c r="DT59" s="187"/>
      <c r="DU59" s="188"/>
    </row>
    <row r="60" hidden="1">
      <c r="A60" s="187"/>
      <c r="B60" s="64"/>
      <c r="C60" s="64"/>
      <c r="D60" s="64"/>
      <c r="E60" s="186"/>
      <c r="F60" s="187"/>
      <c r="G60" s="187"/>
      <c r="H60" s="187"/>
      <c r="I60" s="187"/>
      <c r="J60" s="187"/>
      <c r="K60" s="187"/>
      <c r="L60" s="187"/>
      <c r="M60" s="187"/>
      <c r="N60" s="187"/>
      <c r="O60" s="188"/>
      <c r="P60" s="186"/>
      <c r="Q60" s="187"/>
      <c r="R60" s="187"/>
      <c r="S60" s="187"/>
      <c r="T60" s="187"/>
      <c r="U60" s="187"/>
      <c r="V60" s="187"/>
      <c r="W60" s="187"/>
      <c r="X60" s="187"/>
      <c r="Y60" s="187"/>
      <c r="Z60" s="188"/>
      <c r="AA60" s="186"/>
      <c r="AB60" s="187"/>
      <c r="AC60" s="187"/>
      <c r="AD60" s="187"/>
      <c r="AE60" s="187"/>
      <c r="AF60" s="187"/>
      <c r="AG60" s="187"/>
      <c r="AH60" s="187"/>
      <c r="AI60" s="187"/>
      <c r="AJ60" s="187"/>
      <c r="AK60" s="188"/>
      <c r="AL60" s="186"/>
      <c r="AM60" s="187"/>
      <c r="AN60" s="187"/>
      <c r="AO60" s="187"/>
      <c r="AP60" s="187"/>
      <c r="AQ60" s="187"/>
      <c r="AR60" s="187"/>
      <c r="AS60" s="187"/>
      <c r="AT60" s="187"/>
      <c r="AU60" s="187"/>
      <c r="AV60" s="188"/>
      <c r="AW60" s="186"/>
      <c r="AX60" s="187"/>
      <c r="AY60" s="187"/>
      <c r="AZ60" s="187"/>
      <c r="BA60" s="187"/>
      <c r="BB60" s="187"/>
      <c r="BC60" s="187"/>
      <c r="BD60" s="187"/>
      <c r="BE60" s="187"/>
      <c r="BF60" s="187"/>
      <c r="BG60" s="188"/>
      <c r="BH60" s="186"/>
      <c r="BI60" s="187"/>
      <c r="BJ60" s="187"/>
      <c r="BK60" s="187"/>
      <c r="BL60" s="187"/>
      <c r="BM60" s="187"/>
      <c r="BN60" s="187"/>
      <c r="BO60" s="187"/>
      <c r="BP60" s="187"/>
      <c r="BQ60" s="187"/>
      <c r="BR60" s="188"/>
      <c r="BS60" s="186"/>
      <c r="BT60" s="187"/>
      <c r="BU60" s="187"/>
      <c r="BV60" s="187"/>
      <c r="BW60" s="187"/>
      <c r="BX60" s="187"/>
      <c r="BY60" s="187"/>
      <c r="BZ60" s="187"/>
      <c r="CA60" s="187"/>
      <c r="CB60" s="187"/>
      <c r="CC60" s="188"/>
      <c r="CD60" s="186"/>
      <c r="CE60" s="187"/>
      <c r="CF60" s="187"/>
      <c r="CG60" s="187"/>
      <c r="CH60" s="187"/>
      <c r="CI60" s="187"/>
      <c r="CJ60" s="187"/>
      <c r="CK60" s="187"/>
      <c r="CL60" s="187"/>
      <c r="CM60" s="187"/>
      <c r="CN60" s="188"/>
      <c r="CO60" s="186"/>
      <c r="CP60" s="187"/>
      <c r="CQ60" s="187"/>
      <c r="CR60" s="187"/>
      <c r="CS60" s="187"/>
      <c r="CT60" s="187"/>
      <c r="CU60" s="187"/>
      <c r="CV60" s="187"/>
      <c r="CW60" s="187"/>
      <c r="CX60" s="187"/>
      <c r="CY60" s="188"/>
      <c r="CZ60" s="186"/>
      <c r="DA60" s="187"/>
      <c r="DB60" s="187"/>
      <c r="DC60" s="187"/>
      <c r="DD60" s="187"/>
      <c r="DE60" s="187"/>
      <c r="DF60" s="187"/>
      <c r="DG60" s="187"/>
      <c r="DH60" s="187"/>
      <c r="DI60" s="187"/>
      <c r="DJ60" s="188"/>
      <c r="DK60" s="186"/>
      <c r="DL60" s="187"/>
      <c r="DM60" s="187"/>
      <c r="DN60" s="187"/>
      <c r="DO60" s="187"/>
      <c r="DP60" s="187"/>
      <c r="DQ60" s="187"/>
      <c r="DR60" s="187"/>
      <c r="DS60" s="187"/>
      <c r="DT60" s="187"/>
      <c r="DU60" s="188"/>
    </row>
    <row r="61" hidden="1">
      <c r="A61" s="187"/>
      <c r="B61" s="64"/>
      <c r="C61" s="64"/>
      <c r="D61" s="64"/>
      <c r="E61" s="186"/>
      <c r="F61" s="187"/>
      <c r="G61" s="187"/>
      <c r="H61" s="187"/>
      <c r="I61" s="187"/>
      <c r="J61" s="187"/>
      <c r="K61" s="187"/>
      <c r="L61" s="187"/>
      <c r="M61" s="187"/>
      <c r="N61" s="187"/>
      <c r="O61" s="188"/>
      <c r="P61" s="186"/>
      <c r="Q61" s="187"/>
      <c r="R61" s="187"/>
      <c r="S61" s="187"/>
      <c r="T61" s="187"/>
      <c r="U61" s="187"/>
      <c r="V61" s="187"/>
      <c r="W61" s="187"/>
      <c r="X61" s="187"/>
      <c r="Y61" s="187"/>
      <c r="Z61" s="188"/>
      <c r="AA61" s="186"/>
      <c r="AB61" s="187"/>
      <c r="AC61" s="187"/>
      <c r="AD61" s="187"/>
      <c r="AE61" s="187"/>
      <c r="AF61" s="187"/>
      <c r="AG61" s="187"/>
      <c r="AH61" s="187"/>
      <c r="AI61" s="187"/>
      <c r="AJ61" s="187"/>
      <c r="AK61" s="188"/>
      <c r="AL61" s="186"/>
      <c r="AM61" s="187"/>
      <c r="AN61" s="187"/>
      <c r="AO61" s="187"/>
      <c r="AP61" s="187"/>
      <c r="AQ61" s="187"/>
      <c r="AR61" s="187"/>
      <c r="AS61" s="187"/>
      <c r="AT61" s="187"/>
      <c r="AU61" s="187"/>
      <c r="AV61" s="188"/>
      <c r="AW61" s="186"/>
      <c r="AX61" s="187"/>
      <c r="AY61" s="187"/>
      <c r="AZ61" s="187"/>
      <c r="BA61" s="187"/>
      <c r="BB61" s="187"/>
      <c r="BC61" s="187"/>
      <c r="BD61" s="187"/>
      <c r="BE61" s="187"/>
      <c r="BF61" s="187"/>
      <c r="BG61" s="188"/>
      <c r="BH61" s="186"/>
      <c r="BI61" s="187"/>
      <c r="BJ61" s="187"/>
      <c r="BK61" s="187"/>
      <c r="BL61" s="187"/>
      <c r="BM61" s="187"/>
      <c r="BN61" s="187"/>
      <c r="BO61" s="187"/>
      <c r="BP61" s="187"/>
      <c r="BQ61" s="187"/>
      <c r="BR61" s="188"/>
      <c r="BS61" s="186"/>
      <c r="BT61" s="187"/>
      <c r="BU61" s="187"/>
      <c r="BV61" s="187"/>
      <c r="BW61" s="187"/>
      <c r="BX61" s="187"/>
      <c r="BY61" s="187"/>
      <c r="BZ61" s="187"/>
      <c r="CA61" s="187"/>
      <c r="CB61" s="187"/>
      <c r="CC61" s="188"/>
      <c r="CD61" s="186"/>
      <c r="CE61" s="187"/>
      <c r="CF61" s="187"/>
      <c r="CG61" s="187"/>
      <c r="CH61" s="187"/>
      <c r="CI61" s="187"/>
      <c r="CJ61" s="187"/>
      <c r="CK61" s="187"/>
      <c r="CL61" s="187"/>
      <c r="CM61" s="187"/>
      <c r="CN61" s="188"/>
      <c r="CO61" s="186"/>
      <c r="CP61" s="187"/>
      <c r="CQ61" s="187"/>
      <c r="CR61" s="187"/>
      <c r="CS61" s="187"/>
      <c r="CT61" s="187"/>
      <c r="CU61" s="187"/>
      <c r="CV61" s="187"/>
      <c r="CW61" s="187"/>
      <c r="CX61" s="187"/>
      <c r="CY61" s="188"/>
      <c r="CZ61" s="186"/>
      <c r="DA61" s="187"/>
      <c r="DB61" s="187"/>
      <c r="DC61" s="187"/>
      <c r="DD61" s="187"/>
      <c r="DE61" s="187"/>
      <c r="DF61" s="187"/>
      <c r="DG61" s="187"/>
      <c r="DH61" s="187"/>
      <c r="DI61" s="187"/>
      <c r="DJ61" s="188"/>
      <c r="DK61" s="186"/>
      <c r="DL61" s="187"/>
      <c r="DM61" s="187"/>
      <c r="DN61" s="187"/>
      <c r="DO61" s="187"/>
      <c r="DP61" s="187"/>
      <c r="DQ61" s="187"/>
      <c r="DR61" s="187"/>
      <c r="DS61" s="187"/>
      <c r="DT61" s="187"/>
      <c r="DU61" s="188"/>
    </row>
    <row r="62" hidden="1">
      <c r="A62" s="187"/>
      <c r="B62" s="64"/>
      <c r="C62" s="64"/>
      <c r="D62" s="64"/>
      <c r="E62" s="186"/>
      <c r="F62" s="187"/>
      <c r="G62" s="187"/>
      <c r="H62" s="187"/>
      <c r="I62" s="187"/>
      <c r="J62" s="187"/>
      <c r="K62" s="187"/>
      <c r="L62" s="187"/>
      <c r="M62" s="187"/>
      <c r="N62" s="187"/>
      <c r="O62" s="188"/>
      <c r="P62" s="186"/>
      <c r="Q62" s="187"/>
      <c r="R62" s="187"/>
      <c r="S62" s="187"/>
      <c r="T62" s="187"/>
      <c r="U62" s="187"/>
      <c r="V62" s="187"/>
      <c r="W62" s="187"/>
      <c r="X62" s="187"/>
      <c r="Y62" s="187"/>
      <c r="Z62" s="188"/>
      <c r="AA62" s="186"/>
      <c r="AB62" s="187"/>
      <c r="AC62" s="187"/>
      <c r="AD62" s="187"/>
      <c r="AE62" s="187"/>
      <c r="AF62" s="187"/>
      <c r="AG62" s="187"/>
      <c r="AH62" s="187"/>
      <c r="AI62" s="187"/>
      <c r="AJ62" s="187"/>
      <c r="AK62" s="188"/>
      <c r="AL62" s="186"/>
      <c r="AM62" s="187"/>
      <c r="AN62" s="187"/>
      <c r="AO62" s="187"/>
      <c r="AP62" s="187"/>
      <c r="AQ62" s="187"/>
      <c r="AR62" s="187"/>
      <c r="AS62" s="187"/>
      <c r="AT62" s="187"/>
      <c r="AU62" s="187"/>
      <c r="AV62" s="188"/>
      <c r="AW62" s="186"/>
      <c r="AX62" s="187"/>
      <c r="AY62" s="187"/>
      <c r="AZ62" s="187"/>
      <c r="BA62" s="187"/>
      <c r="BB62" s="187"/>
      <c r="BC62" s="187"/>
      <c r="BD62" s="187"/>
      <c r="BE62" s="187"/>
      <c r="BF62" s="187"/>
      <c r="BG62" s="188"/>
      <c r="BH62" s="186"/>
      <c r="BI62" s="187"/>
      <c r="BJ62" s="187"/>
      <c r="BK62" s="187"/>
      <c r="BL62" s="187"/>
      <c r="BM62" s="187"/>
      <c r="BN62" s="187"/>
      <c r="BO62" s="187"/>
      <c r="BP62" s="187"/>
      <c r="BQ62" s="187"/>
      <c r="BR62" s="188"/>
      <c r="BS62" s="186"/>
      <c r="BT62" s="187"/>
      <c r="BU62" s="187"/>
      <c r="BV62" s="187"/>
      <c r="BW62" s="187"/>
      <c r="BX62" s="187"/>
      <c r="BY62" s="187"/>
      <c r="BZ62" s="187"/>
      <c r="CA62" s="187"/>
      <c r="CB62" s="187"/>
      <c r="CC62" s="188"/>
      <c r="CD62" s="186"/>
      <c r="CE62" s="187"/>
      <c r="CF62" s="187"/>
      <c r="CG62" s="187"/>
      <c r="CH62" s="187"/>
      <c r="CI62" s="187"/>
      <c r="CJ62" s="187"/>
      <c r="CK62" s="187"/>
      <c r="CL62" s="187"/>
      <c r="CM62" s="187"/>
      <c r="CN62" s="188"/>
      <c r="CO62" s="186"/>
      <c r="CP62" s="187"/>
      <c r="CQ62" s="187"/>
      <c r="CR62" s="187"/>
      <c r="CS62" s="187"/>
      <c r="CT62" s="187"/>
      <c r="CU62" s="187"/>
      <c r="CV62" s="187"/>
      <c r="CW62" s="187"/>
      <c r="CX62" s="187"/>
      <c r="CY62" s="188"/>
      <c r="CZ62" s="186"/>
      <c r="DA62" s="187"/>
      <c r="DB62" s="187"/>
      <c r="DC62" s="187"/>
      <c r="DD62" s="187"/>
      <c r="DE62" s="187"/>
      <c r="DF62" s="187"/>
      <c r="DG62" s="187"/>
      <c r="DH62" s="187"/>
      <c r="DI62" s="187"/>
      <c r="DJ62" s="188"/>
      <c r="DK62" s="186"/>
      <c r="DL62" s="187"/>
      <c r="DM62" s="187"/>
      <c r="DN62" s="187"/>
      <c r="DO62" s="187"/>
      <c r="DP62" s="187"/>
      <c r="DQ62" s="187"/>
      <c r="DR62" s="187"/>
      <c r="DS62" s="187"/>
      <c r="DT62" s="187"/>
      <c r="DU62" s="188"/>
    </row>
    <row r="63" hidden="1">
      <c r="A63" s="187"/>
      <c r="B63" s="64"/>
      <c r="C63" s="64"/>
      <c r="D63" s="64"/>
      <c r="E63" s="186"/>
      <c r="F63" s="187"/>
      <c r="G63" s="187"/>
      <c r="H63" s="187"/>
      <c r="I63" s="187"/>
      <c r="J63" s="187"/>
      <c r="K63" s="187"/>
      <c r="L63" s="187"/>
      <c r="M63" s="187"/>
      <c r="N63" s="187"/>
      <c r="O63" s="188"/>
      <c r="P63" s="186"/>
      <c r="Q63" s="187"/>
      <c r="R63" s="187"/>
      <c r="S63" s="187"/>
      <c r="T63" s="187"/>
      <c r="U63" s="187"/>
      <c r="V63" s="187"/>
      <c r="W63" s="187"/>
      <c r="X63" s="187"/>
      <c r="Y63" s="187"/>
      <c r="Z63" s="188"/>
      <c r="AA63" s="186"/>
      <c r="AB63" s="187"/>
      <c r="AC63" s="187"/>
      <c r="AD63" s="187"/>
      <c r="AE63" s="187"/>
      <c r="AF63" s="187"/>
      <c r="AG63" s="187"/>
      <c r="AH63" s="187"/>
      <c r="AI63" s="187"/>
      <c r="AJ63" s="187"/>
      <c r="AK63" s="188"/>
      <c r="AL63" s="186"/>
      <c r="AM63" s="187"/>
      <c r="AN63" s="187"/>
      <c r="AO63" s="187"/>
      <c r="AP63" s="187"/>
      <c r="AQ63" s="187"/>
      <c r="AR63" s="187"/>
      <c r="AS63" s="187"/>
      <c r="AT63" s="187"/>
      <c r="AU63" s="187"/>
      <c r="AV63" s="188"/>
      <c r="AW63" s="186"/>
      <c r="AX63" s="187"/>
      <c r="AY63" s="187"/>
      <c r="AZ63" s="187"/>
      <c r="BA63" s="187"/>
      <c r="BB63" s="187"/>
      <c r="BC63" s="187"/>
      <c r="BD63" s="187"/>
      <c r="BE63" s="187"/>
      <c r="BF63" s="187"/>
      <c r="BG63" s="188"/>
      <c r="BH63" s="186"/>
      <c r="BI63" s="187"/>
      <c r="BJ63" s="187"/>
      <c r="BK63" s="187"/>
      <c r="BL63" s="187"/>
      <c r="BM63" s="187"/>
      <c r="BN63" s="187"/>
      <c r="BO63" s="187"/>
      <c r="BP63" s="187"/>
      <c r="BQ63" s="187"/>
      <c r="BR63" s="188"/>
      <c r="BS63" s="186"/>
      <c r="BT63" s="187"/>
      <c r="BU63" s="187"/>
      <c r="BV63" s="187"/>
      <c r="BW63" s="187"/>
      <c r="BX63" s="187"/>
      <c r="BY63" s="187"/>
      <c r="BZ63" s="187"/>
      <c r="CA63" s="187"/>
      <c r="CB63" s="187"/>
      <c r="CC63" s="188"/>
      <c r="CD63" s="186"/>
      <c r="CE63" s="187"/>
      <c r="CF63" s="187"/>
      <c r="CG63" s="187"/>
      <c r="CH63" s="187"/>
      <c r="CI63" s="187"/>
      <c r="CJ63" s="187"/>
      <c r="CK63" s="187"/>
      <c r="CL63" s="187"/>
      <c r="CM63" s="187"/>
      <c r="CN63" s="188"/>
      <c r="CO63" s="186"/>
      <c r="CP63" s="187"/>
      <c r="CQ63" s="187"/>
      <c r="CR63" s="187"/>
      <c r="CS63" s="187"/>
      <c r="CT63" s="187"/>
      <c r="CU63" s="187"/>
      <c r="CV63" s="187"/>
      <c r="CW63" s="187"/>
      <c r="CX63" s="187"/>
      <c r="CY63" s="188"/>
      <c r="CZ63" s="186"/>
      <c r="DA63" s="187"/>
      <c r="DB63" s="187"/>
      <c r="DC63" s="187"/>
      <c r="DD63" s="187"/>
      <c r="DE63" s="187"/>
      <c r="DF63" s="187"/>
      <c r="DG63" s="187"/>
      <c r="DH63" s="187"/>
      <c r="DI63" s="187"/>
      <c r="DJ63" s="188"/>
      <c r="DK63" s="186"/>
      <c r="DL63" s="187"/>
      <c r="DM63" s="187"/>
      <c r="DN63" s="187"/>
      <c r="DO63" s="187"/>
      <c r="DP63" s="187"/>
      <c r="DQ63" s="187"/>
      <c r="DR63" s="187"/>
      <c r="DS63" s="187"/>
      <c r="DT63" s="187"/>
      <c r="DU63" s="188"/>
    </row>
    <row r="64" hidden="1">
      <c r="A64" s="187"/>
      <c r="B64" s="64"/>
      <c r="C64" s="64"/>
      <c r="D64" s="64"/>
      <c r="E64" s="186"/>
      <c r="F64" s="187"/>
      <c r="G64" s="187"/>
      <c r="H64" s="187"/>
      <c r="I64" s="187"/>
      <c r="J64" s="187"/>
      <c r="K64" s="187"/>
      <c r="L64" s="187"/>
      <c r="M64" s="187"/>
      <c r="N64" s="187"/>
      <c r="O64" s="188"/>
      <c r="P64" s="186"/>
      <c r="Q64" s="187"/>
      <c r="R64" s="187"/>
      <c r="S64" s="187"/>
      <c r="T64" s="187"/>
      <c r="U64" s="187"/>
      <c r="V64" s="187"/>
      <c r="W64" s="187"/>
      <c r="X64" s="187"/>
      <c r="Y64" s="187"/>
      <c r="Z64" s="188"/>
      <c r="AA64" s="186"/>
      <c r="AB64" s="187"/>
      <c r="AC64" s="187"/>
      <c r="AD64" s="187"/>
      <c r="AE64" s="187"/>
      <c r="AF64" s="187"/>
      <c r="AG64" s="187"/>
      <c r="AH64" s="187"/>
      <c r="AI64" s="187"/>
      <c r="AJ64" s="187"/>
      <c r="AK64" s="188"/>
      <c r="AL64" s="186"/>
      <c r="AM64" s="187"/>
      <c r="AN64" s="187"/>
      <c r="AO64" s="187"/>
      <c r="AP64" s="187"/>
      <c r="AQ64" s="187"/>
      <c r="AR64" s="187"/>
      <c r="AS64" s="187"/>
      <c r="AT64" s="187"/>
      <c r="AU64" s="187"/>
      <c r="AV64" s="188"/>
      <c r="AW64" s="186"/>
      <c r="AX64" s="187"/>
      <c r="AY64" s="187"/>
      <c r="AZ64" s="187"/>
      <c r="BA64" s="187"/>
      <c r="BB64" s="187"/>
      <c r="BC64" s="187"/>
      <c r="BD64" s="187"/>
      <c r="BE64" s="187"/>
      <c r="BF64" s="187"/>
      <c r="BG64" s="188"/>
      <c r="BH64" s="186"/>
      <c r="BI64" s="187"/>
      <c r="BJ64" s="187"/>
      <c r="BK64" s="187"/>
      <c r="BL64" s="187"/>
      <c r="BM64" s="187"/>
      <c r="BN64" s="187"/>
      <c r="BO64" s="187"/>
      <c r="BP64" s="187"/>
      <c r="BQ64" s="187"/>
      <c r="BR64" s="188"/>
      <c r="BS64" s="186"/>
      <c r="BT64" s="187"/>
      <c r="BU64" s="187"/>
      <c r="BV64" s="187"/>
      <c r="BW64" s="187"/>
      <c r="BX64" s="187"/>
      <c r="BY64" s="187"/>
      <c r="BZ64" s="187"/>
      <c r="CA64" s="187"/>
      <c r="CB64" s="187"/>
      <c r="CC64" s="188"/>
      <c r="CD64" s="186"/>
      <c r="CE64" s="187"/>
      <c r="CF64" s="187"/>
      <c r="CG64" s="187"/>
      <c r="CH64" s="187"/>
      <c r="CI64" s="187"/>
      <c r="CJ64" s="187"/>
      <c r="CK64" s="187"/>
      <c r="CL64" s="187"/>
      <c r="CM64" s="187"/>
      <c r="CN64" s="188"/>
      <c r="CO64" s="186"/>
      <c r="CP64" s="187"/>
      <c r="CQ64" s="187"/>
      <c r="CR64" s="187"/>
      <c r="CS64" s="187"/>
      <c r="CT64" s="187"/>
      <c r="CU64" s="187"/>
      <c r="CV64" s="187"/>
      <c r="CW64" s="187"/>
      <c r="CX64" s="187"/>
      <c r="CY64" s="188"/>
      <c r="CZ64" s="186"/>
      <c r="DA64" s="187"/>
      <c r="DB64" s="187"/>
      <c r="DC64" s="187"/>
      <c r="DD64" s="187"/>
      <c r="DE64" s="187"/>
      <c r="DF64" s="187"/>
      <c r="DG64" s="187"/>
      <c r="DH64" s="187"/>
      <c r="DI64" s="187"/>
      <c r="DJ64" s="188"/>
      <c r="DK64" s="186"/>
      <c r="DL64" s="187"/>
      <c r="DM64" s="187"/>
      <c r="DN64" s="187"/>
      <c r="DO64" s="187"/>
      <c r="DP64" s="187"/>
      <c r="DQ64" s="187"/>
      <c r="DR64" s="187"/>
      <c r="DS64" s="187"/>
      <c r="DT64" s="187"/>
      <c r="DU64" s="188"/>
    </row>
    <row r="65" hidden="1">
      <c r="A65" s="187"/>
      <c r="B65" s="64"/>
      <c r="C65" s="64"/>
      <c r="D65" s="64"/>
      <c r="E65" s="186"/>
      <c r="F65" s="187"/>
      <c r="G65" s="187"/>
      <c r="H65" s="187"/>
      <c r="I65" s="187"/>
      <c r="J65" s="187"/>
      <c r="K65" s="187"/>
      <c r="L65" s="187"/>
      <c r="M65" s="187"/>
      <c r="N65" s="187"/>
      <c r="O65" s="188"/>
      <c r="P65" s="186"/>
      <c r="Q65" s="187"/>
      <c r="R65" s="187"/>
      <c r="S65" s="187"/>
      <c r="T65" s="187"/>
      <c r="U65" s="187"/>
      <c r="V65" s="187"/>
      <c r="W65" s="187"/>
      <c r="X65" s="187"/>
      <c r="Y65" s="187"/>
      <c r="Z65" s="188"/>
      <c r="AA65" s="186"/>
      <c r="AB65" s="187"/>
      <c r="AC65" s="187"/>
      <c r="AD65" s="187"/>
      <c r="AE65" s="187"/>
      <c r="AF65" s="187"/>
      <c r="AG65" s="187"/>
      <c r="AH65" s="187"/>
      <c r="AI65" s="187"/>
      <c r="AJ65" s="187"/>
      <c r="AK65" s="188"/>
      <c r="AL65" s="186"/>
      <c r="AM65" s="187"/>
      <c r="AN65" s="187"/>
      <c r="AO65" s="187"/>
      <c r="AP65" s="187"/>
      <c r="AQ65" s="187"/>
      <c r="AR65" s="187"/>
      <c r="AS65" s="187"/>
      <c r="AT65" s="187"/>
      <c r="AU65" s="187"/>
      <c r="AV65" s="188"/>
      <c r="AW65" s="186"/>
      <c r="AX65" s="187"/>
      <c r="AY65" s="187"/>
      <c r="AZ65" s="187"/>
      <c r="BA65" s="187"/>
      <c r="BB65" s="187"/>
      <c r="BC65" s="187"/>
      <c r="BD65" s="187"/>
      <c r="BE65" s="187"/>
      <c r="BF65" s="187"/>
      <c r="BG65" s="188"/>
      <c r="BH65" s="186"/>
      <c r="BI65" s="187"/>
      <c r="BJ65" s="187"/>
      <c r="BK65" s="187"/>
      <c r="BL65" s="187"/>
      <c r="BM65" s="187"/>
      <c r="BN65" s="187"/>
      <c r="BO65" s="187"/>
      <c r="BP65" s="187"/>
      <c r="BQ65" s="187"/>
      <c r="BR65" s="188"/>
      <c r="BS65" s="186"/>
      <c r="BT65" s="187"/>
      <c r="BU65" s="187"/>
      <c r="BV65" s="187"/>
      <c r="BW65" s="187"/>
      <c r="BX65" s="187"/>
      <c r="BY65" s="187"/>
      <c r="BZ65" s="187"/>
      <c r="CA65" s="187"/>
      <c r="CB65" s="187"/>
      <c r="CC65" s="188"/>
      <c r="CD65" s="186"/>
      <c r="CE65" s="187"/>
      <c r="CF65" s="187"/>
      <c r="CG65" s="187"/>
      <c r="CH65" s="187"/>
      <c r="CI65" s="187"/>
      <c r="CJ65" s="187"/>
      <c r="CK65" s="187"/>
      <c r="CL65" s="187"/>
      <c r="CM65" s="187"/>
      <c r="CN65" s="188"/>
      <c r="CO65" s="186"/>
      <c r="CP65" s="187"/>
      <c r="CQ65" s="187"/>
      <c r="CR65" s="187"/>
      <c r="CS65" s="187"/>
      <c r="CT65" s="187"/>
      <c r="CU65" s="187"/>
      <c r="CV65" s="187"/>
      <c r="CW65" s="187"/>
      <c r="CX65" s="187"/>
      <c r="CY65" s="188"/>
      <c r="CZ65" s="186"/>
      <c r="DA65" s="187"/>
      <c r="DB65" s="187"/>
      <c r="DC65" s="187"/>
      <c r="DD65" s="187"/>
      <c r="DE65" s="187"/>
      <c r="DF65" s="187"/>
      <c r="DG65" s="187"/>
      <c r="DH65" s="187"/>
      <c r="DI65" s="187"/>
      <c r="DJ65" s="188"/>
      <c r="DK65" s="186"/>
      <c r="DL65" s="187"/>
      <c r="DM65" s="187"/>
      <c r="DN65" s="187"/>
      <c r="DO65" s="187"/>
      <c r="DP65" s="187"/>
      <c r="DQ65" s="187"/>
      <c r="DR65" s="187"/>
      <c r="DS65" s="187"/>
      <c r="DT65" s="187"/>
      <c r="DU65" s="188"/>
    </row>
    <row r="66" hidden="1">
      <c r="A66" s="187"/>
      <c r="B66" s="64"/>
      <c r="C66" s="64"/>
      <c r="D66" s="64"/>
      <c r="E66" s="186"/>
      <c r="F66" s="187"/>
      <c r="G66" s="187"/>
      <c r="H66" s="187"/>
      <c r="I66" s="187"/>
      <c r="J66" s="187"/>
      <c r="K66" s="187"/>
      <c r="L66" s="187"/>
      <c r="M66" s="187"/>
      <c r="N66" s="187"/>
      <c r="O66" s="188"/>
      <c r="P66" s="186"/>
      <c r="Q66" s="187"/>
      <c r="R66" s="187"/>
      <c r="S66" s="187"/>
      <c r="T66" s="187"/>
      <c r="U66" s="187"/>
      <c r="V66" s="187"/>
      <c r="W66" s="187"/>
      <c r="X66" s="187"/>
      <c r="Y66" s="187"/>
      <c r="Z66" s="188"/>
      <c r="AA66" s="186"/>
      <c r="AB66" s="187"/>
      <c r="AC66" s="187"/>
      <c r="AD66" s="187"/>
      <c r="AE66" s="187"/>
      <c r="AF66" s="187"/>
      <c r="AG66" s="187"/>
      <c r="AH66" s="187"/>
      <c r="AI66" s="187"/>
      <c r="AJ66" s="187"/>
      <c r="AK66" s="188"/>
      <c r="AL66" s="186"/>
      <c r="AM66" s="187"/>
      <c r="AN66" s="187"/>
      <c r="AO66" s="187"/>
      <c r="AP66" s="187"/>
      <c r="AQ66" s="187"/>
      <c r="AR66" s="187"/>
      <c r="AS66" s="187"/>
      <c r="AT66" s="187"/>
      <c r="AU66" s="187"/>
      <c r="AV66" s="188"/>
      <c r="AW66" s="186"/>
      <c r="AX66" s="187"/>
      <c r="AY66" s="187"/>
      <c r="AZ66" s="187"/>
      <c r="BA66" s="187"/>
      <c r="BB66" s="187"/>
      <c r="BC66" s="187"/>
      <c r="BD66" s="187"/>
      <c r="BE66" s="187"/>
      <c r="BF66" s="187"/>
      <c r="BG66" s="188"/>
      <c r="BH66" s="186"/>
      <c r="BI66" s="187"/>
      <c r="BJ66" s="187"/>
      <c r="BK66" s="187"/>
      <c r="BL66" s="187"/>
      <c r="BM66" s="187"/>
      <c r="BN66" s="187"/>
      <c r="BO66" s="187"/>
      <c r="BP66" s="187"/>
      <c r="BQ66" s="187"/>
      <c r="BR66" s="188"/>
      <c r="BS66" s="186"/>
      <c r="BT66" s="187"/>
      <c r="BU66" s="187"/>
      <c r="BV66" s="187"/>
      <c r="BW66" s="187"/>
      <c r="BX66" s="187"/>
      <c r="BY66" s="187"/>
      <c r="BZ66" s="187"/>
      <c r="CA66" s="187"/>
      <c r="CB66" s="187"/>
      <c r="CC66" s="188"/>
      <c r="CD66" s="186"/>
      <c r="CE66" s="187"/>
      <c r="CF66" s="187"/>
      <c r="CG66" s="187"/>
      <c r="CH66" s="187"/>
      <c r="CI66" s="187"/>
      <c r="CJ66" s="187"/>
      <c r="CK66" s="187"/>
      <c r="CL66" s="187"/>
      <c r="CM66" s="187"/>
      <c r="CN66" s="188"/>
      <c r="CO66" s="186"/>
      <c r="CP66" s="187"/>
      <c r="CQ66" s="187"/>
      <c r="CR66" s="187"/>
      <c r="CS66" s="187"/>
      <c r="CT66" s="187"/>
      <c r="CU66" s="187"/>
      <c r="CV66" s="187"/>
      <c r="CW66" s="187"/>
      <c r="CX66" s="187"/>
      <c r="CY66" s="188"/>
      <c r="CZ66" s="186"/>
      <c r="DA66" s="187"/>
      <c r="DB66" s="187"/>
      <c r="DC66" s="187"/>
      <c r="DD66" s="187"/>
      <c r="DE66" s="187"/>
      <c r="DF66" s="187"/>
      <c r="DG66" s="187"/>
      <c r="DH66" s="187"/>
      <c r="DI66" s="187"/>
      <c r="DJ66" s="188"/>
      <c r="DK66" s="186"/>
      <c r="DL66" s="187"/>
      <c r="DM66" s="187"/>
      <c r="DN66" s="187"/>
      <c r="DO66" s="187"/>
      <c r="DP66" s="187"/>
      <c r="DQ66" s="187"/>
      <c r="DR66" s="187"/>
      <c r="DS66" s="187"/>
      <c r="DT66" s="187"/>
      <c r="DU66" s="188"/>
    </row>
    <row r="67" hidden="1">
      <c r="A67" s="187"/>
      <c r="B67" s="64"/>
      <c r="C67" s="64"/>
      <c r="D67" s="64"/>
      <c r="E67" s="186"/>
      <c r="F67" s="187"/>
      <c r="G67" s="187"/>
      <c r="H67" s="187"/>
      <c r="I67" s="187"/>
      <c r="J67" s="187"/>
      <c r="K67" s="187"/>
      <c r="L67" s="187"/>
      <c r="M67" s="187"/>
      <c r="N67" s="187"/>
      <c r="O67" s="188"/>
      <c r="P67" s="186"/>
      <c r="Q67" s="187"/>
      <c r="R67" s="187"/>
      <c r="S67" s="187"/>
      <c r="T67" s="187"/>
      <c r="U67" s="187"/>
      <c r="V67" s="187"/>
      <c r="W67" s="187"/>
      <c r="X67" s="187"/>
      <c r="Y67" s="187"/>
      <c r="Z67" s="188"/>
      <c r="AA67" s="186"/>
      <c r="AB67" s="187"/>
      <c r="AC67" s="187"/>
      <c r="AD67" s="187"/>
      <c r="AE67" s="187"/>
      <c r="AF67" s="187"/>
      <c r="AG67" s="187"/>
      <c r="AH67" s="187"/>
      <c r="AI67" s="187"/>
      <c r="AJ67" s="187"/>
      <c r="AK67" s="188"/>
      <c r="AL67" s="186"/>
      <c r="AM67" s="187"/>
      <c r="AN67" s="187"/>
      <c r="AO67" s="187"/>
      <c r="AP67" s="187"/>
      <c r="AQ67" s="187"/>
      <c r="AR67" s="187"/>
      <c r="AS67" s="187"/>
      <c r="AT67" s="187"/>
      <c r="AU67" s="187"/>
      <c r="AV67" s="188"/>
      <c r="AW67" s="186"/>
      <c r="AX67" s="187"/>
      <c r="AY67" s="187"/>
      <c r="AZ67" s="187"/>
      <c r="BA67" s="187"/>
      <c r="BB67" s="187"/>
      <c r="BC67" s="187"/>
      <c r="BD67" s="187"/>
      <c r="BE67" s="187"/>
      <c r="BF67" s="187"/>
      <c r="BG67" s="188"/>
      <c r="BH67" s="186"/>
      <c r="BI67" s="187"/>
      <c r="BJ67" s="187"/>
      <c r="BK67" s="187"/>
      <c r="BL67" s="187"/>
      <c r="BM67" s="187"/>
      <c r="BN67" s="187"/>
      <c r="BO67" s="187"/>
      <c r="BP67" s="187"/>
      <c r="BQ67" s="187"/>
      <c r="BR67" s="188"/>
      <c r="BS67" s="186"/>
      <c r="BT67" s="187"/>
      <c r="BU67" s="187"/>
      <c r="BV67" s="187"/>
      <c r="BW67" s="187"/>
      <c r="BX67" s="187"/>
      <c r="BY67" s="187"/>
      <c r="BZ67" s="187"/>
      <c r="CA67" s="187"/>
      <c r="CB67" s="187"/>
      <c r="CC67" s="188"/>
      <c r="CD67" s="186"/>
      <c r="CE67" s="187"/>
      <c r="CF67" s="187"/>
      <c r="CG67" s="187"/>
      <c r="CH67" s="187"/>
      <c r="CI67" s="187"/>
      <c r="CJ67" s="187"/>
      <c r="CK67" s="187"/>
      <c r="CL67" s="187"/>
      <c r="CM67" s="187"/>
      <c r="CN67" s="188"/>
      <c r="CO67" s="186"/>
      <c r="CP67" s="187"/>
      <c r="CQ67" s="187"/>
      <c r="CR67" s="187"/>
      <c r="CS67" s="187"/>
      <c r="CT67" s="187"/>
      <c r="CU67" s="187"/>
      <c r="CV67" s="187"/>
      <c r="CW67" s="187"/>
      <c r="CX67" s="187"/>
      <c r="CY67" s="188"/>
      <c r="CZ67" s="186"/>
      <c r="DA67" s="187"/>
      <c r="DB67" s="187"/>
      <c r="DC67" s="187"/>
      <c r="DD67" s="187"/>
      <c r="DE67" s="187"/>
      <c r="DF67" s="187"/>
      <c r="DG67" s="187"/>
      <c r="DH67" s="187"/>
      <c r="DI67" s="187"/>
      <c r="DJ67" s="188"/>
      <c r="DK67" s="186"/>
      <c r="DL67" s="187"/>
      <c r="DM67" s="187"/>
      <c r="DN67" s="187"/>
      <c r="DO67" s="187"/>
      <c r="DP67" s="187"/>
      <c r="DQ67" s="187"/>
      <c r="DR67" s="187"/>
      <c r="DS67" s="187"/>
      <c r="DT67" s="187"/>
      <c r="DU67" s="188"/>
    </row>
    <row r="68" hidden="1">
      <c r="A68" s="187"/>
      <c r="B68" s="64"/>
      <c r="C68" s="64"/>
      <c r="D68" s="64"/>
      <c r="E68" s="186"/>
      <c r="F68" s="187"/>
      <c r="G68" s="187"/>
      <c r="H68" s="187"/>
      <c r="I68" s="187"/>
      <c r="J68" s="187"/>
      <c r="K68" s="187"/>
      <c r="L68" s="187"/>
      <c r="M68" s="187"/>
      <c r="N68" s="187"/>
      <c r="O68" s="188"/>
      <c r="P68" s="186"/>
      <c r="Q68" s="187"/>
      <c r="R68" s="187"/>
      <c r="S68" s="187"/>
      <c r="T68" s="187"/>
      <c r="U68" s="187"/>
      <c r="V68" s="187"/>
      <c r="W68" s="187"/>
      <c r="X68" s="187"/>
      <c r="Y68" s="187"/>
      <c r="Z68" s="188"/>
      <c r="AA68" s="186"/>
      <c r="AB68" s="187"/>
      <c r="AC68" s="187"/>
      <c r="AD68" s="187"/>
      <c r="AE68" s="187"/>
      <c r="AF68" s="187"/>
      <c r="AG68" s="187"/>
      <c r="AH68" s="187"/>
      <c r="AI68" s="187"/>
      <c r="AJ68" s="187"/>
      <c r="AK68" s="188"/>
      <c r="AL68" s="186"/>
      <c r="AM68" s="187"/>
      <c r="AN68" s="187"/>
      <c r="AO68" s="187"/>
      <c r="AP68" s="187"/>
      <c r="AQ68" s="187"/>
      <c r="AR68" s="187"/>
      <c r="AS68" s="187"/>
      <c r="AT68" s="187"/>
      <c r="AU68" s="187"/>
      <c r="AV68" s="188"/>
      <c r="AW68" s="186"/>
      <c r="AX68" s="187"/>
      <c r="AY68" s="187"/>
      <c r="AZ68" s="187"/>
      <c r="BA68" s="187"/>
      <c r="BB68" s="187"/>
      <c r="BC68" s="187"/>
      <c r="BD68" s="187"/>
      <c r="BE68" s="187"/>
      <c r="BF68" s="187"/>
      <c r="BG68" s="188"/>
      <c r="BH68" s="186"/>
      <c r="BI68" s="187"/>
      <c r="BJ68" s="187"/>
      <c r="BK68" s="187"/>
      <c r="BL68" s="187"/>
      <c r="BM68" s="187"/>
      <c r="BN68" s="187"/>
      <c r="BO68" s="187"/>
      <c r="BP68" s="187"/>
      <c r="BQ68" s="187"/>
      <c r="BR68" s="188"/>
      <c r="BS68" s="186"/>
      <c r="BT68" s="187"/>
      <c r="BU68" s="187"/>
      <c r="BV68" s="187"/>
      <c r="BW68" s="187"/>
      <c r="BX68" s="187"/>
      <c r="BY68" s="187"/>
      <c r="BZ68" s="187"/>
      <c r="CA68" s="187"/>
      <c r="CB68" s="187"/>
      <c r="CC68" s="188"/>
      <c r="CD68" s="186"/>
      <c r="CE68" s="187"/>
      <c r="CF68" s="187"/>
      <c r="CG68" s="187"/>
      <c r="CH68" s="187"/>
      <c r="CI68" s="187"/>
      <c r="CJ68" s="187"/>
      <c r="CK68" s="187"/>
      <c r="CL68" s="187"/>
      <c r="CM68" s="187"/>
      <c r="CN68" s="188"/>
      <c r="CO68" s="186"/>
      <c r="CP68" s="187"/>
      <c r="CQ68" s="187"/>
      <c r="CR68" s="187"/>
      <c r="CS68" s="187"/>
      <c r="CT68" s="187"/>
      <c r="CU68" s="187"/>
      <c r="CV68" s="187"/>
      <c r="CW68" s="187"/>
      <c r="CX68" s="187"/>
      <c r="CY68" s="188"/>
      <c r="CZ68" s="186"/>
      <c r="DA68" s="187"/>
      <c r="DB68" s="187"/>
      <c r="DC68" s="187"/>
      <c r="DD68" s="187"/>
      <c r="DE68" s="187"/>
      <c r="DF68" s="187"/>
      <c r="DG68" s="187"/>
      <c r="DH68" s="187"/>
      <c r="DI68" s="187"/>
      <c r="DJ68" s="188"/>
      <c r="DK68" s="186"/>
      <c r="DL68" s="187"/>
      <c r="DM68" s="187"/>
      <c r="DN68" s="187"/>
      <c r="DO68" s="187"/>
      <c r="DP68" s="187"/>
      <c r="DQ68" s="187"/>
      <c r="DR68" s="187"/>
      <c r="DS68" s="187"/>
      <c r="DT68" s="187"/>
      <c r="DU68" s="188"/>
    </row>
    <row r="69" hidden="1">
      <c r="A69" s="187"/>
      <c r="B69" s="64"/>
      <c r="C69" s="64"/>
      <c r="D69" s="64"/>
      <c r="E69" s="186"/>
      <c r="F69" s="187"/>
      <c r="G69" s="187"/>
      <c r="H69" s="187"/>
      <c r="I69" s="187"/>
      <c r="J69" s="187"/>
      <c r="K69" s="187"/>
      <c r="L69" s="187"/>
      <c r="M69" s="187"/>
      <c r="N69" s="187"/>
      <c r="O69" s="188"/>
      <c r="P69" s="186"/>
      <c r="Q69" s="187"/>
      <c r="R69" s="187"/>
      <c r="S69" s="187"/>
      <c r="T69" s="187"/>
      <c r="U69" s="187"/>
      <c r="V69" s="187"/>
      <c r="W69" s="187"/>
      <c r="X69" s="187"/>
      <c r="Y69" s="187"/>
      <c r="Z69" s="188"/>
      <c r="AA69" s="186"/>
      <c r="AB69" s="187"/>
      <c r="AC69" s="187"/>
      <c r="AD69" s="187"/>
      <c r="AE69" s="187"/>
      <c r="AF69" s="187"/>
      <c r="AG69" s="187"/>
      <c r="AH69" s="187"/>
      <c r="AI69" s="187"/>
      <c r="AJ69" s="187"/>
      <c r="AK69" s="188"/>
      <c r="AL69" s="186"/>
      <c r="AM69" s="187"/>
      <c r="AN69" s="187"/>
      <c r="AO69" s="187"/>
      <c r="AP69" s="187"/>
      <c r="AQ69" s="187"/>
      <c r="AR69" s="187"/>
      <c r="AS69" s="187"/>
      <c r="AT69" s="187"/>
      <c r="AU69" s="187"/>
      <c r="AV69" s="188"/>
      <c r="AW69" s="186"/>
      <c r="AX69" s="187"/>
      <c r="AY69" s="187"/>
      <c r="AZ69" s="187"/>
      <c r="BA69" s="187"/>
      <c r="BB69" s="187"/>
      <c r="BC69" s="187"/>
      <c r="BD69" s="187"/>
      <c r="BE69" s="187"/>
      <c r="BF69" s="187"/>
      <c r="BG69" s="188"/>
      <c r="BH69" s="186"/>
      <c r="BI69" s="187"/>
      <c r="BJ69" s="187"/>
      <c r="BK69" s="187"/>
      <c r="BL69" s="187"/>
      <c r="BM69" s="187"/>
      <c r="BN69" s="187"/>
      <c r="BO69" s="187"/>
      <c r="BP69" s="187"/>
      <c r="BQ69" s="187"/>
      <c r="BR69" s="188"/>
      <c r="BS69" s="186"/>
      <c r="BT69" s="187"/>
      <c r="BU69" s="187"/>
      <c r="BV69" s="187"/>
      <c r="BW69" s="187"/>
      <c r="BX69" s="187"/>
      <c r="BY69" s="187"/>
      <c r="BZ69" s="187"/>
      <c r="CA69" s="187"/>
      <c r="CB69" s="187"/>
      <c r="CC69" s="188"/>
      <c r="CD69" s="186"/>
      <c r="CE69" s="187"/>
      <c r="CF69" s="187"/>
      <c r="CG69" s="187"/>
      <c r="CH69" s="187"/>
      <c r="CI69" s="187"/>
      <c r="CJ69" s="187"/>
      <c r="CK69" s="187"/>
      <c r="CL69" s="187"/>
      <c r="CM69" s="187"/>
      <c r="CN69" s="188"/>
      <c r="CO69" s="186"/>
      <c r="CP69" s="187"/>
      <c r="CQ69" s="187"/>
      <c r="CR69" s="187"/>
      <c r="CS69" s="187"/>
      <c r="CT69" s="187"/>
      <c r="CU69" s="187"/>
      <c r="CV69" s="187"/>
      <c r="CW69" s="187"/>
      <c r="CX69" s="187"/>
      <c r="CY69" s="188"/>
      <c r="CZ69" s="186"/>
      <c r="DA69" s="187"/>
      <c r="DB69" s="187"/>
      <c r="DC69" s="187"/>
      <c r="DD69" s="187"/>
      <c r="DE69" s="187"/>
      <c r="DF69" s="187"/>
      <c r="DG69" s="187"/>
      <c r="DH69" s="187"/>
      <c r="DI69" s="187"/>
      <c r="DJ69" s="188"/>
      <c r="DK69" s="186"/>
      <c r="DL69" s="187"/>
      <c r="DM69" s="187"/>
      <c r="DN69" s="187"/>
      <c r="DO69" s="187"/>
      <c r="DP69" s="187"/>
      <c r="DQ69" s="187"/>
      <c r="DR69" s="187"/>
      <c r="DS69" s="187"/>
      <c r="DT69" s="187"/>
      <c r="DU69" s="188"/>
    </row>
    <row r="70" hidden="1">
      <c r="A70" s="187"/>
      <c r="B70" s="64"/>
      <c r="C70" s="64"/>
      <c r="D70" s="64"/>
      <c r="E70" s="186"/>
      <c r="F70" s="187"/>
      <c r="G70" s="187"/>
      <c r="H70" s="187"/>
      <c r="I70" s="187"/>
      <c r="J70" s="187"/>
      <c r="K70" s="187"/>
      <c r="L70" s="187"/>
      <c r="M70" s="187"/>
      <c r="N70" s="187"/>
      <c r="O70" s="188"/>
      <c r="P70" s="186"/>
      <c r="Q70" s="187"/>
      <c r="R70" s="187"/>
      <c r="S70" s="187"/>
      <c r="T70" s="187"/>
      <c r="U70" s="187"/>
      <c r="V70" s="187"/>
      <c r="W70" s="187"/>
      <c r="X70" s="187"/>
      <c r="Y70" s="187"/>
      <c r="Z70" s="188"/>
      <c r="AA70" s="186"/>
      <c r="AB70" s="187"/>
      <c r="AC70" s="187"/>
      <c r="AD70" s="187"/>
      <c r="AE70" s="187"/>
      <c r="AF70" s="187"/>
      <c r="AG70" s="187"/>
      <c r="AH70" s="187"/>
      <c r="AI70" s="187"/>
      <c r="AJ70" s="187"/>
      <c r="AK70" s="188"/>
      <c r="AL70" s="186"/>
      <c r="AM70" s="187"/>
      <c r="AN70" s="187"/>
      <c r="AO70" s="187"/>
      <c r="AP70" s="187"/>
      <c r="AQ70" s="187"/>
      <c r="AR70" s="187"/>
      <c r="AS70" s="187"/>
      <c r="AT70" s="187"/>
      <c r="AU70" s="187"/>
      <c r="AV70" s="188"/>
      <c r="AW70" s="186"/>
      <c r="AX70" s="187"/>
      <c r="AY70" s="187"/>
      <c r="AZ70" s="187"/>
      <c r="BA70" s="187"/>
      <c r="BB70" s="187"/>
      <c r="BC70" s="187"/>
      <c r="BD70" s="187"/>
      <c r="BE70" s="187"/>
      <c r="BF70" s="187"/>
      <c r="BG70" s="188"/>
      <c r="BH70" s="186"/>
      <c r="BI70" s="187"/>
      <c r="BJ70" s="187"/>
      <c r="BK70" s="187"/>
      <c r="BL70" s="187"/>
      <c r="BM70" s="187"/>
      <c r="BN70" s="187"/>
      <c r="BO70" s="187"/>
      <c r="BP70" s="187"/>
      <c r="BQ70" s="187"/>
      <c r="BR70" s="188"/>
      <c r="BS70" s="186"/>
      <c r="BT70" s="187"/>
      <c r="BU70" s="187"/>
      <c r="BV70" s="187"/>
      <c r="BW70" s="187"/>
      <c r="BX70" s="187"/>
      <c r="BY70" s="187"/>
      <c r="BZ70" s="187"/>
      <c r="CA70" s="187"/>
      <c r="CB70" s="187"/>
      <c r="CC70" s="188"/>
      <c r="CD70" s="186"/>
      <c r="CE70" s="187"/>
      <c r="CF70" s="187"/>
      <c r="CG70" s="187"/>
      <c r="CH70" s="187"/>
      <c r="CI70" s="187"/>
      <c r="CJ70" s="187"/>
      <c r="CK70" s="187"/>
      <c r="CL70" s="187"/>
      <c r="CM70" s="187"/>
      <c r="CN70" s="188"/>
      <c r="CO70" s="186"/>
      <c r="CP70" s="187"/>
      <c r="CQ70" s="187"/>
      <c r="CR70" s="187"/>
      <c r="CS70" s="187"/>
      <c r="CT70" s="187"/>
      <c r="CU70" s="187"/>
      <c r="CV70" s="187"/>
      <c r="CW70" s="187"/>
      <c r="CX70" s="187"/>
      <c r="CY70" s="188"/>
      <c r="CZ70" s="186"/>
      <c r="DA70" s="187"/>
      <c r="DB70" s="187"/>
      <c r="DC70" s="187"/>
      <c r="DD70" s="187"/>
      <c r="DE70" s="187"/>
      <c r="DF70" s="187"/>
      <c r="DG70" s="187"/>
      <c r="DH70" s="187"/>
      <c r="DI70" s="187"/>
      <c r="DJ70" s="188"/>
      <c r="DK70" s="186"/>
      <c r="DL70" s="187"/>
      <c r="DM70" s="187"/>
      <c r="DN70" s="187"/>
      <c r="DO70" s="187"/>
      <c r="DP70" s="187"/>
      <c r="DQ70" s="187"/>
      <c r="DR70" s="187"/>
      <c r="DS70" s="187"/>
      <c r="DT70" s="187"/>
      <c r="DU70" s="188"/>
    </row>
    <row r="71" hidden="1">
      <c r="A71" s="187"/>
      <c r="B71" s="64"/>
      <c r="C71" s="64"/>
      <c r="D71" s="64"/>
      <c r="E71" s="186"/>
      <c r="F71" s="187"/>
      <c r="G71" s="187"/>
      <c r="H71" s="187"/>
      <c r="I71" s="187"/>
      <c r="J71" s="187"/>
      <c r="K71" s="187"/>
      <c r="L71" s="187"/>
      <c r="M71" s="187"/>
      <c r="N71" s="187"/>
      <c r="O71" s="188"/>
      <c r="P71" s="186"/>
      <c r="Q71" s="187"/>
      <c r="R71" s="187"/>
      <c r="S71" s="187"/>
      <c r="T71" s="187"/>
      <c r="U71" s="187"/>
      <c r="V71" s="187"/>
      <c r="W71" s="187"/>
      <c r="X71" s="187"/>
      <c r="Y71" s="187"/>
      <c r="Z71" s="188"/>
      <c r="AA71" s="186"/>
      <c r="AB71" s="187"/>
      <c r="AC71" s="187"/>
      <c r="AD71" s="187"/>
      <c r="AE71" s="187"/>
      <c r="AF71" s="187"/>
      <c r="AG71" s="187"/>
      <c r="AH71" s="187"/>
      <c r="AI71" s="187"/>
      <c r="AJ71" s="187"/>
      <c r="AK71" s="188"/>
      <c r="AL71" s="186"/>
      <c r="AM71" s="187"/>
      <c r="AN71" s="187"/>
      <c r="AO71" s="187"/>
      <c r="AP71" s="187"/>
      <c r="AQ71" s="187"/>
      <c r="AR71" s="187"/>
      <c r="AS71" s="187"/>
      <c r="AT71" s="187"/>
      <c r="AU71" s="187"/>
      <c r="AV71" s="188"/>
      <c r="AW71" s="186"/>
      <c r="AX71" s="187"/>
      <c r="AY71" s="187"/>
      <c r="AZ71" s="187"/>
      <c r="BA71" s="187"/>
      <c r="BB71" s="187"/>
      <c r="BC71" s="187"/>
      <c r="BD71" s="187"/>
      <c r="BE71" s="187"/>
      <c r="BF71" s="187"/>
      <c r="BG71" s="188"/>
      <c r="BH71" s="186"/>
      <c r="BI71" s="187"/>
      <c r="BJ71" s="187"/>
      <c r="BK71" s="187"/>
      <c r="BL71" s="187"/>
      <c r="BM71" s="187"/>
      <c r="BN71" s="187"/>
      <c r="BO71" s="187"/>
      <c r="BP71" s="187"/>
      <c r="BQ71" s="187"/>
      <c r="BR71" s="188"/>
      <c r="BS71" s="186"/>
      <c r="BT71" s="187"/>
      <c r="BU71" s="187"/>
      <c r="BV71" s="187"/>
      <c r="BW71" s="187"/>
      <c r="BX71" s="187"/>
      <c r="BY71" s="187"/>
      <c r="BZ71" s="187"/>
      <c r="CA71" s="187"/>
      <c r="CB71" s="187"/>
      <c r="CC71" s="188"/>
      <c r="CD71" s="186"/>
      <c r="CE71" s="187"/>
      <c r="CF71" s="187"/>
      <c r="CG71" s="187"/>
      <c r="CH71" s="187"/>
      <c r="CI71" s="187"/>
      <c r="CJ71" s="187"/>
      <c r="CK71" s="187"/>
      <c r="CL71" s="187"/>
      <c r="CM71" s="187"/>
      <c r="CN71" s="188"/>
      <c r="CO71" s="186"/>
      <c r="CP71" s="187"/>
      <c r="CQ71" s="187"/>
      <c r="CR71" s="187"/>
      <c r="CS71" s="187"/>
      <c r="CT71" s="187"/>
      <c r="CU71" s="187"/>
      <c r="CV71" s="187"/>
      <c r="CW71" s="187"/>
      <c r="CX71" s="187"/>
      <c r="CY71" s="188"/>
      <c r="CZ71" s="186"/>
      <c r="DA71" s="187"/>
      <c r="DB71" s="187"/>
      <c r="DC71" s="187"/>
      <c r="DD71" s="187"/>
      <c r="DE71" s="187"/>
      <c r="DF71" s="187"/>
      <c r="DG71" s="187"/>
      <c r="DH71" s="187"/>
      <c r="DI71" s="187"/>
      <c r="DJ71" s="188"/>
      <c r="DK71" s="186"/>
      <c r="DL71" s="187"/>
      <c r="DM71" s="187"/>
      <c r="DN71" s="187"/>
      <c r="DO71" s="187"/>
      <c r="DP71" s="187"/>
      <c r="DQ71" s="187"/>
      <c r="DR71" s="187"/>
      <c r="DS71" s="187"/>
      <c r="DT71" s="187"/>
      <c r="DU71" s="188"/>
    </row>
    <row r="72" hidden="1">
      <c r="A72" s="187"/>
      <c r="B72" s="64"/>
      <c r="C72" s="64"/>
      <c r="D72" s="64"/>
      <c r="E72" s="186"/>
      <c r="F72" s="187"/>
      <c r="G72" s="187"/>
      <c r="H72" s="187"/>
      <c r="I72" s="187"/>
      <c r="J72" s="187"/>
      <c r="K72" s="187"/>
      <c r="L72" s="187"/>
      <c r="M72" s="187"/>
      <c r="N72" s="187"/>
      <c r="O72" s="188"/>
      <c r="P72" s="186"/>
      <c r="Q72" s="187"/>
      <c r="R72" s="187"/>
      <c r="S72" s="187"/>
      <c r="T72" s="187"/>
      <c r="U72" s="187"/>
      <c r="V72" s="187"/>
      <c r="W72" s="187"/>
      <c r="X72" s="187"/>
      <c r="Y72" s="187"/>
      <c r="Z72" s="188"/>
      <c r="AA72" s="186"/>
      <c r="AB72" s="187"/>
      <c r="AC72" s="187"/>
      <c r="AD72" s="187"/>
      <c r="AE72" s="187"/>
      <c r="AF72" s="187"/>
      <c r="AG72" s="187"/>
      <c r="AH72" s="187"/>
      <c r="AI72" s="187"/>
      <c r="AJ72" s="187"/>
      <c r="AK72" s="188"/>
      <c r="AL72" s="186"/>
      <c r="AM72" s="187"/>
      <c r="AN72" s="187"/>
      <c r="AO72" s="187"/>
      <c r="AP72" s="187"/>
      <c r="AQ72" s="187"/>
      <c r="AR72" s="187"/>
      <c r="AS72" s="187"/>
      <c r="AT72" s="187"/>
      <c r="AU72" s="187"/>
      <c r="AV72" s="188"/>
      <c r="AW72" s="186"/>
      <c r="AX72" s="187"/>
      <c r="AY72" s="187"/>
      <c r="AZ72" s="187"/>
      <c r="BA72" s="187"/>
      <c r="BB72" s="187"/>
      <c r="BC72" s="187"/>
      <c r="BD72" s="187"/>
      <c r="BE72" s="187"/>
      <c r="BF72" s="187"/>
      <c r="BG72" s="188"/>
      <c r="BH72" s="186"/>
      <c r="BI72" s="187"/>
      <c r="BJ72" s="187"/>
      <c r="BK72" s="187"/>
      <c r="BL72" s="187"/>
      <c r="BM72" s="187"/>
      <c r="BN72" s="187"/>
      <c r="BO72" s="187"/>
      <c r="BP72" s="187"/>
      <c r="BQ72" s="187"/>
      <c r="BR72" s="188"/>
      <c r="BS72" s="186"/>
      <c r="BT72" s="187"/>
      <c r="BU72" s="187"/>
      <c r="BV72" s="187"/>
      <c r="BW72" s="187"/>
      <c r="BX72" s="187"/>
      <c r="BY72" s="187"/>
      <c r="BZ72" s="187"/>
      <c r="CA72" s="187"/>
      <c r="CB72" s="187"/>
      <c r="CC72" s="188"/>
      <c r="CD72" s="186"/>
      <c r="CE72" s="187"/>
      <c r="CF72" s="187"/>
      <c r="CG72" s="187"/>
      <c r="CH72" s="187"/>
      <c r="CI72" s="187"/>
      <c r="CJ72" s="187"/>
      <c r="CK72" s="187"/>
      <c r="CL72" s="187"/>
      <c r="CM72" s="187"/>
      <c r="CN72" s="188"/>
      <c r="CO72" s="186"/>
      <c r="CP72" s="187"/>
      <c r="CQ72" s="187"/>
      <c r="CR72" s="187"/>
      <c r="CS72" s="187"/>
      <c r="CT72" s="187"/>
      <c r="CU72" s="187"/>
      <c r="CV72" s="187"/>
      <c r="CW72" s="187"/>
      <c r="CX72" s="187"/>
      <c r="CY72" s="188"/>
      <c r="CZ72" s="186"/>
      <c r="DA72" s="187"/>
      <c r="DB72" s="187"/>
      <c r="DC72" s="187"/>
      <c r="DD72" s="187"/>
      <c r="DE72" s="187"/>
      <c r="DF72" s="187"/>
      <c r="DG72" s="187"/>
      <c r="DH72" s="187"/>
      <c r="DI72" s="187"/>
      <c r="DJ72" s="188"/>
      <c r="DK72" s="186"/>
      <c r="DL72" s="187"/>
      <c r="DM72" s="187"/>
      <c r="DN72" s="187"/>
      <c r="DO72" s="187"/>
      <c r="DP72" s="187"/>
      <c r="DQ72" s="187"/>
      <c r="DR72" s="187"/>
      <c r="DS72" s="187"/>
      <c r="DT72" s="187"/>
      <c r="DU72" s="188"/>
    </row>
    <row r="73" hidden="1">
      <c r="A73" s="187"/>
      <c r="B73" s="64"/>
      <c r="C73" s="64"/>
      <c r="D73" s="64"/>
      <c r="E73" s="186"/>
      <c r="F73" s="187"/>
      <c r="G73" s="187"/>
      <c r="H73" s="187"/>
      <c r="I73" s="187"/>
      <c r="J73" s="187"/>
      <c r="K73" s="187"/>
      <c r="L73" s="187"/>
      <c r="M73" s="187"/>
      <c r="N73" s="187"/>
      <c r="O73" s="188"/>
      <c r="P73" s="186"/>
      <c r="Q73" s="187"/>
      <c r="R73" s="187"/>
      <c r="S73" s="187"/>
      <c r="T73" s="187"/>
      <c r="U73" s="187"/>
      <c r="V73" s="187"/>
      <c r="W73" s="187"/>
      <c r="X73" s="187"/>
      <c r="Y73" s="187"/>
      <c r="Z73" s="188"/>
      <c r="AA73" s="186"/>
      <c r="AB73" s="187"/>
      <c r="AC73" s="187"/>
      <c r="AD73" s="187"/>
      <c r="AE73" s="187"/>
      <c r="AF73" s="187"/>
      <c r="AG73" s="187"/>
      <c r="AH73" s="187"/>
      <c r="AI73" s="187"/>
      <c r="AJ73" s="187"/>
      <c r="AK73" s="188"/>
      <c r="AL73" s="186"/>
      <c r="AM73" s="187"/>
      <c r="AN73" s="187"/>
      <c r="AO73" s="187"/>
      <c r="AP73" s="187"/>
      <c r="AQ73" s="187"/>
      <c r="AR73" s="187"/>
      <c r="AS73" s="187"/>
      <c r="AT73" s="187"/>
      <c r="AU73" s="187"/>
      <c r="AV73" s="188"/>
      <c r="AW73" s="186"/>
      <c r="AX73" s="187"/>
      <c r="AY73" s="187"/>
      <c r="AZ73" s="187"/>
      <c r="BA73" s="187"/>
      <c r="BB73" s="187"/>
      <c r="BC73" s="187"/>
      <c r="BD73" s="187"/>
      <c r="BE73" s="187"/>
      <c r="BF73" s="187"/>
      <c r="BG73" s="188"/>
      <c r="BH73" s="186"/>
      <c r="BI73" s="187"/>
      <c r="BJ73" s="187"/>
      <c r="BK73" s="187"/>
      <c r="BL73" s="187"/>
      <c r="BM73" s="187"/>
      <c r="BN73" s="187"/>
      <c r="BO73" s="187"/>
      <c r="BP73" s="187"/>
      <c r="BQ73" s="187"/>
      <c r="BR73" s="188"/>
      <c r="BS73" s="186"/>
      <c r="BT73" s="187"/>
      <c r="BU73" s="187"/>
      <c r="BV73" s="187"/>
      <c r="BW73" s="187"/>
      <c r="BX73" s="187"/>
      <c r="BY73" s="187"/>
      <c r="BZ73" s="187"/>
      <c r="CA73" s="187"/>
      <c r="CB73" s="187"/>
      <c r="CC73" s="188"/>
      <c r="CD73" s="186"/>
      <c r="CE73" s="187"/>
      <c r="CF73" s="187"/>
      <c r="CG73" s="187"/>
      <c r="CH73" s="187"/>
      <c r="CI73" s="187"/>
      <c r="CJ73" s="187"/>
      <c r="CK73" s="187"/>
      <c r="CL73" s="187"/>
      <c r="CM73" s="187"/>
      <c r="CN73" s="188"/>
      <c r="CO73" s="186"/>
      <c r="CP73" s="187"/>
      <c r="CQ73" s="187"/>
      <c r="CR73" s="187"/>
      <c r="CS73" s="187"/>
      <c r="CT73" s="187"/>
      <c r="CU73" s="187"/>
      <c r="CV73" s="187"/>
      <c r="CW73" s="187"/>
      <c r="CX73" s="187"/>
      <c r="CY73" s="188"/>
      <c r="CZ73" s="186"/>
      <c r="DA73" s="187"/>
      <c r="DB73" s="187"/>
      <c r="DC73" s="187"/>
      <c r="DD73" s="187"/>
      <c r="DE73" s="187"/>
      <c r="DF73" s="187"/>
      <c r="DG73" s="187"/>
      <c r="DH73" s="187"/>
      <c r="DI73" s="187"/>
      <c r="DJ73" s="188"/>
      <c r="DK73" s="186"/>
      <c r="DL73" s="187"/>
      <c r="DM73" s="187"/>
      <c r="DN73" s="187"/>
      <c r="DO73" s="187"/>
      <c r="DP73" s="187"/>
      <c r="DQ73" s="187"/>
      <c r="DR73" s="187"/>
      <c r="DS73" s="187"/>
      <c r="DT73" s="187"/>
      <c r="DU73" s="188"/>
    </row>
    <row r="74" hidden="1">
      <c r="A74" s="187"/>
      <c r="B74" s="64"/>
      <c r="C74" s="64"/>
      <c r="D74" s="64"/>
      <c r="E74" s="186"/>
      <c r="F74" s="187"/>
      <c r="G74" s="187"/>
      <c r="H74" s="187"/>
      <c r="I74" s="187"/>
      <c r="J74" s="187"/>
      <c r="K74" s="187"/>
      <c r="L74" s="187"/>
      <c r="M74" s="187"/>
      <c r="N74" s="187"/>
      <c r="O74" s="188"/>
      <c r="P74" s="186"/>
      <c r="Q74" s="187"/>
      <c r="R74" s="187"/>
      <c r="S74" s="187"/>
      <c r="T74" s="187"/>
      <c r="U74" s="187"/>
      <c r="V74" s="187"/>
      <c r="W74" s="187"/>
      <c r="X74" s="187"/>
      <c r="Y74" s="187"/>
      <c r="Z74" s="188"/>
      <c r="AA74" s="186"/>
      <c r="AB74" s="187"/>
      <c r="AC74" s="187"/>
      <c r="AD74" s="187"/>
      <c r="AE74" s="187"/>
      <c r="AF74" s="187"/>
      <c r="AG74" s="187"/>
      <c r="AH74" s="187"/>
      <c r="AI74" s="187"/>
      <c r="AJ74" s="187"/>
      <c r="AK74" s="188"/>
      <c r="AL74" s="186"/>
      <c r="AM74" s="187"/>
      <c r="AN74" s="187"/>
      <c r="AO74" s="187"/>
      <c r="AP74" s="187"/>
      <c r="AQ74" s="187"/>
      <c r="AR74" s="187"/>
      <c r="AS74" s="187"/>
      <c r="AT74" s="187"/>
      <c r="AU74" s="187"/>
      <c r="AV74" s="188"/>
      <c r="AW74" s="186"/>
      <c r="AX74" s="187"/>
      <c r="AY74" s="187"/>
      <c r="AZ74" s="187"/>
      <c r="BA74" s="187"/>
      <c r="BB74" s="187"/>
      <c r="BC74" s="187"/>
      <c r="BD74" s="187"/>
      <c r="BE74" s="187"/>
      <c r="BF74" s="187"/>
      <c r="BG74" s="188"/>
      <c r="BH74" s="186"/>
      <c r="BI74" s="187"/>
      <c r="BJ74" s="187"/>
      <c r="BK74" s="187"/>
      <c r="BL74" s="187"/>
      <c r="BM74" s="187"/>
      <c r="BN74" s="187"/>
      <c r="BO74" s="187"/>
      <c r="BP74" s="187"/>
      <c r="BQ74" s="187"/>
      <c r="BR74" s="188"/>
      <c r="BS74" s="186"/>
      <c r="BT74" s="187"/>
      <c r="BU74" s="187"/>
      <c r="BV74" s="187"/>
      <c r="BW74" s="187"/>
      <c r="BX74" s="187"/>
      <c r="BY74" s="187"/>
      <c r="BZ74" s="187"/>
      <c r="CA74" s="187"/>
      <c r="CB74" s="187"/>
      <c r="CC74" s="188"/>
      <c r="CD74" s="186"/>
      <c r="CE74" s="187"/>
      <c r="CF74" s="187"/>
      <c r="CG74" s="187"/>
      <c r="CH74" s="187"/>
      <c r="CI74" s="187"/>
      <c r="CJ74" s="187"/>
      <c r="CK74" s="187"/>
      <c r="CL74" s="187"/>
      <c r="CM74" s="187"/>
      <c r="CN74" s="188"/>
      <c r="CO74" s="186"/>
      <c r="CP74" s="187"/>
      <c r="CQ74" s="187"/>
      <c r="CR74" s="187"/>
      <c r="CS74" s="187"/>
      <c r="CT74" s="187"/>
      <c r="CU74" s="187"/>
      <c r="CV74" s="187"/>
      <c r="CW74" s="187"/>
      <c r="CX74" s="187"/>
      <c r="CY74" s="188"/>
      <c r="CZ74" s="186"/>
      <c r="DA74" s="187"/>
      <c r="DB74" s="187"/>
      <c r="DC74" s="187"/>
      <c r="DD74" s="187"/>
      <c r="DE74" s="187"/>
      <c r="DF74" s="187"/>
      <c r="DG74" s="187"/>
      <c r="DH74" s="187"/>
      <c r="DI74" s="187"/>
      <c r="DJ74" s="188"/>
      <c r="DK74" s="186"/>
      <c r="DL74" s="187"/>
      <c r="DM74" s="187"/>
      <c r="DN74" s="187"/>
      <c r="DO74" s="187"/>
      <c r="DP74" s="187"/>
      <c r="DQ74" s="187"/>
      <c r="DR74" s="187"/>
      <c r="DS74" s="187"/>
      <c r="DT74" s="187"/>
      <c r="DU74" s="188"/>
    </row>
    <row r="75" hidden="1">
      <c r="A75" s="187"/>
      <c r="B75" s="64"/>
      <c r="C75" s="64"/>
      <c r="D75" s="64"/>
      <c r="E75" s="186"/>
      <c r="F75" s="187"/>
      <c r="G75" s="187"/>
      <c r="H75" s="187"/>
      <c r="I75" s="187"/>
      <c r="J75" s="187"/>
      <c r="K75" s="187"/>
      <c r="L75" s="187"/>
      <c r="M75" s="187"/>
      <c r="N75" s="187"/>
      <c r="O75" s="188"/>
      <c r="P75" s="186"/>
      <c r="Q75" s="187"/>
      <c r="R75" s="187"/>
      <c r="S75" s="187"/>
      <c r="T75" s="187"/>
      <c r="U75" s="187"/>
      <c r="V75" s="187"/>
      <c r="W75" s="187"/>
      <c r="X75" s="187"/>
      <c r="Y75" s="187"/>
      <c r="Z75" s="188"/>
      <c r="AA75" s="186"/>
      <c r="AB75" s="187"/>
      <c r="AC75" s="187"/>
      <c r="AD75" s="187"/>
      <c r="AE75" s="187"/>
      <c r="AF75" s="187"/>
      <c r="AG75" s="187"/>
      <c r="AH75" s="187"/>
      <c r="AI75" s="187"/>
      <c r="AJ75" s="187"/>
      <c r="AK75" s="188"/>
      <c r="AL75" s="186"/>
      <c r="AM75" s="187"/>
      <c r="AN75" s="187"/>
      <c r="AO75" s="187"/>
      <c r="AP75" s="187"/>
      <c r="AQ75" s="187"/>
      <c r="AR75" s="187"/>
      <c r="AS75" s="187"/>
      <c r="AT75" s="187"/>
      <c r="AU75" s="187"/>
      <c r="AV75" s="188"/>
      <c r="AW75" s="186"/>
      <c r="AX75" s="187"/>
      <c r="AY75" s="187"/>
      <c r="AZ75" s="187"/>
      <c r="BA75" s="187"/>
      <c r="BB75" s="187"/>
      <c r="BC75" s="187"/>
      <c r="BD75" s="187"/>
      <c r="BE75" s="187"/>
      <c r="BF75" s="187"/>
      <c r="BG75" s="188"/>
      <c r="BH75" s="186"/>
      <c r="BI75" s="187"/>
      <c r="BJ75" s="187"/>
      <c r="BK75" s="187"/>
      <c r="BL75" s="187"/>
      <c r="BM75" s="187"/>
      <c r="BN75" s="187"/>
      <c r="BO75" s="187"/>
      <c r="BP75" s="187"/>
      <c r="BQ75" s="187"/>
      <c r="BR75" s="188"/>
      <c r="BS75" s="186"/>
      <c r="BT75" s="187"/>
      <c r="BU75" s="187"/>
      <c r="BV75" s="187"/>
      <c r="BW75" s="187"/>
      <c r="BX75" s="187"/>
      <c r="BY75" s="187"/>
      <c r="BZ75" s="187"/>
      <c r="CA75" s="187"/>
      <c r="CB75" s="187"/>
      <c r="CC75" s="188"/>
      <c r="CD75" s="186"/>
      <c r="CE75" s="187"/>
      <c r="CF75" s="187"/>
      <c r="CG75" s="187"/>
      <c r="CH75" s="187"/>
      <c r="CI75" s="187"/>
      <c r="CJ75" s="187"/>
      <c r="CK75" s="187"/>
      <c r="CL75" s="187"/>
      <c r="CM75" s="187"/>
      <c r="CN75" s="188"/>
      <c r="CO75" s="186"/>
      <c r="CP75" s="187"/>
      <c r="CQ75" s="187"/>
      <c r="CR75" s="187"/>
      <c r="CS75" s="187"/>
      <c r="CT75" s="187"/>
      <c r="CU75" s="187"/>
      <c r="CV75" s="187"/>
      <c r="CW75" s="187"/>
      <c r="CX75" s="187"/>
      <c r="CY75" s="188"/>
      <c r="CZ75" s="186"/>
      <c r="DA75" s="187"/>
      <c r="DB75" s="187"/>
      <c r="DC75" s="187"/>
      <c r="DD75" s="187"/>
      <c r="DE75" s="187"/>
      <c r="DF75" s="187"/>
      <c r="DG75" s="187"/>
      <c r="DH75" s="187"/>
      <c r="DI75" s="187"/>
      <c r="DJ75" s="188"/>
      <c r="DK75" s="186"/>
      <c r="DL75" s="187"/>
      <c r="DM75" s="187"/>
      <c r="DN75" s="187"/>
      <c r="DO75" s="187"/>
      <c r="DP75" s="187"/>
      <c r="DQ75" s="187"/>
      <c r="DR75" s="187"/>
      <c r="DS75" s="187"/>
      <c r="DT75" s="187"/>
      <c r="DU75" s="188"/>
    </row>
    <row r="76" hidden="1">
      <c r="A76" s="187"/>
      <c r="B76" s="64"/>
      <c r="C76" s="64"/>
      <c r="D76" s="64"/>
      <c r="E76" s="201"/>
      <c r="F76" s="172"/>
      <c r="G76" s="172"/>
      <c r="H76" s="172"/>
      <c r="I76" s="172"/>
      <c r="J76" s="172"/>
      <c r="K76" s="172"/>
      <c r="L76" s="172"/>
      <c r="M76" s="172"/>
      <c r="N76" s="172"/>
      <c r="O76" s="173"/>
      <c r="P76" s="201"/>
      <c r="Q76" s="172"/>
      <c r="R76" s="172"/>
      <c r="S76" s="172"/>
      <c r="T76" s="172"/>
      <c r="U76" s="172"/>
      <c r="V76" s="172"/>
      <c r="W76" s="172"/>
      <c r="X76" s="172"/>
      <c r="Y76" s="172"/>
      <c r="Z76" s="173"/>
      <c r="AA76" s="201"/>
      <c r="AB76" s="172"/>
      <c r="AC76" s="172"/>
      <c r="AD76" s="172"/>
      <c r="AE76" s="172"/>
      <c r="AF76" s="172"/>
      <c r="AG76" s="172"/>
      <c r="AH76" s="172"/>
      <c r="AI76" s="172"/>
      <c r="AJ76" s="172"/>
      <c r="AK76" s="173"/>
      <c r="AL76" s="201"/>
      <c r="AM76" s="172"/>
      <c r="AN76" s="172"/>
      <c r="AO76" s="172"/>
      <c r="AP76" s="172"/>
      <c r="AQ76" s="172"/>
      <c r="AR76" s="172"/>
      <c r="AS76" s="172"/>
      <c r="AT76" s="172"/>
      <c r="AU76" s="172"/>
      <c r="AV76" s="173"/>
      <c r="AW76" s="201"/>
      <c r="AX76" s="172"/>
      <c r="AY76" s="172"/>
      <c r="AZ76" s="172"/>
      <c r="BA76" s="172"/>
      <c r="BB76" s="172"/>
      <c r="BC76" s="172"/>
      <c r="BD76" s="172"/>
      <c r="BE76" s="172"/>
      <c r="BF76" s="172"/>
      <c r="BG76" s="173"/>
      <c r="BH76" s="201"/>
      <c r="BI76" s="172"/>
      <c r="BJ76" s="172"/>
      <c r="BK76" s="172"/>
      <c r="BL76" s="172"/>
      <c r="BM76" s="172"/>
      <c r="BN76" s="172"/>
      <c r="BO76" s="172"/>
      <c r="BP76" s="172"/>
      <c r="BQ76" s="172"/>
      <c r="BR76" s="173"/>
      <c r="BS76" s="201"/>
      <c r="BT76" s="172"/>
      <c r="BU76" s="172"/>
      <c r="BV76" s="172"/>
      <c r="BW76" s="172"/>
      <c r="BX76" s="172"/>
      <c r="BY76" s="172"/>
      <c r="BZ76" s="172"/>
      <c r="CA76" s="172"/>
      <c r="CB76" s="172"/>
      <c r="CC76" s="173"/>
      <c r="CD76" s="201"/>
      <c r="CE76" s="172"/>
      <c r="CF76" s="172"/>
      <c r="CG76" s="172"/>
      <c r="CH76" s="172"/>
      <c r="CI76" s="172"/>
      <c r="CJ76" s="172"/>
      <c r="CK76" s="172"/>
      <c r="CL76" s="172"/>
      <c r="CM76" s="172"/>
      <c r="CN76" s="173"/>
      <c r="CO76" s="201"/>
      <c r="CP76" s="172"/>
      <c r="CQ76" s="172"/>
      <c r="CR76" s="172"/>
      <c r="CS76" s="172"/>
      <c r="CT76" s="172"/>
      <c r="CU76" s="172"/>
      <c r="CV76" s="172"/>
      <c r="CW76" s="172"/>
      <c r="CX76" s="172"/>
      <c r="CY76" s="173"/>
      <c r="CZ76" s="201"/>
      <c r="DA76" s="172"/>
      <c r="DB76" s="172"/>
      <c r="DC76" s="172"/>
      <c r="DD76" s="172"/>
      <c r="DE76" s="172"/>
      <c r="DF76" s="172"/>
      <c r="DG76" s="172"/>
      <c r="DH76" s="172"/>
      <c r="DI76" s="172"/>
      <c r="DJ76" s="173"/>
      <c r="DK76" s="201"/>
      <c r="DL76" s="172"/>
      <c r="DM76" s="172"/>
      <c r="DN76" s="172"/>
      <c r="DO76" s="172"/>
      <c r="DP76" s="172"/>
      <c r="DQ76" s="172"/>
      <c r="DR76" s="172"/>
      <c r="DS76" s="172"/>
      <c r="DT76" s="172"/>
      <c r="DU76" s="173"/>
    </row>
    <row r="77" hidden="1">
      <c r="A77" s="187"/>
      <c r="B77" s="64"/>
      <c r="C77" s="64"/>
      <c r="D77" s="64"/>
      <c r="E77" s="202"/>
      <c r="F77" s="203"/>
      <c r="G77" s="203"/>
      <c r="H77" s="203"/>
      <c r="I77" s="203"/>
      <c r="J77" s="203"/>
      <c r="K77" s="203"/>
      <c r="L77" s="203"/>
      <c r="M77" s="203"/>
      <c r="N77" s="203"/>
      <c r="O77" s="204"/>
      <c r="P77" s="202"/>
      <c r="Q77" s="203"/>
      <c r="R77" s="203"/>
      <c r="S77" s="203"/>
      <c r="T77" s="203"/>
      <c r="U77" s="203"/>
      <c r="V77" s="203"/>
      <c r="W77" s="203"/>
      <c r="X77" s="203"/>
      <c r="Y77" s="203"/>
      <c r="Z77" s="204"/>
      <c r="AA77" s="202"/>
      <c r="AB77" s="203"/>
      <c r="AC77" s="203"/>
      <c r="AD77" s="203"/>
      <c r="AE77" s="203"/>
      <c r="AF77" s="203"/>
      <c r="AG77" s="203"/>
      <c r="AH77" s="203"/>
      <c r="AI77" s="203"/>
      <c r="AJ77" s="203"/>
      <c r="AK77" s="204"/>
      <c r="AL77" s="202"/>
      <c r="AM77" s="203"/>
      <c r="AN77" s="203"/>
      <c r="AO77" s="203"/>
      <c r="AP77" s="203"/>
      <c r="AQ77" s="203"/>
      <c r="AR77" s="203"/>
      <c r="AS77" s="203"/>
      <c r="AT77" s="203"/>
      <c r="AU77" s="203"/>
      <c r="AV77" s="204"/>
      <c r="AW77" s="202"/>
      <c r="AX77" s="203"/>
      <c r="AY77" s="203"/>
      <c r="AZ77" s="203"/>
      <c r="BA77" s="203"/>
      <c r="BB77" s="203"/>
      <c r="BC77" s="203"/>
      <c r="BD77" s="203"/>
      <c r="BE77" s="203"/>
      <c r="BF77" s="203"/>
      <c r="BG77" s="204"/>
      <c r="BH77" s="202"/>
      <c r="BI77" s="203"/>
      <c r="BJ77" s="203"/>
      <c r="BK77" s="203"/>
      <c r="BL77" s="203"/>
      <c r="BM77" s="203"/>
      <c r="BN77" s="203"/>
      <c r="BO77" s="203"/>
      <c r="BP77" s="203"/>
      <c r="BQ77" s="203"/>
      <c r="BR77" s="204"/>
      <c r="BS77" s="202"/>
      <c r="BT77" s="203"/>
      <c r="BU77" s="203"/>
      <c r="BV77" s="203"/>
      <c r="BW77" s="203"/>
      <c r="BX77" s="203"/>
      <c r="BY77" s="203"/>
      <c r="BZ77" s="203"/>
      <c r="CA77" s="203"/>
      <c r="CB77" s="203"/>
      <c r="CC77" s="204"/>
      <c r="CD77" s="202"/>
      <c r="CE77" s="203"/>
      <c r="CF77" s="203"/>
      <c r="CG77" s="203"/>
      <c r="CH77" s="203"/>
      <c r="CI77" s="203"/>
      <c r="CJ77" s="203"/>
      <c r="CK77" s="203"/>
      <c r="CL77" s="203"/>
      <c r="CM77" s="203"/>
      <c r="CN77" s="204"/>
      <c r="CO77" s="202"/>
      <c r="CP77" s="203"/>
      <c r="CQ77" s="203"/>
      <c r="CR77" s="203"/>
      <c r="CS77" s="203"/>
      <c r="CT77" s="203"/>
      <c r="CU77" s="203"/>
      <c r="CV77" s="203"/>
      <c r="CW77" s="203"/>
      <c r="CX77" s="203"/>
      <c r="CY77" s="204"/>
      <c r="CZ77" s="202"/>
      <c r="DA77" s="203"/>
      <c r="DB77" s="203"/>
      <c r="DC77" s="203"/>
      <c r="DD77" s="203"/>
      <c r="DE77" s="203"/>
      <c r="DF77" s="203"/>
      <c r="DG77" s="203"/>
      <c r="DH77" s="203"/>
      <c r="DI77" s="203"/>
      <c r="DJ77" s="204"/>
      <c r="DK77" s="202"/>
      <c r="DL77" s="203"/>
      <c r="DM77" s="203"/>
      <c r="DN77" s="203"/>
      <c r="DO77" s="203"/>
      <c r="DP77" s="203"/>
      <c r="DQ77" s="203"/>
      <c r="DR77" s="203"/>
      <c r="DS77" s="203"/>
      <c r="DT77" s="203"/>
      <c r="DU77" s="204"/>
    </row>
    <row r="78" hidden="1">
      <c r="A78" s="187"/>
      <c r="B78" s="64"/>
      <c r="C78" s="64"/>
      <c r="D78" s="64"/>
      <c r="E78" s="205"/>
      <c r="F78" s="206"/>
      <c r="G78" s="207"/>
      <c r="H78" s="207"/>
      <c r="I78" s="207"/>
      <c r="J78" s="207"/>
      <c r="K78" s="206"/>
      <c r="L78" s="206"/>
      <c r="M78" s="206"/>
      <c r="N78" s="206"/>
      <c r="O78" s="208"/>
      <c r="P78" s="205"/>
      <c r="Q78" s="206"/>
      <c r="R78" s="207"/>
      <c r="S78" s="207"/>
      <c r="T78" s="207"/>
      <c r="U78" s="207"/>
      <c r="V78" s="206"/>
      <c r="W78" s="206"/>
      <c r="X78" s="206"/>
      <c r="Y78" s="206"/>
      <c r="Z78" s="208"/>
      <c r="AA78" s="205"/>
      <c r="AB78" s="206"/>
      <c r="AC78" s="207"/>
      <c r="AD78" s="207"/>
      <c r="AE78" s="207"/>
      <c r="AF78" s="207"/>
      <c r="AG78" s="206"/>
      <c r="AH78" s="206"/>
      <c r="AI78" s="206"/>
      <c r="AJ78" s="206"/>
      <c r="AK78" s="208"/>
      <c r="AL78" s="205"/>
      <c r="AM78" s="206"/>
      <c r="AN78" s="207"/>
      <c r="AO78" s="207"/>
      <c r="AP78" s="207"/>
      <c r="AQ78" s="207"/>
      <c r="AR78" s="206"/>
      <c r="AS78" s="206"/>
      <c r="AT78" s="206"/>
      <c r="AU78" s="206"/>
      <c r="AV78" s="208"/>
      <c r="AW78" s="205"/>
      <c r="AX78" s="206"/>
      <c r="AY78" s="207"/>
      <c r="AZ78" s="207"/>
      <c r="BA78" s="207"/>
      <c r="BB78" s="207"/>
      <c r="BC78" s="206"/>
      <c r="BD78" s="206"/>
      <c r="BE78" s="206"/>
      <c r="BF78" s="206"/>
      <c r="BG78" s="208"/>
      <c r="BH78" s="205"/>
      <c r="BI78" s="206"/>
      <c r="BJ78" s="207"/>
      <c r="BK78" s="207"/>
      <c r="BL78" s="207"/>
      <c r="BM78" s="207"/>
      <c r="BN78" s="206"/>
      <c r="BO78" s="206"/>
      <c r="BP78" s="206"/>
      <c r="BQ78" s="206"/>
      <c r="BR78" s="208"/>
      <c r="BS78" s="205"/>
      <c r="BT78" s="206"/>
      <c r="BU78" s="207"/>
      <c r="BV78" s="207"/>
      <c r="BW78" s="207"/>
      <c r="BX78" s="207"/>
      <c r="BY78" s="206"/>
      <c r="BZ78" s="206"/>
      <c r="CA78" s="206"/>
      <c r="CB78" s="206"/>
      <c r="CC78" s="208"/>
      <c r="CD78" s="205"/>
      <c r="CE78" s="206"/>
      <c r="CF78" s="207"/>
      <c r="CG78" s="207"/>
      <c r="CH78" s="207"/>
      <c r="CI78" s="207"/>
      <c r="CJ78" s="206"/>
      <c r="CK78" s="206"/>
      <c r="CL78" s="206"/>
      <c r="CM78" s="206"/>
      <c r="CN78" s="208"/>
      <c r="CO78" s="205"/>
      <c r="CP78" s="206"/>
      <c r="CQ78" s="207"/>
      <c r="CR78" s="207"/>
      <c r="CS78" s="207"/>
      <c r="CT78" s="207"/>
      <c r="CU78" s="206"/>
      <c r="CV78" s="206"/>
      <c r="CW78" s="206"/>
      <c r="CX78" s="206"/>
      <c r="CY78" s="208"/>
      <c r="CZ78" s="205"/>
      <c r="DA78" s="206"/>
      <c r="DB78" s="207"/>
      <c r="DC78" s="207"/>
      <c r="DD78" s="207"/>
      <c r="DE78" s="207"/>
      <c r="DF78" s="206"/>
      <c r="DG78" s="206"/>
      <c r="DH78" s="206"/>
      <c r="DI78" s="206"/>
      <c r="DJ78" s="208"/>
      <c r="DK78" s="205"/>
      <c r="DL78" s="206"/>
      <c r="DM78" s="207"/>
      <c r="DN78" s="207"/>
      <c r="DO78" s="207"/>
      <c r="DP78" s="207"/>
      <c r="DQ78" s="206"/>
      <c r="DR78" s="206"/>
      <c r="DS78" s="206"/>
      <c r="DT78" s="206"/>
      <c r="DU78" s="208"/>
    </row>
    <row r="79" hidden="1">
      <c r="A79" s="187"/>
      <c r="B79" s="64"/>
      <c r="C79" s="64"/>
      <c r="D79" s="64"/>
      <c r="E79" s="186"/>
      <c r="F79" s="187"/>
      <c r="G79" s="187"/>
      <c r="H79" s="187"/>
      <c r="I79" s="187"/>
      <c r="J79" s="187"/>
      <c r="K79" s="187"/>
      <c r="L79" s="187"/>
      <c r="M79" s="187"/>
      <c r="N79" s="187"/>
      <c r="O79" s="188"/>
      <c r="P79" s="186"/>
      <c r="Q79" s="187"/>
      <c r="R79" s="187"/>
      <c r="S79" s="187"/>
      <c r="T79" s="187"/>
      <c r="U79" s="187"/>
      <c r="V79" s="187"/>
      <c r="W79" s="187"/>
      <c r="X79" s="187"/>
      <c r="Y79" s="187"/>
      <c r="Z79" s="188"/>
      <c r="AA79" s="186"/>
      <c r="AB79" s="187"/>
      <c r="AC79" s="187"/>
      <c r="AD79" s="187"/>
      <c r="AE79" s="187"/>
      <c r="AF79" s="187"/>
      <c r="AG79" s="187"/>
      <c r="AH79" s="187"/>
      <c r="AI79" s="187"/>
      <c r="AJ79" s="187"/>
      <c r="AK79" s="188"/>
      <c r="AL79" s="186"/>
      <c r="AM79" s="187"/>
      <c r="AN79" s="187"/>
      <c r="AO79" s="187"/>
      <c r="AP79" s="187"/>
      <c r="AQ79" s="187"/>
      <c r="AR79" s="187"/>
      <c r="AS79" s="187"/>
      <c r="AT79" s="187"/>
      <c r="AU79" s="187"/>
      <c r="AV79" s="188"/>
      <c r="AW79" s="186"/>
      <c r="AX79" s="187"/>
      <c r="AY79" s="187"/>
      <c r="AZ79" s="187"/>
      <c r="BA79" s="187"/>
      <c r="BB79" s="187"/>
      <c r="BC79" s="187"/>
      <c r="BD79" s="187"/>
      <c r="BE79" s="187"/>
      <c r="BF79" s="187"/>
      <c r="BG79" s="188"/>
      <c r="BH79" s="186"/>
      <c r="BI79" s="187"/>
      <c r="BJ79" s="187"/>
      <c r="BK79" s="187"/>
      <c r="BL79" s="187"/>
      <c r="BM79" s="187"/>
      <c r="BN79" s="187"/>
      <c r="BO79" s="187"/>
      <c r="BP79" s="187"/>
      <c r="BQ79" s="187"/>
      <c r="BR79" s="188"/>
      <c r="BS79" s="186"/>
      <c r="BT79" s="187"/>
      <c r="BU79" s="187"/>
      <c r="BV79" s="187"/>
      <c r="BW79" s="187"/>
      <c r="BX79" s="187"/>
      <c r="BY79" s="187"/>
      <c r="BZ79" s="187"/>
      <c r="CA79" s="187"/>
      <c r="CB79" s="187"/>
      <c r="CC79" s="188"/>
      <c r="CD79" s="186"/>
      <c r="CE79" s="187"/>
      <c r="CF79" s="187"/>
      <c r="CG79" s="187"/>
      <c r="CH79" s="187"/>
      <c r="CI79" s="187"/>
      <c r="CJ79" s="187"/>
      <c r="CK79" s="187"/>
      <c r="CL79" s="187"/>
      <c r="CM79" s="187"/>
      <c r="CN79" s="188"/>
      <c r="CO79" s="186"/>
      <c r="CP79" s="187"/>
      <c r="CQ79" s="187"/>
      <c r="CR79" s="187"/>
      <c r="CS79" s="187"/>
      <c r="CT79" s="187"/>
      <c r="CU79" s="187"/>
      <c r="CV79" s="187"/>
      <c r="CW79" s="187"/>
      <c r="CX79" s="187"/>
      <c r="CY79" s="188"/>
      <c r="CZ79" s="186"/>
      <c r="DA79" s="187"/>
      <c r="DB79" s="187"/>
      <c r="DC79" s="187"/>
      <c r="DD79" s="187"/>
      <c r="DE79" s="187"/>
      <c r="DF79" s="187"/>
      <c r="DG79" s="187"/>
      <c r="DH79" s="187"/>
      <c r="DI79" s="187"/>
      <c r="DJ79" s="188"/>
      <c r="DK79" s="186"/>
      <c r="DL79" s="187"/>
      <c r="DM79" s="187"/>
      <c r="DN79" s="187"/>
      <c r="DO79" s="187"/>
      <c r="DP79" s="187"/>
      <c r="DQ79" s="187"/>
      <c r="DR79" s="187"/>
      <c r="DS79" s="187"/>
      <c r="DT79" s="187"/>
      <c r="DU79" s="188"/>
    </row>
    <row r="80" hidden="1">
      <c r="A80" s="187"/>
      <c r="B80" s="64"/>
      <c r="C80" s="64"/>
      <c r="D80" s="64"/>
      <c r="E80" s="186"/>
      <c r="F80" s="187"/>
      <c r="G80" s="187"/>
      <c r="H80" s="187"/>
      <c r="I80" s="187"/>
      <c r="J80" s="187"/>
      <c r="K80" s="187"/>
      <c r="L80" s="187"/>
      <c r="M80" s="187"/>
      <c r="N80" s="187"/>
      <c r="O80" s="188"/>
      <c r="P80" s="186"/>
      <c r="Q80" s="187"/>
      <c r="R80" s="187"/>
      <c r="S80" s="187"/>
      <c r="T80" s="187"/>
      <c r="U80" s="187"/>
      <c r="V80" s="187"/>
      <c r="W80" s="187"/>
      <c r="X80" s="187"/>
      <c r="Y80" s="187"/>
      <c r="Z80" s="188"/>
      <c r="AA80" s="186"/>
      <c r="AB80" s="187"/>
      <c r="AC80" s="187"/>
      <c r="AD80" s="187"/>
      <c r="AE80" s="187"/>
      <c r="AF80" s="187"/>
      <c r="AG80" s="187"/>
      <c r="AH80" s="187"/>
      <c r="AI80" s="187"/>
      <c r="AJ80" s="187"/>
      <c r="AK80" s="188"/>
      <c r="AL80" s="186"/>
      <c r="AM80" s="187"/>
      <c r="AN80" s="187"/>
      <c r="AO80" s="187"/>
      <c r="AP80" s="187"/>
      <c r="AQ80" s="187"/>
      <c r="AR80" s="187"/>
      <c r="AS80" s="187"/>
      <c r="AT80" s="187"/>
      <c r="AU80" s="187"/>
      <c r="AV80" s="188"/>
      <c r="AW80" s="186"/>
      <c r="AX80" s="187"/>
      <c r="AY80" s="187"/>
      <c r="AZ80" s="187"/>
      <c r="BA80" s="187"/>
      <c r="BB80" s="187"/>
      <c r="BC80" s="187"/>
      <c r="BD80" s="187"/>
      <c r="BE80" s="187"/>
      <c r="BF80" s="187"/>
      <c r="BG80" s="188"/>
      <c r="BH80" s="186"/>
      <c r="BI80" s="187"/>
      <c r="BJ80" s="187"/>
      <c r="BK80" s="187"/>
      <c r="BL80" s="187"/>
      <c r="BM80" s="187"/>
      <c r="BN80" s="187"/>
      <c r="BO80" s="187"/>
      <c r="BP80" s="187"/>
      <c r="BQ80" s="187"/>
      <c r="BR80" s="188"/>
      <c r="BS80" s="186"/>
      <c r="BT80" s="187"/>
      <c r="BU80" s="187"/>
      <c r="BV80" s="187"/>
      <c r="BW80" s="187"/>
      <c r="BX80" s="187"/>
      <c r="BY80" s="187"/>
      <c r="BZ80" s="187"/>
      <c r="CA80" s="187"/>
      <c r="CB80" s="187"/>
      <c r="CC80" s="188"/>
      <c r="CD80" s="186"/>
      <c r="CE80" s="187"/>
      <c r="CF80" s="187"/>
      <c r="CG80" s="187"/>
      <c r="CH80" s="187"/>
      <c r="CI80" s="187"/>
      <c r="CJ80" s="187"/>
      <c r="CK80" s="187"/>
      <c r="CL80" s="187"/>
      <c r="CM80" s="187"/>
      <c r="CN80" s="188"/>
      <c r="CO80" s="186"/>
      <c r="CP80" s="187"/>
      <c r="CQ80" s="187"/>
      <c r="CR80" s="187"/>
      <c r="CS80" s="187"/>
      <c r="CT80" s="187"/>
      <c r="CU80" s="187"/>
      <c r="CV80" s="187"/>
      <c r="CW80" s="187"/>
      <c r="CX80" s="187"/>
      <c r="CY80" s="188"/>
      <c r="CZ80" s="186"/>
      <c r="DA80" s="187"/>
      <c r="DB80" s="187"/>
      <c r="DC80" s="187"/>
      <c r="DD80" s="187"/>
      <c r="DE80" s="187"/>
      <c r="DF80" s="187"/>
      <c r="DG80" s="187"/>
      <c r="DH80" s="187"/>
      <c r="DI80" s="187"/>
      <c r="DJ80" s="188"/>
      <c r="DK80" s="186"/>
      <c r="DL80" s="187"/>
      <c r="DM80" s="187"/>
      <c r="DN80" s="187"/>
      <c r="DO80" s="187"/>
      <c r="DP80" s="187"/>
      <c r="DQ80" s="187"/>
      <c r="DR80" s="187"/>
      <c r="DS80" s="187"/>
      <c r="DT80" s="187"/>
      <c r="DU80" s="188"/>
    </row>
    <row r="81" hidden="1">
      <c r="A81" s="187"/>
      <c r="B81" s="64"/>
      <c r="C81" s="64"/>
      <c r="D81" s="64"/>
      <c r="E81" s="186"/>
      <c r="F81" s="187"/>
      <c r="G81" s="187"/>
      <c r="H81" s="187"/>
      <c r="I81" s="187"/>
      <c r="J81" s="187"/>
      <c r="K81" s="187"/>
      <c r="L81" s="187"/>
      <c r="M81" s="187"/>
      <c r="N81" s="187"/>
      <c r="O81" s="188"/>
      <c r="P81" s="186"/>
      <c r="Q81" s="187"/>
      <c r="R81" s="187"/>
      <c r="S81" s="187"/>
      <c r="T81" s="187"/>
      <c r="U81" s="187"/>
      <c r="V81" s="187"/>
      <c r="W81" s="187"/>
      <c r="X81" s="187"/>
      <c r="Y81" s="187"/>
      <c r="Z81" s="188"/>
      <c r="AA81" s="186"/>
      <c r="AB81" s="187"/>
      <c r="AC81" s="187"/>
      <c r="AD81" s="187"/>
      <c r="AE81" s="187"/>
      <c r="AF81" s="187"/>
      <c r="AG81" s="187"/>
      <c r="AH81" s="187"/>
      <c r="AI81" s="187"/>
      <c r="AJ81" s="187"/>
      <c r="AK81" s="188"/>
      <c r="AL81" s="186"/>
      <c r="AM81" s="187"/>
      <c r="AN81" s="187"/>
      <c r="AO81" s="187"/>
      <c r="AP81" s="187"/>
      <c r="AQ81" s="187"/>
      <c r="AR81" s="187"/>
      <c r="AS81" s="187"/>
      <c r="AT81" s="187"/>
      <c r="AU81" s="187"/>
      <c r="AV81" s="188"/>
      <c r="AW81" s="186"/>
      <c r="AX81" s="187"/>
      <c r="AY81" s="187"/>
      <c r="AZ81" s="187"/>
      <c r="BA81" s="187"/>
      <c r="BB81" s="187"/>
      <c r="BC81" s="187"/>
      <c r="BD81" s="187"/>
      <c r="BE81" s="187"/>
      <c r="BF81" s="187"/>
      <c r="BG81" s="188"/>
      <c r="BH81" s="186"/>
      <c r="BI81" s="187"/>
      <c r="BJ81" s="187"/>
      <c r="BK81" s="187"/>
      <c r="BL81" s="187"/>
      <c r="BM81" s="187"/>
      <c r="BN81" s="187"/>
      <c r="BO81" s="187"/>
      <c r="BP81" s="187"/>
      <c r="BQ81" s="187"/>
      <c r="BR81" s="188"/>
      <c r="BS81" s="186"/>
      <c r="BT81" s="187"/>
      <c r="BU81" s="187"/>
      <c r="BV81" s="187"/>
      <c r="BW81" s="187"/>
      <c r="BX81" s="187"/>
      <c r="BY81" s="187"/>
      <c r="BZ81" s="187"/>
      <c r="CA81" s="187"/>
      <c r="CB81" s="187"/>
      <c r="CC81" s="188"/>
      <c r="CD81" s="186"/>
      <c r="CE81" s="187"/>
      <c r="CF81" s="187"/>
      <c r="CG81" s="187"/>
      <c r="CH81" s="187"/>
      <c r="CI81" s="187"/>
      <c r="CJ81" s="187"/>
      <c r="CK81" s="187"/>
      <c r="CL81" s="187"/>
      <c r="CM81" s="187"/>
      <c r="CN81" s="188"/>
      <c r="CO81" s="186"/>
      <c r="CP81" s="187"/>
      <c r="CQ81" s="187"/>
      <c r="CR81" s="187"/>
      <c r="CS81" s="187"/>
      <c r="CT81" s="187"/>
      <c r="CU81" s="187"/>
      <c r="CV81" s="187"/>
      <c r="CW81" s="187"/>
      <c r="CX81" s="187"/>
      <c r="CY81" s="188"/>
      <c r="CZ81" s="186"/>
      <c r="DA81" s="187"/>
      <c r="DB81" s="187"/>
      <c r="DC81" s="187"/>
      <c r="DD81" s="187"/>
      <c r="DE81" s="187"/>
      <c r="DF81" s="187"/>
      <c r="DG81" s="187"/>
      <c r="DH81" s="187"/>
      <c r="DI81" s="187"/>
      <c r="DJ81" s="188"/>
      <c r="DK81" s="186"/>
      <c r="DL81" s="187"/>
      <c r="DM81" s="187"/>
      <c r="DN81" s="187"/>
      <c r="DO81" s="187"/>
      <c r="DP81" s="187"/>
      <c r="DQ81" s="187"/>
      <c r="DR81" s="187"/>
      <c r="DS81" s="187"/>
      <c r="DT81" s="187"/>
      <c r="DU81" s="188"/>
    </row>
    <row r="82" hidden="1">
      <c r="A82" s="187"/>
      <c r="B82" s="64"/>
      <c r="C82" s="64"/>
      <c r="D82" s="64"/>
      <c r="E82" s="186"/>
      <c r="F82" s="187"/>
      <c r="G82" s="187"/>
      <c r="H82" s="187"/>
      <c r="I82" s="187"/>
      <c r="J82" s="187"/>
      <c r="K82" s="187"/>
      <c r="L82" s="187"/>
      <c r="M82" s="187"/>
      <c r="N82" s="187"/>
      <c r="O82" s="188"/>
      <c r="P82" s="186"/>
      <c r="Q82" s="187"/>
      <c r="R82" s="187"/>
      <c r="S82" s="187"/>
      <c r="T82" s="187"/>
      <c r="U82" s="187"/>
      <c r="V82" s="187"/>
      <c r="W82" s="187"/>
      <c r="X82" s="187"/>
      <c r="Y82" s="187"/>
      <c r="Z82" s="188"/>
      <c r="AA82" s="186"/>
      <c r="AB82" s="187"/>
      <c r="AC82" s="187"/>
      <c r="AD82" s="187"/>
      <c r="AE82" s="187"/>
      <c r="AF82" s="187"/>
      <c r="AG82" s="187"/>
      <c r="AH82" s="187"/>
      <c r="AI82" s="187"/>
      <c r="AJ82" s="187"/>
      <c r="AK82" s="188"/>
      <c r="AL82" s="186"/>
      <c r="AM82" s="187"/>
      <c r="AN82" s="187"/>
      <c r="AO82" s="187"/>
      <c r="AP82" s="187"/>
      <c r="AQ82" s="187"/>
      <c r="AR82" s="187"/>
      <c r="AS82" s="187"/>
      <c r="AT82" s="187"/>
      <c r="AU82" s="187"/>
      <c r="AV82" s="188"/>
      <c r="AW82" s="186"/>
      <c r="AX82" s="187"/>
      <c r="AY82" s="187"/>
      <c r="AZ82" s="187"/>
      <c r="BA82" s="187"/>
      <c r="BB82" s="187"/>
      <c r="BC82" s="187"/>
      <c r="BD82" s="187"/>
      <c r="BE82" s="187"/>
      <c r="BF82" s="187"/>
      <c r="BG82" s="188"/>
      <c r="BH82" s="186"/>
      <c r="BI82" s="187"/>
      <c r="BJ82" s="187"/>
      <c r="BK82" s="187"/>
      <c r="BL82" s="187"/>
      <c r="BM82" s="187"/>
      <c r="BN82" s="187"/>
      <c r="BO82" s="187"/>
      <c r="BP82" s="187"/>
      <c r="BQ82" s="187"/>
      <c r="BR82" s="188"/>
      <c r="BS82" s="186"/>
      <c r="BT82" s="187"/>
      <c r="BU82" s="187"/>
      <c r="BV82" s="187"/>
      <c r="BW82" s="187"/>
      <c r="BX82" s="187"/>
      <c r="BY82" s="187"/>
      <c r="BZ82" s="187"/>
      <c r="CA82" s="187"/>
      <c r="CB82" s="187"/>
      <c r="CC82" s="188"/>
      <c r="CD82" s="186"/>
      <c r="CE82" s="187"/>
      <c r="CF82" s="187"/>
      <c r="CG82" s="187"/>
      <c r="CH82" s="187"/>
      <c r="CI82" s="187"/>
      <c r="CJ82" s="187"/>
      <c r="CK82" s="187"/>
      <c r="CL82" s="187"/>
      <c r="CM82" s="187"/>
      <c r="CN82" s="188"/>
      <c r="CO82" s="186"/>
      <c r="CP82" s="187"/>
      <c r="CQ82" s="187"/>
      <c r="CR82" s="187"/>
      <c r="CS82" s="187"/>
      <c r="CT82" s="187"/>
      <c r="CU82" s="187"/>
      <c r="CV82" s="187"/>
      <c r="CW82" s="187"/>
      <c r="CX82" s="187"/>
      <c r="CY82" s="188"/>
      <c r="CZ82" s="186"/>
      <c r="DA82" s="187"/>
      <c r="DB82" s="187"/>
      <c r="DC82" s="187"/>
      <c r="DD82" s="187"/>
      <c r="DE82" s="187"/>
      <c r="DF82" s="187"/>
      <c r="DG82" s="187"/>
      <c r="DH82" s="187"/>
      <c r="DI82" s="187"/>
      <c r="DJ82" s="188"/>
      <c r="DK82" s="186"/>
      <c r="DL82" s="187"/>
      <c r="DM82" s="187"/>
      <c r="DN82" s="187"/>
      <c r="DO82" s="187"/>
      <c r="DP82" s="187"/>
      <c r="DQ82" s="187"/>
      <c r="DR82" s="187"/>
      <c r="DS82" s="187"/>
      <c r="DT82" s="187"/>
      <c r="DU82" s="188"/>
    </row>
    <row r="83" hidden="1">
      <c r="A83" s="196"/>
      <c r="B83" s="95"/>
      <c r="C83" s="95"/>
      <c r="D83" s="95"/>
      <c r="E83" s="186"/>
      <c r="F83" s="187"/>
      <c r="G83" s="187"/>
      <c r="H83" s="187"/>
      <c r="I83" s="187"/>
      <c r="J83" s="187"/>
      <c r="K83" s="187"/>
      <c r="L83" s="187"/>
      <c r="M83" s="187"/>
      <c r="N83" s="187"/>
      <c r="O83" s="188"/>
      <c r="P83" s="186">
        <v>1.0</v>
      </c>
      <c r="Q83" s="187">
        <v>12.0</v>
      </c>
      <c r="R83" s="187"/>
      <c r="S83" s="187"/>
      <c r="T83" s="187"/>
      <c r="U83" s="187"/>
      <c r="V83" s="187"/>
      <c r="W83" s="187"/>
      <c r="X83" s="187"/>
      <c r="Y83" s="187"/>
      <c r="Z83" s="188"/>
      <c r="AA83" s="186"/>
      <c r="AB83" s="187"/>
      <c r="AC83" s="187"/>
      <c r="AD83" s="187"/>
      <c r="AE83" s="187"/>
      <c r="AF83" s="187"/>
      <c r="AG83" s="187"/>
      <c r="AH83" s="187"/>
      <c r="AI83" s="187"/>
      <c r="AJ83" s="187"/>
      <c r="AK83" s="188"/>
      <c r="AL83" s="186"/>
      <c r="AM83" s="187"/>
      <c r="AN83" s="187"/>
      <c r="AO83" s="187"/>
      <c r="AP83" s="187"/>
      <c r="AQ83" s="187"/>
      <c r="AR83" s="187"/>
      <c r="AS83" s="187"/>
      <c r="AT83" s="187"/>
      <c r="AU83" s="187"/>
      <c r="AV83" s="188"/>
      <c r="AW83" s="186"/>
      <c r="AX83" s="187"/>
      <c r="AY83" s="187"/>
      <c r="AZ83" s="187"/>
      <c r="BA83" s="187"/>
      <c r="BB83" s="187"/>
      <c r="BC83" s="187"/>
      <c r="BD83" s="187"/>
      <c r="BE83" s="187"/>
      <c r="BF83" s="187"/>
      <c r="BG83" s="188"/>
      <c r="BH83" s="186"/>
      <c r="BI83" s="187"/>
      <c r="BJ83" s="187"/>
      <c r="BK83" s="187"/>
      <c r="BL83" s="187"/>
      <c r="BM83" s="187"/>
      <c r="BN83" s="187"/>
      <c r="BO83" s="187"/>
      <c r="BP83" s="187"/>
      <c r="BQ83" s="187"/>
      <c r="BR83" s="188"/>
      <c r="BS83" s="186"/>
      <c r="BT83" s="187"/>
      <c r="BU83" s="187"/>
      <c r="BV83" s="187"/>
      <c r="BW83" s="187"/>
      <c r="BX83" s="187"/>
      <c r="BY83" s="187"/>
      <c r="BZ83" s="187"/>
      <c r="CA83" s="187"/>
      <c r="CB83" s="187"/>
      <c r="CC83" s="188"/>
      <c r="CD83" s="186"/>
      <c r="CE83" s="187"/>
      <c r="CF83" s="187"/>
      <c r="CG83" s="187"/>
      <c r="CH83" s="187"/>
      <c r="CI83" s="187"/>
      <c r="CJ83" s="187"/>
      <c r="CK83" s="187"/>
      <c r="CL83" s="187"/>
      <c r="CM83" s="187"/>
      <c r="CN83" s="188"/>
      <c r="CO83" s="186"/>
      <c r="CP83" s="187"/>
      <c r="CQ83" s="187"/>
      <c r="CR83" s="187"/>
      <c r="CS83" s="187"/>
      <c r="CT83" s="187"/>
      <c r="CU83" s="187"/>
      <c r="CV83" s="187"/>
      <c r="CW83" s="187"/>
      <c r="CX83" s="187"/>
      <c r="CY83" s="188"/>
      <c r="CZ83" s="186"/>
      <c r="DA83" s="187"/>
      <c r="DB83" s="187"/>
      <c r="DC83" s="187"/>
      <c r="DD83" s="187"/>
      <c r="DE83" s="187"/>
      <c r="DF83" s="187"/>
      <c r="DG83" s="187"/>
      <c r="DH83" s="187"/>
      <c r="DI83" s="187"/>
      <c r="DJ83" s="188"/>
      <c r="DK83" s="186"/>
      <c r="DL83" s="187"/>
      <c r="DM83" s="187"/>
      <c r="DN83" s="187"/>
      <c r="DO83" s="187"/>
      <c r="DP83" s="187"/>
      <c r="DQ83" s="187"/>
      <c r="DR83" s="187"/>
      <c r="DS83" s="187"/>
      <c r="DT83" s="187"/>
      <c r="DU83" s="188"/>
    </row>
    <row r="84" hidden="1">
      <c r="A84" s="196"/>
      <c r="B84" s="95"/>
      <c r="C84" s="95"/>
      <c r="D84" s="95"/>
      <c r="E84" s="186"/>
      <c r="F84" s="187"/>
      <c r="G84" s="187"/>
      <c r="H84" s="187"/>
      <c r="I84" s="187"/>
      <c r="J84" s="187"/>
      <c r="K84" s="187"/>
      <c r="L84" s="187"/>
      <c r="M84" s="187"/>
      <c r="N84" s="187"/>
      <c r="O84" s="188"/>
      <c r="P84" s="186">
        <v>2.0</v>
      </c>
      <c r="Q84" s="187">
        <v>9.0</v>
      </c>
      <c r="R84" s="187"/>
      <c r="S84" s="187"/>
      <c r="T84" s="187"/>
      <c r="U84" s="187"/>
      <c r="V84" s="187"/>
      <c r="W84" s="187"/>
      <c r="X84" s="187"/>
      <c r="Y84" s="187"/>
      <c r="Z84" s="188"/>
      <c r="AA84" s="186"/>
      <c r="AB84" s="187"/>
      <c r="AC84" s="187"/>
      <c r="AD84" s="187"/>
      <c r="AE84" s="187"/>
      <c r="AF84" s="187"/>
      <c r="AG84" s="187"/>
      <c r="AH84" s="187"/>
      <c r="AI84" s="187"/>
      <c r="AJ84" s="187"/>
      <c r="AK84" s="188"/>
      <c r="AL84" s="186"/>
      <c r="AM84" s="187"/>
      <c r="AN84" s="187"/>
      <c r="AO84" s="187"/>
      <c r="AP84" s="187"/>
      <c r="AQ84" s="187"/>
      <c r="AR84" s="187"/>
      <c r="AS84" s="187"/>
      <c r="AT84" s="187"/>
      <c r="AU84" s="187"/>
      <c r="AV84" s="188"/>
      <c r="AW84" s="186"/>
      <c r="AX84" s="187"/>
      <c r="AY84" s="187"/>
      <c r="AZ84" s="187"/>
      <c r="BA84" s="187"/>
      <c r="BB84" s="187"/>
      <c r="BC84" s="187"/>
      <c r="BD84" s="187"/>
      <c r="BE84" s="187"/>
      <c r="BF84" s="187"/>
      <c r="BG84" s="188"/>
      <c r="BH84" s="186"/>
      <c r="BI84" s="187"/>
      <c r="BJ84" s="187"/>
      <c r="BK84" s="187"/>
      <c r="BL84" s="187"/>
      <c r="BM84" s="187"/>
      <c r="BN84" s="187"/>
      <c r="BO84" s="187"/>
      <c r="BP84" s="187"/>
      <c r="BQ84" s="187"/>
      <c r="BR84" s="188"/>
      <c r="BS84" s="186"/>
      <c r="BT84" s="187"/>
      <c r="BU84" s="187"/>
      <c r="BV84" s="187"/>
      <c r="BW84" s="187"/>
      <c r="BX84" s="187"/>
      <c r="BY84" s="187"/>
      <c r="BZ84" s="187"/>
      <c r="CA84" s="187"/>
      <c r="CB84" s="187"/>
      <c r="CC84" s="188"/>
      <c r="CD84" s="186"/>
      <c r="CE84" s="187"/>
      <c r="CF84" s="187"/>
      <c r="CG84" s="187"/>
      <c r="CH84" s="187"/>
      <c r="CI84" s="187"/>
      <c r="CJ84" s="187"/>
      <c r="CK84" s="187"/>
      <c r="CL84" s="187"/>
      <c r="CM84" s="187"/>
      <c r="CN84" s="188"/>
      <c r="CO84" s="186"/>
      <c r="CP84" s="187"/>
      <c r="CQ84" s="187"/>
      <c r="CR84" s="187"/>
      <c r="CS84" s="187"/>
      <c r="CT84" s="187"/>
      <c r="CU84" s="187"/>
      <c r="CV84" s="187"/>
      <c r="CW84" s="187"/>
      <c r="CX84" s="187"/>
      <c r="CY84" s="188"/>
      <c r="CZ84" s="186"/>
      <c r="DA84" s="187"/>
      <c r="DB84" s="187"/>
      <c r="DC84" s="187"/>
      <c r="DD84" s="187"/>
      <c r="DE84" s="187"/>
      <c r="DF84" s="187"/>
      <c r="DG84" s="187"/>
      <c r="DH84" s="187"/>
      <c r="DI84" s="187"/>
      <c r="DJ84" s="188"/>
      <c r="DK84" s="186"/>
      <c r="DL84" s="187"/>
      <c r="DM84" s="187"/>
      <c r="DN84" s="187"/>
      <c r="DO84" s="187"/>
      <c r="DP84" s="187"/>
      <c r="DQ84" s="187"/>
      <c r="DR84" s="187"/>
      <c r="DS84" s="187"/>
      <c r="DT84" s="187"/>
      <c r="DU84" s="188"/>
    </row>
    <row r="85" hidden="1">
      <c r="A85" s="196"/>
      <c r="B85" s="95"/>
      <c r="C85" s="95"/>
      <c r="D85" s="95"/>
      <c r="E85" s="186"/>
      <c r="F85" s="187"/>
      <c r="G85" s="187"/>
      <c r="H85" s="187"/>
      <c r="I85" s="187"/>
      <c r="J85" s="187"/>
      <c r="K85" s="187"/>
      <c r="L85" s="187"/>
      <c r="M85" s="187"/>
      <c r="N85" s="187"/>
      <c r="O85" s="188"/>
      <c r="P85" s="186">
        <v>3.0</v>
      </c>
      <c r="Q85" s="187">
        <v>8.0</v>
      </c>
      <c r="R85" s="187"/>
      <c r="S85" s="187"/>
      <c r="T85" s="187"/>
      <c r="U85" s="187"/>
      <c r="V85" s="187"/>
      <c r="W85" s="187"/>
      <c r="X85" s="187"/>
      <c r="Y85" s="187"/>
      <c r="Z85" s="188"/>
      <c r="AA85" s="186"/>
      <c r="AB85" s="187"/>
      <c r="AC85" s="187"/>
      <c r="AD85" s="187"/>
      <c r="AE85" s="187"/>
      <c r="AF85" s="187"/>
      <c r="AG85" s="187"/>
      <c r="AH85" s="187"/>
      <c r="AI85" s="187"/>
      <c r="AJ85" s="187"/>
      <c r="AK85" s="188"/>
      <c r="AL85" s="186"/>
      <c r="AM85" s="187"/>
      <c r="AN85" s="187"/>
      <c r="AO85" s="187"/>
      <c r="AP85" s="187"/>
      <c r="AQ85" s="187"/>
      <c r="AR85" s="187"/>
      <c r="AS85" s="187"/>
      <c r="AT85" s="187"/>
      <c r="AU85" s="187"/>
      <c r="AV85" s="188"/>
      <c r="AW85" s="186"/>
      <c r="AX85" s="187"/>
      <c r="AY85" s="187"/>
      <c r="AZ85" s="187"/>
      <c r="BA85" s="187"/>
      <c r="BB85" s="187"/>
      <c r="BC85" s="187"/>
      <c r="BD85" s="187"/>
      <c r="BE85" s="187"/>
      <c r="BF85" s="187"/>
      <c r="BG85" s="188"/>
      <c r="BH85" s="186"/>
      <c r="BI85" s="187"/>
      <c r="BJ85" s="187"/>
      <c r="BK85" s="187"/>
      <c r="BL85" s="187"/>
      <c r="BM85" s="187"/>
      <c r="BN85" s="187"/>
      <c r="BO85" s="187"/>
      <c r="BP85" s="187"/>
      <c r="BQ85" s="187"/>
      <c r="BR85" s="188"/>
      <c r="BS85" s="186"/>
      <c r="BT85" s="187"/>
      <c r="BU85" s="187"/>
      <c r="BV85" s="187"/>
      <c r="BW85" s="187"/>
      <c r="BX85" s="187"/>
      <c r="BY85" s="187"/>
      <c r="BZ85" s="187"/>
      <c r="CA85" s="187"/>
      <c r="CB85" s="187"/>
      <c r="CC85" s="188"/>
      <c r="CD85" s="186"/>
      <c r="CE85" s="187"/>
      <c r="CF85" s="187"/>
      <c r="CG85" s="187"/>
      <c r="CH85" s="187"/>
      <c r="CI85" s="187"/>
      <c r="CJ85" s="187"/>
      <c r="CK85" s="187"/>
      <c r="CL85" s="187"/>
      <c r="CM85" s="187"/>
      <c r="CN85" s="188"/>
      <c r="CO85" s="186"/>
      <c r="CP85" s="187"/>
      <c r="CQ85" s="187"/>
      <c r="CR85" s="187"/>
      <c r="CS85" s="187"/>
      <c r="CT85" s="187"/>
      <c r="CU85" s="187"/>
      <c r="CV85" s="187"/>
      <c r="CW85" s="187"/>
      <c r="CX85" s="187"/>
      <c r="CY85" s="188"/>
      <c r="CZ85" s="186"/>
      <c r="DA85" s="187"/>
      <c r="DB85" s="187"/>
      <c r="DC85" s="187"/>
      <c r="DD85" s="187"/>
      <c r="DE85" s="187"/>
      <c r="DF85" s="187"/>
      <c r="DG85" s="187"/>
      <c r="DH85" s="187"/>
      <c r="DI85" s="187"/>
      <c r="DJ85" s="188"/>
      <c r="DK85" s="186"/>
      <c r="DL85" s="187"/>
      <c r="DM85" s="187"/>
      <c r="DN85" s="187"/>
      <c r="DO85" s="187"/>
      <c r="DP85" s="187"/>
      <c r="DQ85" s="187"/>
      <c r="DR85" s="187"/>
      <c r="DS85" s="187"/>
      <c r="DT85" s="187"/>
      <c r="DU85" s="188"/>
    </row>
    <row r="86" hidden="1">
      <c r="A86" s="196"/>
      <c r="B86" s="95"/>
      <c r="C86" s="95"/>
      <c r="D86" s="95"/>
      <c r="E86" s="186"/>
      <c r="F86" s="187"/>
      <c r="G86" s="187"/>
      <c r="H86" s="187"/>
      <c r="I86" s="187"/>
      <c r="J86" s="187"/>
      <c r="K86" s="187"/>
      <c r="L86" s="187"/>
      <c r="M86" s="187"/>
      <c r="N86" s="187"/>
      <c r="O86" s="188"/>
      <c r="P86" s="186">
        <v>4.0</v>
      </c>
      <c r="Q86" s="187">
        <v>7.0</v>
      </c>
      <c r="R86" s="187"/>
      <c r="S86" s="187"/>
      <c r="T86" s="187"/>
      <c r="U86" s="187"/>
      <c r="V86" s="187"/>
      <c r="W86" s="187"/>
      <c r="X86" s="187"/>
      <c r="Y86" s="187"/>
      <c r="Z86" s="188"/>
      <c r="AA86" s="186"/>
      <c r="AB86" s="187"/>
      <c r="AC86" s="187"/>
      <c r="AD86" s="187"/>
      <c r="AE86" s="187"/>
      <c r="AF86" s="187"/>
      <c r="AG86" s="187"/>
      <c r="AH86" s="187"/>
      <c r="AI86" s="187"/>
      <c r="AJ86" s="187"/>
      <c r="AK86" s="188"/>
      <c r="AL86" s="186"/>
      <c r="AM86" s="187"/>
      <c r="AN86" s="187"/>
      <c r="AO86" s="187"/>
      <c r="AP86" s="187"/>
      <c r="AQ86" s="187"/>
      <c r="AR86" s="187"/>
      <c r="AS86" s="187"/>
      <c r="AT86" s="187"/>
      <c r="AU86" s="187"/>
      <c r="AV86" s="188"/>
      <c r="AW86" s="186"/>
      <c r="AX86" s="187"/>
      <c r="AY86" s="187"/>
      <c r="AZ86" s="187"/>
      <c r="BA86" s="187"/>
      <c r="BB86" s="187"/>
      <c r="BC86" s="187"/>
      <c r="BD86" s="187"/>
      <c r="BE86" s="187"/>
      <c r="BF86" s="187"/>
      <c r="BG86" s="188"/>
      <c r="BH86" s="186"/>
      <c r="BI86" s="187"/>
      <c r="BJ86" s="187"/>
      <c r="BK86" s="187"/>
      <c r="BL86" s="187"/>
      <c r="BM86" s="187"/>
      <c r="BN86" s="187"/>
      <c r="BO86" s="187"/>
      <c r="BP86" s="187"/>
      <c r="BQ86" s="187"/>
      <c r="BR86" s="188"/>
      <c r="BS86" s="186"/>
      <c r="BT86" s="187"/>
      <c r="BU86" s="187"/>
      <c r="BV86" s="187"/>
      <c r="BW86" s="187"/>
      <c r="BX86" s="187"/>
      <c r="BY86" s="187"/>
      <c r="BZ86" s="187"/>
      <c r="CA86" s="187"/>
      <c r="CB86" s="187"/>
      <c r="CC86" s="188"/>
      <c r="CD86" s="186"/>
      <c r="CE86" s="187"/>
      <c r="CF86" s="187"/>
      <c r="CG86" s="187"/>
      <c r="CH86" s="187"/>
      <c r="CI86" s="187"/>
      <c r="CJ86" s="187"/>
      <c r="CK86" s="187"/>
      <c r="CL86" s="187"/>
      <c r="CM86" s="187"/>
      <c r="CN86" s="188"/>
      <c r="CO86" s="186"/>
      <c r="CP86" s="187"/>
      <c r="CQ86" s="187"/>
      <c r="CR86" s="187"/>
      <c r="CS86" s="187"/>
      <c r="CT86" s="187"/>
      <c r="CU86" s="187"/>
      <c r="CV86" s="187"/>
      <c r="CW86" s="187"/>
      <c r="CX86" s="187"/>
      <c r="CY86" s="188"/>
      <c r="CZ86" s="186"/>
      <c r="DA86" s="187"/>
      <c r="DB86" s="187"/>
      <c r="DC86" s="187"/>
      <c r="DD86" s="187"/>
      <c r="DE86" s="187"/>
      <c r="DF86" s="187"/>
      <c r="DG86" s="187"/>
      <c r="DH86" s="187"/>
      <c r="DI86" s="187"/>
      <c r="DJ86" s="188"/>
      <c r="DK86" s="186"/>
      <c r="DL86" s="187"/>
      <c r="DM86" s="187"/>
      <c r="DN86" s="187"/>
      <c r="DO86" s="187"/>
      <c r="DP86" s="187"/>
      <c r="DQ86" s="187"/>
      <c r="DR86" s="187"/>
      <c r="DS86" s="187"/>
      <c r="DT86" s="187"/>
      <c r="DU86" s="188"/>
    </row>
    <row r="87" hidden="1">
      <c r="A87" s="196"/>
      <c r="B87" s="95"/>
      <c r="C87" s="95"/>
      <c r="D87" s="95"/>
      <c r="E87" s="186"/>
      <c r="F87" s="187"/>
      <c r="G87" s="187"/>
      <c r="H87" s="187"/>
      <c r="I87" s="187"/>
      <c r="J87" s="187"/>
      <c r="K87" s="187"/>
      <c r="L87" s="187"/>
      <c r="M87" s="187"/>
      <c r="N87" s="187"/>
      <c r="O87" s="188"/>
      <c r="P87" s="186">
        <v>5.0</v>
      </c>
      <c r="Q87" s="187">
        <v>6.0</v>
      </c>
      <c r="R87" s="187"/>
      <c r="S87" s="187"/>
      <c r="T87" s="187"/>
      <c r="U87" s="187"/>
      <c r="V87" s="187"/>
      <c r="W87" s="187"/>
      <c r="X87" s="187"/>
      <c r="Y87" s="187"/>
      <c r="Z87" s="188"/>
      <c r="AA87" s="186"/>
      <c r="AB87" s="187"/>
      <c r="AC87" s="187"/>
      <c r="AD87" s="187"/>
      <c r="AE87" s="187"/>
      <c r="AF87" s="187"/>
      <c r="AG87" s="187"/>
      <c r="AH87" s="187"/>
      <c r="AI87" s="187"/>
      <c r="AJ87" s="187"/>
      <c r="AK87" s="188"/>
      <c r="AL87" s="186"/>
      <c r="AM87" s="187"/>
      <c r="AN87" s="187"/>
      <c r="AO87" s="187"/>
      <c r="AP87" s="187"/>
      <c r="AQ87" s="187"/>
      <c r="AR87" s="187"/>
      <c r="AS87" s="187"/>
      <c r="AT87" s="187"/>
      <c r="AU87" s="187"/>
      <c r="AV87" s="188"/>
      <c r="AW87" s="186"/>
      <c r="AX87" s="187"/>
      <c r="AY87" s="187"/>
      <c r="AZ87" s="187"/>
      <c r="BA87" s="187"/>
      <c r="BB87" s="187"/>
      <c r="BC87" s="187"/>
      <c r="BD87" s="187"/>
      <c r="BE87" s="187"/>
      <c r="BF87" s="187"/>
      <c r="BG87" s="188"/>
      <c r="BH87" s="186"/>
      <c r="BI87" s="187"/>
      <c r="BJ87" s="187"/>
      <c r="BK87" s="187"/>
      <c r="BL87" s="187"/>
      <c r="BM87" s="187"/>
      <c r="BN87" s="187"/>
      <c r="BO87" s="187"/>
      <c r="BP87" s="187"/>
      <c r="BQ87" s="187"/>
      <c r="BR87" s="188"/>
      <c r="BS87" s="186"/>
      <c r="BT87" s="187"/>
      <c r="BU87" s="187"/>
      <c r="BV87" s="187"/>
      <c r="BW87" s="187"/>
      <c r="BX87" s="187"/>
      <c r="BY87" s="187"/>
      <c r="BZ87" s="187"/>
      <c r="CA87" s="187"/>
      <c r="CB87" s="187"/>
      <c r="CC87" s="188"/>
      <c r="CD87" s="186"/>
      <c r="CE87" s="187"/>
      <c r="CF87" s="187"/>
      <c r="CG87" s="187"/>
      <c r="CH87" s="187"/>
      <c r="CI87" s="187"/>
      <c r="CJ87" s="187"/>
      <c r="CK87" s="187"/>
      <c r="CL87" s="187"/>
      <c r="CM87" s="187"/>
      <c r="CN87" s="188"/>
      <c r="CO87" s="186"/>
      <c r="CP87" s="187"/>
      <c r="CQ87" s="187"/>
      <c r="CR87" s="187"/>
      <c r="CS87" s="187"/>
      <c r="CT87" s="187"/>
      <c r="CU87" s="187"/>
      <c r="CV87" s="187"/>
      <c r="CW87" s="187"/>
      <c r="CX87" s="187"/>
      <c r="CY87" s="188"/>
      <c r="CZ87" s="186"/>
      <c r="DA87" s="187"/>
      <c r="DB87" s="187"/>
      <c r="DC87" s="187"/>
      <c r="DD87" s="187"/>
      <c r="DE87" s="187"/>
      <c r="DF87" s="187"/>
      <c r="DG87" s="187"/>
      <c r="DH87" s="187"/>
      <c r="DI87" s="187"/>
      <c r="DJ87" s="188"/>
      <c r="DK87" s="186"/>
      <c r="DL87" s="187"/>
      <c r="DM87" s="187"/>
      <c r="DN87" s="187"/>
      <c r="DO87" s="187"/>
      <c r="DP87" s="187"/>
      <c r="DQ87" s="187"/>
      <c r="DR87" s="187"/>
      <c r="DS87" s="187"/>
      <c r="DT87" s="187"/>
      <c r="DU87" s="188"/>
    </row>
    <row r="88" hidden="1">
      <c r="A88" s="196"/>
      <c r="B88" s="95"/>
      <c r="C88" s="95"/>
      <c r="D88" s="95"/>
      <c r="E88" s="186"/>
      <c r="F88" s="187"/>
      <c r="G88" s="187"/>
      <c r="H88" s="187"/>
      <c r="I88" s="187"/>
      <c r="J88" s="187"/>
      <c r="K88" s="187"/>
      <c r="L88" s="187"/>
      <c r="M88" s="187"/>
      <c r="N88" s="187"/>
      <c r="O88" s="188"/>
      <c r="P88" s="186">
        <v>6.0</v>
      </c>
      <c r="Q88" s="187">
        <v>5.0</v>
      </c>
      <c r="R88" s="187"/>
      <c r="S88" s="187"/>
      <c r="T88" s="187"/>
      <c r="U88" s="187"/>
      <c r="V88" s="187"/>
      <c r="W88" s="187"/>
      <c r="X88" s="187"/>
      <c r="Y88" s="187"/>
      <c r="Z88" s="188"/>
      <c r="AA88" s="186"/>
      <c r="AB88" s="187"/>
      <c r="AC88" s="187"/>
      <c r="AD88" s="187"/>
      <c r="AE88" s="187"/>
      <c r="AF88" s="187"/>
      <c r="AG88" s="187"/>
      <c r="AH88" s="187"/>
      <c r="AI88" s="187"/>
      <c r="AJ88" s="187"/>
      <c r="AK88" s="188"/>
      <c r="AL88" s="186"/>
      <c r="AM88" s="187"/>
      <c r="AN88" s="187"/>
      <c r="AO88" s="187"/>
      <c r="AP88" s="187"/>
      <c r="AQ88" s="187"/>
      <c r="AR88" s="187"/>
      <c r="AS88" s="187"/>
      <c r="AT88" s="187"/>
      <c r="AU88" s="187"/>
      <c r="AV88" s="188"/>
      <c r="AW88" s="186"/>
      <c r="AX88" s="187"/>
      <c r="AY88" s="187"/>
      <c r="AZ88" s="187"/>
      <c r="BA88" s="187"/>
      <c r="BB88" s="187"/>
      <c r="BC88" s="187"/>
      <c r="BD88" s="187"/>
      <c r="BE88" s="187"/>
      <c r="BF88" s="187"/>
      <c r="BG88" s="188"/>
      <c r="BH88" s="186"/>
      <c r="BI88" s="187"/>
      <c r="BJ88" s="187"/>
      <c r="BK88" s="187"/>
      <c r="BL88" s="187"/>
      <c r="BM88" s="187"/>
      <c r="BN88" s="187"/>
      <c r="BO88" s="187"/>
      <c r="BP88" s="187"/>
      <c r="BQ88" s="187"/>
      <c r="BR88" s="188"/>
      <c r="BS88" s="186"/>
      <c r="BT88" s="187"/>
      <c r="BU88" s="187"/>
      <c r="BV88" s="187"/>
      <c r="BW88" s="187"/>
      <c r="BX88" s="187"/>
      <c r="BY88" s="187"/>
      <c r="BZ88" s="187"/>
      <c r="CA88" s="187"/>
      <c r="CB88" s="187"/>
      <c r="CC88" s="188"/>
      <c r="CD88" s="186"/>
      <c r="CE88" s="187"/>
      <c r="CF88" s="187"/>
      <c r="CG88" s="187"/>
      <c r="CH88" s="187"/>
      <c r="CI88" s="187"/>
      <c r="CJ88" s="187"/>
      <c r="CK88" s="187"/>
      <c r="CL88" s="187"/>
      <c r="CM88" s="187"/>
      <c r="CN88" s="188"/>
      <c r="CO88" s="186"/>
      <c r="CP88" s="187"/>
      <c r="CQ88" s="187"/>
      <c r="CR88" s="187"/>
      <c r="CS88" s="187"/>
      <c r="CT88" s="187"/>
      <c r="CU88" s="187"/>
      <c r="CV88" s="187"/>
      <c r="CW88" s="187"/>
      <c r="CX88" s="187"/>
      <c r="CY88" s="188"/>
      <c r="CZ88" s="186"/>
      <c r="DA88" s="187"/>
      <c r="DB88" s="187"/>
      <c r="DC88" s="187"/>
      <c r="DD88" s="187"/>
      <c r="DE88" s="187"/>
      <c r="DF88" s="187"/>
      <c r="DG88" s="187"/>
      <c r="DH88" s="187"/>
      <c r="DI88" s="187"/>
      <c r="DJ88" s="188"/>
      <c r="DK88" s="186"/>
      <c r="DL88" s="187"/>
      <c r="DM88" s="187"/>
      <c r="DN88" s="187"/>
      <c r="DO88" s="187"/>
      <c r="DP88" s="187"/>
      <c r="DQ88" s="187"/>
      <c r="DR88" s="187"/>
      <c r="DS88" s="187"/>
      <c r="DT88" s="187"/>
      <c r="DU88" s="188"/>
    </row>
    <row r="89" hidden="1">
      <c r="A89" s="196"/>
      <c r="B89" s="95"/>
      <c r="C89" s="95"/>
      <c r="D89" s="95"/>
      <c r="E89" s="186"/>
      <c r="F89" s="187"/>
      <c r="G89" s="187"/>
      <c r="H89" s="187"/>
      <c r="I89" s="187"/>
      <c r="J89" s="187"/>
      <c r="K89" s="187"/>
      <c r="L89" s="187"/>
      <c r="M89" s="187"/>
      <c r="N89" s="187"/>
      <c r="O89" s="188"/>
      <c r="P89" s="186">
        <v>7.0</v>
      </c>
      <c r="Q89" s="187">
        <v>4.0</v>
      </c>
      <c r="R89" s="187"/>
      <c r="S89" s="187"/>
      <c r="T89" s="187"/>
      <c r="U89" s="187"/>
      <c r="V89" s="187"/>
      <c r="W89" s="187"/>
      <c r="X89" s="187"/>
      <c r="Y89" s="187"/>
      <c r="Z89" s="188"/>
      <c r="AA89" s="186"/>
      <c r="AB89" s="187"/>
      <c r="AC89" s="187"/>
      <c r="AD89" s="187"/>
      <c r="AE89" s="187"/>
      <c r="AF89" s="187"/>
      <c r="AG89" s="187"/>
      <c r="AH89" s="187"/>
      <c r="AI89" s="187"/>
      <c r="AJ89" s="187"/>
      <c r="AK89" s="188"/>
      <c r="AL89" s="186"/>
      <c r="AM89" s="187"/>
      <c r="AN89" s="187"/>
      <c r="AO89" s="187"/>
      <c r="AP89" s="187"/>
      <c r="AQ89" s="187"/>
      <c r="AR89" s="187"/>
      <c r="AS89" s="187"/>
      <c r="AT89" s="187"/>
      <c r="AU89" s="187"/>
      <c r="AV89" s="188"/>
      <c r="AW89" s="186"/>
      <c r="AX89" s="187"/>
      <c r="AY89" s="187"/>
      <c r="AZ89" s="187"/>
      <c r="BA89" s="187"/>
      <c r="BB89" s="187"/>
      <c r="BC89" s="187"/>
      <c r="BD89" s="187"/>
      <c r="BE89" s="187"/>
      <c r="BF89" s="187"/>
      <c r="BG89" s="188"/>
      <c r="BH89" s="186"/>
      <c r="BI89" s="187"/>
      <c r="BJ89" s="187"/>
      <c r="BK89" s="187"/>
      <c r="BL89" s="187"/>
      <c r="BM89" s="187"/>
      <c r="BN89" s="187"/>
      <c r="BO89" s="187"/>
      <c r="BP89" s="187"/>
      <c r="BQ89" s="187"/>
      <c r="BR89" s="188"/>
      <c r="BS89" s="186"/>
      <c r="BT89" s="187"/>
      <c r="BU89" s="187"/>
      <c r="BV89" s="187"/>
      <c r="BW89" s="187"/>
      <c r="BX89" s="187"/>
      <c r="BY89" s="187"/>
      <c r="BZ89" s="187"/>
      <c r="CA89" s="187"/>
      <c r="CB89" s="187"/>
      <c r="CC89" s="188"/>
      <c r="CD89" s="186"/>
      <c r="CE89" s="187"/>
      <c r="CF89" s="187"/>
      <c r="CG89" s="187"/>
      <c r="CH89" s="187"/>
      <c r="CI89" s="187"/>
      <c r="CJ89" s="187"/>
      <c r="CK89" s="187"/>
      <c r="CL89" s="187"/>
      <c r="CM89" s="187"/>
      <c r="CN89" s="188"/>
      <c r="CO89" s="186"/>
      <c r="CP89" s="187"/>
      <c r="CQ89" s="187"/>
      <c r="CR89" s="187"/>
      <c r="CS89" s="187"/>
      <c r="CT89" s="187"/>
      <c r="CU89" s="187"/>
      <c r="CV89" s="187"/>
      <c r="CW89" s="187"/>
      <c r="CX89" s="187"/>
      <c r="CY89" s="188"/>
      <c r="CZ89" s="186"/>
      <c r="DA89" s="187"/>
      <c r="DB89" s="187"/>
      <c r="DC89" s="187"/>
      <c r="DD89" s="187"/>
      <c r="DE89" s="187"/>
      <c r="DF89" s="187"/>
      <c r="DG89" s="187"/>
      <c r="DH89" s="187"/>
      <c r="DI89" s="187"/>
      <c r="DJ89" s="188"/>
      <c r="DK89" s="186"/>
      <c r="DL89" s="187"/>
      <c r="DM89" s="187"/>
      <c r="DN89" s="187"/>
      <c r="DO89" s="187"/>
      <c r="DP89" s="187"/>
      <c r="DQ89" s="187"/>
      <c r="DR89" s="187"/>
      <c r="DS89" s="187"/>
      <c r="DT89" s="187"/>
      <c r="DU89" s="188"/>
    </row>
    <row r="90" hidden="1">
      <c r="A90" s="196"/>
      <c r="B90" s="95"/>
      <c r="C90" s="95"/>
      <c r="D90" s="95"/>
      <c r="E90" s="186"/>
      <c r="F90" s="187"/>
      <c r="G90" s="187"/>
      <c r="H90" s="187"/>
      <c r="I90" s="187"/>
      <c r="J90" s="187"/>
      <c r="K90" s="187"/>
      <c r="L90" s="187"/>
      <c r="M90" s="187"/>
      <c r="N90" s="187"/>
      <c r="O90" s="188"/>
      <c r="P90" s="186">
        <v>8.0</v>
      </c>
      <c r="Q90" s="187">
        <v>3.0</v>
      </c>
      <c r="R90" s="187"/>
      <c r="S90" s="187"/>
      <c r="T90" s="187"/>
      <c r="U90" s="187"/>
      <c r="V90" s="187"/>
      <c r="W90" s="187"/>
      <c r="X90" s="187"/>
      <c r="Y90" s="187"/>
      <c r="Z90" s="188"/>
      <c r="AA90" s="186"/>
      <c r="AB90" s="187"/>
      <c r="AC90" s="187"/>
      <c r="AD90" s="187"/>
      <c r="AE90" s="187"/>
      <c r="AF90" s="187"/>
      <c r="AG90" s="187"/>
      <c r="AH90" s="187"/>
      <c r="AI90" s="187"/>
      <c r="AJ90" s="187"/>
      <c r="AK90" s="188"/>
      <c r="AL90" s="186"/>
      <c r="AM90" s="187"/>
      <c r="AN90" s="187"/>
      <c r="AO90" s="187"/>
      <c r="AP90" s="187"/>
      <c r="AQ90" s="187"/>
      <c r="AR90" s="187"/>
      <c r="AS90" s="187"/>
      <c r="AT90" s="187"/>
      <c r="AU90" s="187"/>
      <c r="AV90" s="188"/>
      <c r="AW90" s="186"/>
      <c r="AX90" s="187"/>
      <c r="AY90" s="187"/>
      <c r="AZ90" s="187"/>
      <c r="BA90" s="187"/>
      <c r="BB90" s="187"/>
      <c r="BC90" s="187"/>
      <c r="BD90" s="187"/>
      <c r="BE90" s="187"/>
      <c r="BF90" s="187"/>
      <c r="BG90" s="188"/>
      <c r="BH90" s="186"/>
      <c r="BI90" s="187"/>
      <c r="BJ90" s="187"/>
      <c r="BK90" s="187"/>
      <c r="BL90" s="187"/>
      <c r="BM90" s="187"/>
      <c r="BN90" s="187"/>
      <c r="BO90" s="187"/>
      <c r="BP90" s="187"/>
      <c r="BQ90" s="187"/>
      <c r="BR90" s="188"/>
      <c r="BS90" s="186"/>
      <c r="BT90" s="187"/>
      <c r="BU90" s="187"/>
      <c r="BV90" s="187"/>
      <c r="BW90" s="187"/>
      <c r="BX90" s="187"/>
      <c r="BY90" s="187"/>
      <c r="BZ90" s="187"/>
      <c r="CA90" s="187"/>
      <c r="CB90" s="187"/>
      <c r="CC90" s="188"/>
      <c r="CD90" s="186"/>
      <c r="CE90" s="187"/>
      <c r="CF90" s="187"/>
      <c r="CG90" s="187"/>
      <c r="CH90" s="187"/>
      <c r="CI90" s="187"/>
      <c r="CJ90" s="187"/>
      <c r="CK90" s="187"/>
      <c r="CL90" s="187"/>
      <c r="CM90" s="187"/>
      <c r="CN90" s="188"/>
      <c r="CO90" s="186"/>
      <c r="CP90" s="187"/>
      <c r="CQ90" s="187"/>
      <c r="CR90" s="187"/>
      <c r="CS90" s="187"/>
      <c r="CT90" s="187"/>
      <c r="CU90" s="187"/>
      <c r="CV90" s="187"/>
      <c r="CW90" s="187"/>
      <c r="CX90" s="187"/>
      <c r="CY90" s="188"/>
      <c r="CZ90" s="186"/>
      <c r="DA90" s="187"/>
      <c r="DB90" s="187"/>
      <c r="DC90" s="187"/>
      <c r="DD90" s="187"/>
      <c r="DE90" s="187"/>
      <c r="DF90" s="187"/>
      <c r="DG90" s="187"/>
      <c r="DH90" s="187"/>
      <c r="DI90" s="187"/>
      <c r="DJ90" s="188"/>
      <c r="DK90" s="186"/>
      <c r="DL90" s="187"/>
      <c r="DM90" s="187"/>
      <c r="DN90" s="187"/>
      <c r="DO90" s="187"/>
      <c r="DP90" s="187"/>
      <c r="DQ90" s="187"/>
      <c r="DR90" s="187"/>
      <c r="DS90" s="187"/>
      <c r="DT90" s="187"/>
      <c r="DU90" s="188"/>
    </row>
    <row r="91" hidden="1">
      <c r="A91" s="196"/>
      <c r="B91" s="95"/>
      <c r="C91" s="95"/>
      <c r="D91" s="95"/>
      <c r="E91" s="186"/>
      <c r="F91" s="187"/>
      <c r="G91" s="187"/>
      <c r="H91" s="187"/>
      <c r="I91" s="187"/>
      <c r="J91" s="187"/>
      <c r="K91" s="187"/>
      <c r="L91" s="187"/>
      <c r="M91" s="187"/>
      <c r="N91" s="187"/>
      <c r="O91" s="188"/>
      <c r="P91" s="186">
        <v>9.0</v>
      </c>
      <c r="Q91" s="187">
        <v>2.0</v>
      </c>
      <c r="R91" s="187"/>
      <c r="S91" s="187"/>
      <c r="T91" s="187"/>
      <c r="U91" s="187"/>
      <c r="V91" s="187"/>
      <c r="W91" s="187"/>
      <c r="X91" s="187"/>
      <c r="Y91" s="187"/>
      <c r="Z91" s="188"/>
      <c r="AA91" s="186"/>
      <c r="AB91" s="187"/>
      <c r="AC91" s="187"/>
      <c r="AD91" s="187"/>
      <c r="AE91" s="187"/>
      <c r="AF91" s="187"/>
      <c r="AG91" s="187"/>
      <c r="AH91" s="187"/>
      <c r="AI91" s="187"/>
      <c r="AJ91" s="187"/>
      <c r="AK91" s="188"/>
      <c r="AL91" s="186"/>
      <c r="AM91" s="187"/>
      <c r="AN91" s="187"/>
      <c r="AO91" s="187"/>
      <c r="AP91" s="187"/>
      <c r="AQ91" s="187"/>
      <c r="AR91" s="187"/>
      <c r="AS91" s="187"/>
      <c r="AT91" s="187"/>
      <c r="AU91" s="187"/>
      <c r="AV91" s="188"/>
      <c r="AW91" s="186"/>
      <c r="AX91" s="187"/>
      <c r="AY91" s="187"/>
      <c r="AZ91" s="187"/>
      <c r="BA91" s="187"/>
      <c r="BB91" s="187"/>
      <c r="BC91" s="187"/>
      <c r="BD91" s="187"/>
      <c r="BE91" s="187"/>
      <c r="BF91" s="187"/>
      <c r="BG91" s="188"/>
      <c r="BH91" s="186"/>
      <c r="BI91" s="187"/>
      <c r="BJ91" s="187"/>
      <c r="BK91" s="187"/>
      <c r="BL91" s="187"/>
      <c r="BM91" s="187"/>
      <c r="BN91" s="187"/>
      <c r="BO91" s="187"/>
      <c r="BP91" s="187"/>
      <c r="BQ91" s="187"/>
      <c r="BR91" s="188"/>
      <c r="BS91" s="186"/>
      <c r="BT91" s="187"/>
      <c r="BU91" s="187"/>
      <c r="BV91" s="187"/>
      <c r="BW91" s="187"/>
      <c r="BX91" s="187"/>
      <c r="BY91" s="187"/>
      <c r="BZ91" s="187"/>
      <c r="CA91" s="187"/>
      <c r="CB91" s="187"/>
      <c r="CC91" s="188"/>
      <c r="CD91" s="186"/>
      <c r="CE91" s="187"/>
      <c r="CF91" s="187"/>
      <c r="CG91" s="187"/>
      <c r="CH91" s="187"/>
      <c r="CI91" s="187"/>
      <c r="CJ91" s="187"/>
      <c r="CK91" s="187"/>
      <c r="CL91" s="187"/>
      <c r="CM91" s="187"/>
      <c r="CN91" s="188"/>
      <c r="CO91" s="186"/>
      <c r="CP91" s="187"/>
      <c r="CQ91" s="187"/>
      <c r="CR91" s="187"/>
      <c r="CS91" s="187"/>
      <c r="CT91" s="187"/>
      <c r="CU91" s="187"/>
      <c r="CV91" s="187"/>
      <c r="CW91" s="187"/>
      <c r="CX91" s="187"/>
      <c r="CY91" s="188"/>
      <c r="CZ91" s="186"/>
      <c r="DA91" s="187"/>
      <c r="DB91" s="187"/>
      <c r="DC91" s="187"/>
      <c r="DD91" s="187"/>
      <c r="DE91" s="187"/>
      <c r="DF91" s="187"/>
      <c r="DG91" s="187"/>
      <c r="DH91" s="187"/>
      <c r="DI91" s="187"/>
      <c r="DJ91" s="188"/>
      <c r="DK91" s="186"/>
      <c r="DL91" s="187"/>
      <c r="DM91" s="187"/>
      <c r="DN91" s="187"/>
      <c r="DO91" s="187"/>
      <c r="DP91" s="187"/>
      <c r="DQ91" s="187"/>
      <c r="DR91" s="187"/>
      <c r="DS91" s="187"/>
      <c r="DT91" s="187"/>
      <c r="DU91" s="188"/>
    </row>
    <row r="92" hidden="1">
      <c r="A92" s="196"/>
      <c r="B92" s="95"/>
      <c r="C92" s="95"/>
      <c r="D92" s="95"/>
      <c r="E92" s="186"/>
      <c r="F92" s="187"/>
      <c r="G92" s="187"/>
      <c r="H92" s="187"/>
      <c r="I92" s="187"/>
      <c r="J92" s="187"/>
      <c r="K92" s="187"/>
      <c r="L92" s="187"/>
      <c r="M92" s="187"/>
      <c r="N92" s="187"/>
      <c r="O92" s="188"/>
      <c r="P92" s="186">
        <v>10.0</v>
      </c>
      <c r="Q92" s="187">
        <v>1.0</v>
      </c>
      <c r="R92" s="187"/>
      <c r="S92" s="187"/>
      <c r="T92" s="187"/>
      <c r="U92" s="187"/>
      <c r="V92" s="187"/>
      <c r="W92" s="187"/>
      <c r="X92" s="187"/>
      <c r="Y92" s="187"/>
      <c r="Z92" s="188"/>
      <c r="AA92" s="186"/>
      <c r="AB92" s="187"/>
      <c r="AC92" s="187"/>
      <c r="AD92" s="187"/>
      <c r="AE92" s="187"/>
      <c r="AF92" s="187"/>
      <c r="AG92" s="187"/>
      <c r="AH92" s="187"/>
      <c r="AI92" s="187"/>
      <c r="AJ92" s="187"/>
      <c r="AK92" s="188"/>
      <c r="AL92" s="186"/>
      <c r="AM92" s="187"/>
      <c r="AN92" s="187"/>
      <c r="AO92" s="187"/>
      <c r="AP92" s="187"/>
      <c r="AQ92" s="187"/>
      <c r="AR92" s="187"/>
      <c r="AS92" s="187"/>
      <c r="AT92" s="187"/>
      <c r="AU92" s="187"/>
      <c r="AV92" s="188"/>
      <c r="AW92" s="186"/>
      <c r="AX92" s="187"/>
      <c r="AY92" s="187"/>
      <c r="AZ92" s="187"/>
      <c r="BA92" s="187"/>
      <c r="BB92" s="187"/>
      <c r="BC92" s="187"/>
      <c r="BD92" s="187"/>
      <c r="BE92" s="187"/>
      <c r="BF92" s="187"/>
      <c r="BG92" s="188"/>
      <c r="BH92" s="186"/>
      <c r="BI92" s="187"/>
      <c r="BJ92" s="187"/>
      <c r="BK92" s="187"/>
      <c r="BL92" s="187"/>
      <c r="BM92" s="187"/>
      <c r="BN92" s="187"/>
      <c r="BO92" s="187"/>
      <c r="BP92" s="187"/>
      <c r="BQ92" s="187"/>
      <c r="BR92" s="188"/>
      <c r="BS92" s="186"/>
      <c r="BT92" s="187"/>
      <c r="BU92" s="187"/>
      <c r="BV92" s="187"/>
      <c r="BW92" s="187"/>
      <c r="BX92" s="187"/>
      <c r="BY92" s="187"/>
      <c r="BZ92" s="187"/>
      <c r="CA92" s="187"/>
      <c r="CB92" s="187"/>
      <c r="CC92" s="188"/>
      <c r="CD92" s="186"/>
      <c r="CE92" s="187"/>
      <c r="CF92" s="187"/>
      <c r="CG92" s="187"/>
      <c r="CH92" s="187"/>
      <c r="CI92" s="187"/>
      <c r="CJ92" s="187"/>
      <c r="CK92" s="187"/>
      <c r="CL92" s="187"/>
      <c r="CM92" s="187"/>
      <c r="CN92" s="188"/>
      <c r="CO92" s="186"/>
      <c r="CP92" s="187"/>
      <c r="CQ92" s="187"/>
      <c r="CR92" s="187"/>
      <c r="CS92" s="187"/>
      <c r="CT92" s="187"/>
      <c r="CU92" s="187"/>
      <c r="CV92" s="187"/>
      <c r="CW92" s="187"/>
      <c r="CX92" s="187"/>
      <c r="CY92" s="188"/>
      <c r="CZ92" s="186"/>
      <c r="DA92" s="187"/>
      <c r="DB92" s="187"/>
      <c r="DC92" s="187"/>
      <c r="DD92" s="187"/>
      <c r="DE92" s="187"/>
      <c r="DF92" s="187"/>
      <c r="DG92" s="187"/>
      <c r="DH92" s="187"/>
      <c r="DI92" s="187"/>
      <c r="DJ92" s="188"/>
      <c r="DK92" s="186"/>
      <c r="DL92" s="187"/>
      <c r="DM92" s="187"/>
      <c r="DN92" s="187"/>
      <c r="DO92" s="187"/>
      <c r="DP92" s="187"/>
      <c r="DQ92" s="187"/>
      <c r="DR92" s="187"/>
      <c r="DS92" s="187"/>
      <c r="DT92" s="187"/>
      <c r="DU92" s="188"/>
    </row>
    <row r="93" hidden="1">
      <c r="A93" s="196"/>
      <c r="B93" s="95"/>
      <c r="C93" s="95"/>
      <c r="D93" s="95"/>
      <c r="E93" s="186"/>
      <c r="F93" s="187"/>
      <c r="G93" s="187"/>
      <c r="H93" s="187"/>
      <c r="I93" s="187"/>
      <c r="J93" s="187"/>
      <c r="K93" s="187"/>
      <c r="L93" s="187"/>
      <c r="M93" s="187"/>
      <c r="N93" s="187"/>
      <c r="O93" s="188"/>
      <c r="P93" s="186">
        <v>11.0</v>
      </c>
      <c r="Q93" s="187">
        <v>1.0</v>
      </c>
      <c r="R93" s="187"/>
      <c r="S93" s="187"/>
      <c r="T93" s="187"/>
      <c r="U93" s="187"/>
      <c r="V93" s="187"/>
      <c r="W93" s="187"/>
      <c r="X93" s="187"/>
      <c r="Y93" s="187"/>
      <c r="Z93" s="188"/>
      <c r="AA93" s="186"/>
      <c r="AB93" s="187"/>
      <c r="AC93" s="187"/>
      <c r="AD93" s="187"/>
      <c r="AE93" s="187"/>
      <c r="AF93" s="187"/>
      <c r="AG93" s="187"/>
      <c r="AH93" s="187"/>
      <c r="AI93" s="187"/>
      <c r="AJ93" s="187"/>
      <c r="AK93" s="188"/>
      <c r="AL93" s="186"/>
      <c r="AM93" s="187"/>
      <c r="AN93" s="187"/>
      <c r="AO93" s="187"/>
      <c r="AP93" s="187"/>
      <c r="AQ93" s="187"/>
      <c r="AR93" s="187"/>
      <c r="AS93" s="187"/>
      <c r="AT93" s="187"/>
      <c r="AU93" s="187"/>
      <c r="AV93" s="188"/>
      <c r="AW93" s="186"/>
      <c r="AX93" s="187"/>
      <c r="AY93" s="187"/>
      <c r="AZ93" s="187"/>
      <c r="BA93" s="187"/>
      <c r="BB93" s="187"/>
      <c r="BC93" s="187"/>
      <c r="BD93" s="187"/>
      <c r="BE93" s="187"/>
      <c r="BF93" s="187"/>
      <c r="BG93" s="188"/>
      <c r="BH93" s="186"/>
      <c r="BI93" s="187"/>
      <c r="BJ93" s="187"/>
      <c r="BK93" s="187"/>
      <c r="BL93" s="187"/>
      <c r="BM93" s="187"/>
      <c r="BN93" s="187"/>
      <c r="BO93" s="187"/>
      <c r="BP93" s="187"/>
      <c r="BQ93" s="187"/>
      <c r="BR93" s="188"/>
      <c r="BS93" s="186"/>
      <c r="BT93" s="187"/>
      <c r="BU93" s="187"/>
      <c r="BV93" s="187"/>
      <c r="BW93" s="187"/>
      <c r="BX93" s="187"/>
      <c r="BY93" s="187"/>
      <c r="BZ93" s="187"/>
      <c r="CA93" s="187"/>
      <c r="CB93" s="187"/>
      <c r="CC93" s="188"/>
      <c r="CD93" s="186"/>
      <c r="CE93" s="187"/>
      <c r="CF93" s="187"/>
      <c r="CG93" s="187"/>
      <c r="CH93" s="187"/>
      <c r="CI93" s="187"/>
      <c r="CJ93" s="187"/>
      <c r="CK93" s="187"/>
      <c r="CL93" s="187"/>
      <c r="CM93" s="187"/>
      <c r="CN93" s="188"/>
      <c r="CO93" s="186"/>
      <c r="CP93" s="187"/>
      <c r="CQ93" s="187"/>
      <c r="CR93" s="187"/>
      <c r="CS93" s="187"/>
      <c r="CT93" s="187"/>
      <c r="CU93" s="187"/>
      <c r="CV93" s="187"/>
      <c r="CW93" s="187"/>
      <c r="CX93" s="187"/>
      <c r="CY93" s="188"/>
      <c r="CZ93" s="186"/>
      <c r="DA93" s="187"/>
      <c r="DB93" s="187"/>
      <c r="DC93" s="187"/>
      <c r="DD93" s="187"/>
      <c r="DE93" s="187"/>
      <c r="DF93" s="187"/>
      <c r="DG93" s="187"/>
      <c r="DH93" s="187"/>
      <c r="DI93" s="187"/>
      <c r="DJ93" s="188"/>
      <c r="DK93" s="186"/>
      <c r="DL93" s="187"/>
      <c r="DM93" s="187"/>
      <c r="DN93" s="187"/>
      <c r="DO93" s="187"/>
      <c r="DP93" s="187"/>
      <c r="DQ93" s="187"/>
      <c r="DR93" s="187"/>
      <c r="DS93" s="187"/>
      <c r="DT93" s="187"/>
      <c r="DU93" s="188"/>
    </row>
    <row r="94" hidden="1">
      <c r="A94" s="196"/>
      <c r="B94" s="95"/>
      <c r="C94" s="95"/>
      <c r="D94" s="95"/>
      <c r="E94" s="186"/>
      <c r="F94" s="187"/>
      <c r="G94" s="187"/>
      <c r="H94" s="187"/>
      <c r="I94" s="187"/>
      <c r="J94" s="187"/>
      <c r="K94" s="187"/>
      <c r="L94" s="187"/>
      <c r="M94" s="187"/>
      <c r="N94" s="187"/>
      <c r="O94" s="188"/>
      <c r="P94" s="186">
        <v>12.0</v>
      </c>
      <c r="Q94" s="187">
        <v>1.0</v>
      </c>
      <c r="R94" s="187"/>
      <c r="S94" s="187"/>
      <c r="T94" s="187"/>
      <c r="U94" s="187"/>
      <c r="V94" s="187"/>
      <c r="W94" s="187"/>
      <c r="X94" s="187"/>
      <c r="Y94" s="187"/>
      <c r="Z94" s="188"/>
      <c r="AA94" s="186"/>
      <c r="AB94" s="187"/>
      <c r="AC94" s="187"/>
      <c r="AD94" s="187"/>
      <c r="AE94" s="187"/>
      <c r="AF94" s="187"/>
      <c r="AG94" s="187"/>
      <c r="AH94" s="187"/>
      <c r="AI94" s="187"/>
      <c r="AJ94" s="187"/>
      <c r="AK94" s="188"/>
      <c r="AL94" s="186"/>
      <c r="AM94" s="187"/>
      <c r="AN94" s="187"/>
      <c r="AO94" s="187"/>
      <c r="AP94" s="187"/>
      <c r="AQ94" s="187"/>
      <c r="AR94" s="187"/>
      <c r="AS94" s="187"/>
      <c r="AT94" s="187"/>
      <c r="AU94" s="187"/>
      <c r="AV94" s="188"/>
      <c r="AW94" s="186"/>
      <c r="AX94" s="187"/>
      <c r="AY94" s="187"/>
      <c r="AZ94" s="187"/>
      <c r="BA94" s="187"/>
      <c r="BB94" s="187"/>
      <c r="BC94" s="187"/>
      <c r="BD94" s="187"/>
      <c r="BE94" s="187"/>
      <c r="BF94" s="187"/>
      <c r="BG94" s="188"/>
      <c r="BH94" s="186"/>
      <c r="BI94" s="187"/>
      <c r="BJ94" s="187"/>
      <c r="BK94" s="187"/>
      <c r="BL94" s="187"/>
      <c r="BM94" s="187"/>
      <c r="BN94" s="187"/>
      <c r="BO94" s="187"/>
      <c r="BP94" s="187"/>
      <c r="BQ94" s="187"/>
      <c r="BR94" s="188"/>
      <c r="BS94" s="186"/>
      <c r="BT94" s="187"/>
      <c r="BU94" s="187"/>
      <c r="BV94" s="187"/>
      <c r="BW94" s="187"/>
      <c r="BX94" s="187"/>
      <c r="BY94" s="187"/>
      <c r="BZ94" s="187"/>
      <c r="CA94" s="187"/>
      <c r="CB94" s="187"/>
      <c r="CC94" s="188"/>
      <c r="CD94" s="186"/>
      <c r="CE94" s="187"/>
      <c r="CF94" s="187"/>
      <c r="CG94" s="187"/>
      <c r="CH94" s="187"/>
      <c r="CI94" s="187"/>
      <c r="CJ94" s="187"/>
      <c r="CK94" s="187"/>
      <c r="CL94" s="187"/>
      <c r="CM94" s="187"/>
      <c r="CN94" s="188"/>
      <c r="CO94" s="186"/>
      <c r="CP94" s="187"/>
      <c r="CQ94" s="187"/>
      <c r="CR94" s="187"/>
      <c r="CS94" s="187"/>
      <c r="CT94" s="187"/>
      <c r="CU94" s="187"/>
      <c r="CV94" s="187"/>
      <c r="CW94" s="187"/>
      <c r="CX94" s="187"/>
      <c r="CY94" s="188"/>
      <c r="CZ94" s="186"/>
      <c r="DA94" s="187"/>
      <c r="DB94" s="187"/>
      <c r="DC94" s="187"/>
      <c r="DD94" s="187"/>
      <c r="DE94" s="187"/>
      <c r="DF94" s="187"/>
      <c r="DG94" s="187"/>
      <c r="DH94" s="187"/>
      <c r="DI94" s="187"/>
      <c r="DJ94" s="188"/>
      <c r="DK94" s="186"/>
      <c r="DL94" s="187"/>
      <c r="DM94" s="187"/>
      <c r="DN94" s="187"/>
      <c r="DO94" s="187"/>
      <c r="DP94" s="187"/>
      <c r="DQ94" s="187"/>
      <c r="DR94" s="187"/>
      <c r="DS94" s="187"/>
      <c r="DT94" s="187"/>
      <c r="DU94" s="188"/>
    </row>
    <row r="95" hidden="1">
      <c r="A95" s="196"/>
      <c r="B95" s="95"/>
      <c r="C95" s="95"/>
      <c r="D95" s="95"/>
      <c r="E95" s="186"/>
      <c r="F95" s="187"/>
      <c r="G95" s="187"/>
      <c r="H95" s="187"/>
      <c r="I95" s="187"/>
      <c r="J95" s="187"/>
      <c r="K95" s="187"/>
      <c r="L95" s="187"/>
      <c r="M95" s="187"/>
      <c r="N95" s="187"/>
      <c r="O95" s="188"/>
      <c r="P95" s="186">
        <v>13.0</v>
      </c>
      <c r="Q95" s="187">
        <v>1.0</v>
      </c>
      <c r="R95" s="187"/>
      <c r="S95" s="187"/>
      <c r="T95" s="187"/>
      <c r="U95" s="187"/>
      <c r="V95" s="187"/>
      <c r="W95" s="187"/>
      <c r="X95" s="187"/>
      <c r="Y95" s="187"/>
      <c r="Z95" s="188"/>
      <c r="AA95" s="186"/>
      <c r="AB95" s="187"/>
      <c r="AC95" s="187"/>
      <c r="AD95" s="187"/>
      <c r="AE95" s="187"/>
      <c r="AF95" s="187"/>
      <c r="AG95" s="187"/>
      <c r="AH95" s="187"/>
      <c r="AI95" s="187"/>
      <c r="AJ95" s="187"/>
      <c r="AK95" s="188"/>
      <c r="AL95" s="186"/>
      <c r="AM95" s="187"/>
      <c r="AN95" s="187"/>
      <c r="AO95" s="187"/>
      <c r="AP95" s="187"/>
      <c r="AQ95" s="187"/>
      <c r="AR95" s="187"/>
      <c r="AS95" s="187"/>
      <c r="AT95" s="187"/>
      <c r="AU95" s="187"/>
      <c r="AV95" s="188"/>
      <c r="AW95" s="186"/>
      <c r="AX95" s="187"/>
      <c r="AY95" s="187"/>
      <c r="AZ95" s="187"/>
      <c r="BA95" s="187"/>
      <c r="BB95" s="187"/>
      <c r="BC95" s="187"/>
      <c r="BD95" s="187"/>
      <c r="BE95" s="187"/>
      <c r="BF95" s="187"/>
      <c r="BG95" s="188"/>
      <c r="BH95" s="186"/>
      <c r="BI95" s="187"/>
      <c r="BJ95" s="187"/>
      <c r="BK95" s="187"/>
      <c r="BL95" s="187"/>
      <c r="BM95" s="187"/>
      <c r="BN95" s="187"/>
      <c r="BO95" s="187"/>
      <c r="BP95" s="187"/>
      <c r="BQ95" s="187"/>
      <c r="BR95" s="188"/>
      <c r="BS95" s="186"/>
      <c r="BT95" s="187"/>
      <c r="BU95" s="187"/>
      <c r="BV95" s="187"/>
      <c r="BW95" s="187"/>
      <c r="BX95" s="187"/>
      <c r="BY95" s="187"/>
      <c r="BZ95" s="187"/>
      <c r="CA95" s="187"/>
      <c r="CB95" s="187"/>
      <c r="CC95" s="188"/>
      <c r="CD95" s="186"/>
      <c r="CE95" s="187"/>
      <c r="CF95" s="187"/>
      <c r="CG95" s="187"/>
      <c r="CH95" s="187"/>
      <c r="CI95" s="187"/>
      <c r="CJ95" s="187"/>
      <c r="CK95" s="187"/>
      <c r="CL95" s="187"/>
      <c r="CM95" s="187"/>
      <c r="CN95" s="188"/>
      <c r="CO95" s="186"/>
      <c r="CP95" s="187"/>
      <c r="CQ95" s="187"/>
      <c r="CR95" s="187"/>
      <c r="CS95" s="187"/>
      <c r="CT95" s="187"/>
      <c r="CU95" s="187"/>
      <c r="CV95" s="187"/>
      <c r="CW95" s="187"/>
      <c r="CX95" s="187"/>
      <c r="CY95" s="188"/>
      <c r="CZ95" s="186"/>
      <c r="DA95" s="187"/>
      <c r="DB95" s="187"/>
      <c r="DC95" s="187"/>
      <c r="DD95" s="187"/>
      <c r="DE95" s="187"/>
      <c r="DF95" s="187"/>
      <c r="DG95" s="187"/>
      <c r="DH95" s="187"/>
      <c r="DI95" s="187"/>
      <c r="DJ95" s="188"/>
      <c r="DK95" s="186"/>
      <c r="DL95" s="187"/>
      <c r="DM95" s="187"/>
      <c r="DN95" s="187"/>
      <c r="DO95" s="187"/>
      <c r="DP95" s="187"/>
      <c r="DQ95" s="187"/>
      <c r="DR95" s="187"/>
      <c r="DS95" s="187"/>
      <c r="DT95" s="187"/>
      <c r="DU95" s="188"/>
    </row>
    <row r="96" hidden="1">
      <c r="A96" s="196"/>
      <c r="B96" s="95"/>
      <c r="C96" s="95"/>
      <c r="D96" s="95"/>
      <c r="E96" s="186"/>
      <c r="F96" s="187"/>
      <c r="G96" s="187"/>
      <c r="H96" s="187"/>
      <c r="I96" s="187"/>
      <c r="J96" s="187"/>
      <c r="K96" s="187"/>
      <c r="L96" s="187"/>
      <c r="M96" s="187"/>
      <c r="N96" s="187"/>
      <c r="O96" s="188"/>
      <c r="P96" s="186">
        <v>14.0</v>
      </c>
      <c r="Q96" s="187">
        <v>1.0</v>
      </c>
      <c r="R96" s="187"/>
      <c r="S96" s="187"/>
      <c r="T96" s="187"/>
      <c r="U96" s="187"/>
      <c r="V96" s="187"/>
      <c r="W96" s="187"/>
      <c r="X96" s="187"/>
      <c r="Y96" s="187"/>
      <c r="Z96" s="188"/>
      <c r="AA96" s="186"/>
      <c r="AB96" s="187"/>
      <c r="AC96" s="187"/>
      <c r="AD96" s="187"/>
      <c r="AE96" s="187"/>
      <c r="AF96" s="187"/>
      <c r="AG96" s="187"/>
      <c r="AH96" s="187"/>
      <c r="AI96" s="187"/>
      <c r="AJ96" s="187"/>
      <c r="AK96" s="188"/>
      <c r="AL96" s="186"/>
      <c r="AM96" s="187"/>
      <c r="AN96" s="187"/>
      <c r="AO96" s="187"/>
      <c r="AP96" s="187"/>
      <c r="AQ96" s="187"/>
      <c r="AR96" s="187"/>
      <c r="AS96" s="187"/>
      <c r="AT96" s="187"/>
      <c r="AU96" s="187"/>
      <c r="AV96" s="188"/>
      <c r="AW96" s="186"/>
      <c r="AX96" s="187"/>
      <c r="AY96" s="187"/>
      <c r="AZ96" s="187"/>
      <c r="BA96" s="187"/>
      <c r="BB96" s="187"/>
      <c r="BC96" s="187"/>
      <c r="BD96" s="187"/>
      <c r="BE96" s="187"/>
      <c r="BF96" s="187"/>
      <c r="BG96" s="188"/>
      <c r="BH96" s="186"/>
      <c r="BI96" s="187"/>
      <c r="BJ96" s="187"/>
      <c r="BK96" s="187"/>
      <c r="BL96" s="187"/>
      <c r="BM96" s="187"/>
      <c r="BN96" s="187"/>
      <c r="BO96" s="187"/>
      <c r="BP96" s="187"/>
      <c r="BQ96" s="187"/>
      <c r="BR96" s="188"/>
      <c r="BS96" s="186"/>
      <c r="BT96" s="187"/>
      <c r="BU96" s="187"/>
      <c r="BV96" s="187"/>
      <c r="BW96" s="187"/>
      <c r="BX96" s="187"/>
      <c r="BY96" s="187"/>
      <c r="BZ96" s="187"/>
      <c r="CA96" s="187"/>
      <c r="CB96" s="187"/>
      <c r="CC96" s="188"/>
      <c r="CD96" s="186"/>
      <c r="CE96" s="187"/>
      <c r="CF96" s="187"/>
      <c r="CG96" s="187"/>
      <c r="CH96" s="187"/>
      <c r="CI96" s="187"/>
      <c r="CJ96" s="187"/>
      <c r="CK96" s="187"/>
      <c r="CL96" s="187"/>
      <c r="CM96" s="187"/>
      <c r="CN96" s="188"/>
      <c r="CO96" s="186"/>
      <c r="CP96" s="187"/>
      <c r="CQ96" s="187"/>
      <c r="CR96" s="187"/>
      <c r="CS96" s="187"/>
      <c r="CT96" s="187"/>
      <c r="CU96" s="187"/>
      <c r="CV96" s="187"/>
      <c r="CW96" s="187"/>
      <c r="CX96" s="187"/>
      <c r="CY96" s="188"/>
      <c r="CZ96" s="186"/>
      <c r="DA96" s="187"/>
      <c r="DB96" s="187"/>
      <c r="DC96" s="187"/>
      <c r="DD96" s="187"/>
      <c r="DE96" s="187"/>
      <c r="DF96" s="187"/>
      <c r="DG96" s="187"/>
      <c r="DH96" s="187"/>
      <c r="DI96" s="187"/>
      <c r="DJ96" s="188"/>
      <c r="DK96" s="186"/>
      <c r="DL96" s="187"/>
      <c r="DM96" s="187"/>
      <c r="DN96" s="187"/>
      <c r="DO96" s="187"/>
      <c r="DP96" s="187"/>
      <c r="DQ96" s="187"/>
      <c r="DR96" s="187"/>
      <c r="DS96" s="187"/>
      <c r="DT96" s="187"/>
      <c r="DU96" s="188"/>
    </row>
    <row r="97" hidden="1">
      <c r="A97" s="196"/>
      <c r="B97" s="95"/>
      <c r="C97" s="95"/>
      <c r="D97" s="95"/>
      <c r="E97" s="186"/>
      <c r="F97" s="187"/>
      <c r="G97" s="187"/>
      <c r="H97" s="187"/>
      <c r="I97" s="187"/>
      <c r="J97" s="187"/>
      <c r="K97" s="187"/>
      <c r="L97" s="187"/>
      <c r="M97" s="187"/>
      <c r="N97" s="187"/>
      <c r="O97" s="188"/>
      <c r="P97" s="186">
        <v>15.0</v>
      </c>
      <c r="Q97" s="187">
        <v>1.0</v>
      </c>
      <c r="R97" s="187"/>
      <c r="S97" s="187"/>
      <c r="T97" s="187"/>
      <c r="U97" s="187"/>
      <c r="V97" s="187"/>
      <c r="W97" s="187"/>
      <c r="X97" s="187"/>
      <c r="Y97" s="187"/>
      <c r="Z97" s="188"/>
      <c r="AA97" s="186"/>
      <c r="AB97" s="187"/>
      <c r="AC97" s="187"/>
      <c r="AD97" s="187"/>
      <c r="AE97" s="187"/>
      <c r="AF97" s="187"/>
      <c r="AG97" s="187"/>
      <c r="AH97" s="187"/>
      <c r="AI97" s="187"/>
      <c r="AJ97" s="187"/>
      <c r="AK97" s="188"/>
      <c r="AL97" s="186"/>
      <c r="AM97" s="187"/>
      <c r="AN97" s="187"/>
      <c r="AO97" s="187"/>
      <c r="AP97" s="187"/>
      <c r="AQ97" s="187"/>
      <c r="AR97" s="187"/>
      <c r="AS97" s="187"/>
      <c r="AT97" s="187"/>
      <c r="AU97" s="187"/>
      <c r="AV97" s="188"/>
      <c r="AW97" s="186"/>
      <c r="AX97" s="187"/>
      <c r="AY97" s="187"/>
      <c r="AZ97" s="187"/>
      <c r="BA97" s="187"/>
      <c r="BB97" s="187"/>
      <c r="BC97" s="187"/>
      <c r="BD97" s="187"/>
      <c r="BE97" s="187"/>
      <c r="BF97" s="187"/>
      <c r="BG97" s="188"/>
      <c r="BH97" s="186"/>
      <c r="BI97" s="187"/>
      <c r="BJ97" s="187"/>
      <c r="BK97" s="187"/>
      <c r="BL97" s="187"/>
      <c r="BM97" s="187"/>
      <c r="BN97" s="187"/>
      <c r="BO97" s="187"/>
      <c r="BP97" s="187"/>
      <c r="BQ97" s="187"/>
      <c r="BR97" s="188"/>
      <c r="BS97" s="186"/>
      <c r="BT97" s="187"/>
      <c r="BU97" s="187"/>
      <c r="BV97" s="187"/>
      <c r="BW97" s="187"/>
      <c r="BX97" s="187"/>
      <c r="BY97" s="187"/>
      <c r="BZ97" s="187"/>
      <c r="CA97" s="187"/>
      <c r="CB97" s="187"/>
      <c r="CC97" s="188"/>
      <c r="CD97" s="186"/>
      <c r="CE97" s="187"/>
      <c r="CF97" s="187"/>
      <c r="CG97" s="187"/>
      <c r="CH97" s="187"/>
      <c r="CI97" s="187"/>
      <c r="CJ97" s="187"/>
      <c r="CK97" s="187"/>
      <c r="CL97" s="187"/>
      <c r="CM97" s="187"/>
      <c r="CN97" s="188"/>
      <c r="CO97" s="186"/>
      <c r="CP97" s="187"/>
      <c r="CQ97" s="187"/>
      <c r="CR97" s="187"/>
      <c r="CS97" s="187"/>
      <c r="CT97" s="187"/>
      <c r="CU97" s="187"/>
      <c r="CV97" s="187"/>
      <c r="CW97" s="187"/>
      <c r="CX97" s="187"/>
      <c r="CY97" s="188"/>
      <c r="CZ97" s="186"/>
      <c r="DA97" s="187"/>
      <c r="DB97" s="187"/>
      <c r="DC97" s="187"/>
      <c r="DD97" s="187"/>
      <c r="DE97" s="187"/>
      <c r="DF97" s="187"/>
      <c r="DG97" s="187"/>
      <c r="DH97" s="187"/>
      <c r="DI97" s="187"/>
      <c r="DJ97" s="188"/>
      <c r="DK97" s="186"/>
      <c r="DL97" s="187"/>
      <c r="DM97" s="187"/>
      <c r="DN97" s="187"/>
      <c r="DO97" s="187"/>
      <c r="DP97" s="187"/>
      <c r="DQ97" s="187"/>
      <c r="DR97" s="187"/>
      <c r="DS97" s="187"/>
      <c r="DT97" s="187"/>
      <c r="DU97" s="188"/>
    </row>
    <row r="98" hidden="1">
      <c r="A98" s="196"/>
      <c r="B98" s="95"/>
      <c r="C98" s="95"/>
      <c r="D98" s="95"/>
      <c r="E98" s="186"/>
      <c r="F98" s="187"/>
      <c r="G98" s="187"/>
      <c r="H98" s="187"/>
      <c r="I98" s="187"/>
      <c r="J98" s="187"/>
      <c r="K98" s="187"/>
      <c r="L98" s="187"/>
      <c r="M98" s="187"/>
      <c r="N98" s="187"/>
      <c r="O98" s="188"/>
      <c r="P98" s="186">
        <v>16.0</v>
      </c>
      <c r="Q98" s="187">
        <v>1.0</v>
      </c>
      <c r="R98" s="187"/>
      <c r="S98" s="187"/>
      <c r="T98" s="187"/>
      <c r="U98" s="187"/>
      <c r="V98" s="187"/>
      <c r="W98" s="187"/>
      <c r="X98" s="187"/>
      <c r="Y98" s="187"/>
      <c r="Z98" s="188"/>
      <c r="AA98" s="186"/>
      <c r="AB98" s="187"/>
      <c r="AC98" s="187"/>
      <c r="AD98" s="187"/>
      <c r="AE98" s="187"/>
      <c r="AF98" s="187"/>
      <c r="AG98" s="187"/>
      <c r="AH98" s="187"/>
      <c r="AI98" s="187"/>
      <c r="AJ98" s="187"/>
      <c r="AK98" s="188"/>
      <c r="AL98" s="186"/>
      <c r="AM98" s="187"/>
      <c r="AN98" s="187"/>
      <c r="AO98" s="187"/>
      <c r="AP98" s="187"/>
      <c r="AQ98" s="187"/>
      <c r="AR98" s="187"/>
      <c r="AS98" s="187"/>
      <c r="AT98" s="187"/>
      <c r="AU98" s="187"/>
      <c r="AV98" s="188"/>
      <c r="AW98" s="186"/>
      <c r="AX98" s="187"/>
      <c r="AY98" s="187"/>
      <c r="AZ98" s="187"/>
      <c r="BA98" s="187"/>
      <c r="BB98" s="187"/>
      <c r="BC98" s="187"/>
      <c r="BD98" s="187"/>
      <c r="BE98" s="187"/>
      <c r="BF98" s="187"/>
      <c r="BG98" s="188"/>
      <c r="BH98" s="186"/>
      <c r="BI98" s="187"/>
      <c r="BJ98" s="187"/>
      <c r="BK98" s="187"/>
      <c r="BL98" s="187"/>
      <c r="BM98" s="187"/>
      <c r="BN98" s="187"/>
      <c r="BO98" s="187"/>
      <c r="BP98" s="187"/>
      <c r="BQ98" s="187"/>
      <c r="BR98" s="188"/>
      <c r="BS98" s="186"/>
      <c r="BT98" s="187"/>
      <c r="BU98" s="187"/>
      <c r="BV98" s="187"/>
      <c r="BW98" s="187"/>
      <c r="BX98" s="187"/>
      <c r="BY98" s="187"/>
      <c r="BZ98" s="187"/>
      <c r="CA98" s="187"/>
      <c r="CB98" s="187"/>
      <c r="CC98" s="188"/>
      <c r="CD98" s="186"/>
      <c r="CE98" s="187"/>
      <c r="CF98" s="187"/>
      <c r="CG98" s="187"/>
      <c r="CH98" s="187"/>
      <c r="CI98" s="187"/>
      <c r="CJ98" s="187"/>
      <c r="CK98" s="187"/>
      <c r="CL98" s="187"/>
      <c r="CM98" s="187"/>
      <c r="CN98" s="188"/>
      <c r="CO98" s="186"/>
      <c r="CP98" s="187"/>
      <c r="CQ98" s="187"/>
      <c r="CR98" s="187"/>
      <c r="CS98" s="187"/>
      <c r="CT98" s="187"/>
      <c r="CU98" s="187"/>
      <c r="CV98" s="187"/>
      <c r="CW98" s="187"/>
      <c r="CX98" s="187"/>
      <c r="CY98" s="188"/>
      <c r="CZ98" s="186"/>
      <c r="DA98" s="187"/>
      <c r="DB98" s="187"/>
      <c r="DC98" s="187"/>
      <c r="DD98" s="187"/>
      <c r="DE98" s="187"/>
      <c r="DF98" s="187"/>
      <c r="DG98" s="187"/>
      <c r="DH98" s="187"/>
      <c r="DI98" s="187"/>
      <c r="DJ98" s="188"/>
      <c r="DK98" s="186"/>
      <c r="DL98" s="187"/>
      <c r="DM98" s="187"/>
      <c r="DN98" s="187"/>
      <c r="DO98" s="187"/>
      <c r="DP98" s="187"/>
      <c r="DQ98" s="187"/>
      <c r="DR98" s="187"/>
      <c r="DS98" s="187"/>
      <c r="DT98" s="187"/>
      <c r="DU98" s="188"/>
    </row>
    <row r="99" hidden="1">
      <c r="A99" s="196"/>
      <c r="B99" s="95"/>
      <c r="C99" s="95"/>
      <c r="D99" s="95"/>
      <c r="E99" s="186"/>
      <c r="F99" s="187"/>
      <c r="G99" s="187"/>
      <c r="H99" s="187"/>
      <c r="I99" s="187"/>
      <c r="J99" s="187"/>
      <c r="K99" s="187"/>
      <c r="L99" s="187"/>
      <c r="M99" s="187"/>
      <c r="N99" s="187"/>
      <c r="O99" s="188"/>
      <c r="P99" s="186">
        <v>17.0</v>
      </c>
      <c r="Q99" s="187">
        <v>1.0</v>
      </c>
      <c r="R99" s="187"/>
      <c r="S99" s="187"/>
      <c r="T99" s="187"/>
      <c r="U99" s="187"/>
      <c r="V99" s="187"/>
      <c r="W99" s="187"/>
      <c r="X99" s="187"/>
      <c r="Y99" s="187"/>
      <c r="Z99" s="188"/>
      <c r="AA99" s="186"/>
      <c r="AB99" s="187"/>
      <c r="AC99" s="187"/>
      <c r="AD99" s="187"/>
      <c r="AE99" s="187"/>
      <c r="AF99" s="187"/>
      <c r="AG99" s="187"/>
      <c r="AH99" s="187"/>
      <c r="AI99" s="187"/>
      <c r="AJ99" s="187"/>
      <c r="AK99" s="188"/>
      <c r="AL99" s="186"/>
      <c r="AM99" s="187"/>
      <c r="AN99" s="187"/>
      <c r="AO99" s="187"/>
      <c r="AP99" s="187"/>
      <c r="AQ99" s="187"/>
      <c r="AR99" s="187"/>
      <c r="AS99" s="187"/>
      <c r="AT99" s="187"/>
      <c r="AU99" s="187"/>
      <c r="AV99" s="188"/>
      <c r="AW99" s="186"/>
      <c r="AX99" s="187"/>
      <c r="AY99" s="187"/>
      <c r="AZ99" s="187"/>
      <c r="BA99" s="187"/>
      <c r="BB99" s="187"/>
      <c r="BC99" s="187"/>
      <c r="BD99" s="187"/>
      <c r="BE99" s="187"/>
      <c r="BF99" s="187"/>
      <c r="BG99" s="188"/>
      <c r="BH99" s="186"/>
      <c r="BI99" s="187"/>
      <c r="BJ99" s="187"/>
      <c r="BK99" s="187"/>
      <c r="BL99" s="187"/>
      <c r="BM99" s="187"/>
      <c r="BN99" s="187"/>
      <c r="BO99" s="187"/>
      <c r="BP99" s="187"/>
      <c r="BQ99" s="187"/>
      <c r="BR99" s="188"/>
      <c r="BS99" s="186"/>
      <c r="BT99" s="187"/>
      <c r="BU99" s="187"/>
      <c r="BV99" s="187"/>
      <c r="BW99" s="187"/>
      <c r="BX99" s="187"/>
      <c r="BY99" s="187"/>
      <c r="BZ99" s="187"/>
      <c r="CA99" s="187"/>
      <c r="CB99" s="187"/>
      <c r="CC99" s="188"/>
      <c r="CD99" s="186"/>
      <c r="CE99" s="187"/>
      <c r="CF99" s="187"/>
      <c r="CG99" s="187"/>
      <c r="CH99" s="187"/>
      <c r="CI99" s="187"/>
      <c r="CJ99" s="187"/>
      <c r="CK99" s="187"/>
      <c r="CL99" s="187"/>
      <c r="CM99" s="187"/>
      <c r="CN99" s="188"/>
      <c r="CO99" s="186"/>
      <c r="CP99" s="187"/>
      <c r="CQ99" s="187"/>
      <c r="CR99" s="187"/>
      <c r="CS99" s="187"/>
      <c r="CT99" s="187"/>
      <c r="CU99" s="187"/>
      <c r="CV99" s="187"/>
      <c r="CW99" s="187"/>
      <c r="CX99" s="187"/>
      <c r="CY99" s="188"/>
      <c r="CZ99" s="186"/>
      <c r="DA99" s="187"/>
      <c r="DB99" s="187"/>
      <c r="DC99" s="187"/>
      <c r="DD99" s="187"/>
      <c r="DE99" s="187"/>
      <c r="DF99" s="187"/>
      <c r="DG99" s="187"/>
      <c r="DH99" s="187"/>
      <c r="DI99" s="187"/>
      <c r="DJ99" s="188"/>
      <c r="DK99" s="186"/>
      <c r="DL99" s="187"/>
      <c r="DM99" s="187"/>
      <c r="DN99" s="187"/>
      <c r="DO99" s="187"/>
      <c r="DP99" s="187"/>
      <c r="DQ99" s="187"/>
      <c r="DR99" s="187"/>
      <c r="DS99" s="187"/>
      <c r="DT99" s="187"/>
      <c r="DU99" s="188"/>
    </row>
    <row r="100" hidden="1">
      <c r="A100" s="196"/>
      <c r="B100" s="95"/>
      <c r="C100" s="95"/>
      <c r="D100" s="95"/>
      <c r="E100" s="186"/>
      <c r="F100" s="187"/>
      <c r="G100" s="187"/>
      <c r="H100" s="187"/>
      <c r="I100" s="187"/>
      <c r="J100" s="187"/>
      <c r="K100" s="187"/>
      <c r="L100" s="187"/>
      <c r="M100" s="187"/>
      <c r="N100" s="187"/>
      <c r="O100" s="188"/>
      <c r="P100" s="186">
        <v>18.0</v>
      </c>
      <c r="Q100" s="187">
        <v>1.0</v>
      </c>
      <c r="R100" s="187"/>
      <c r="S100" s="187"/>
      <c r="T100" s="187"/>
      <c r="U100" s="187"/>
      <c r="V100" s="187"/>
      <c r="W100" s="187"/>
      <c r="X100" s="187"/>
      <c r="Y100" s="187"/>
      <c r="Z100" s="188"/>
      <c r="AA100" s="186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8"/>
      <c r="AL100" s="186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8"/>
      <c r="AW100" s="186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8"/>
      <c r="BH100" s="186"/>
      <c r="BI100" s="187"/>
      <c r="BJ100" s="187"/>
      <c r="BK100" s="187"/>
      <c r="BL100" s="187"/>
      <c r="BM100" s="187"/>
      <c r="BN100" s="187"/>
      <c r="BO100" s="187"/>
      <c r="BP100" s="187"/>
      <c r="BQ100" s="187"/>
      <c r="BR100" s="188"/>
      <c r="BS100" s="186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8"/>
      <c r="CD100" s="186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8"/>
      <c r="CO100" s="186"/>
      <c r="CP100" s="187"/>
      <c r="CQ100" s="187"/>
      <c r="CR100" s="187"/>
      <c r="CS100" s="187"/>
      <c r="CT100" s="187"/>
      <c r="CU100" s="187"/>
      <c r="CV100" s="187"/>
      <c r="CW100" s="187"/>
      <c r="CX100" s="187"/>
      <c r="CY100" s="188"/>
      <c r="CZ100" s="186"/>
      <c r="DA100" s="187"/>
      <c r="DB100" s="187"/>
      <c r="DC100" s="187"/>
      <c r="DD100" s="187"/>
      <c r="DE100" s="187"/>
      <c r="DF100" s="187"/>
      <c r="DG100" s="187"/>
      <c r="DH100" s="187"/>
      <c r="DI100" s="187"/>
      <c r="DJ100" s="188"/>
      <c r="DK100" s="186"/>
      <c r="DL100" s="187"/>
      <c r="DM100" s="187"/>
      <c r="DN100" s="187"/>
      <c r="DO100" s="187"/>
      <c r="DP100" s="187"/>
      <c r="DQ100" s="187"/>
      <c r="DR100" s="187"/>
      <c r="DS100" s="187"/>
      <c r="DT100" s="187"/>
      <c r="DU100" s="188"/>
    </row>
    <row r="101" hidden="1">
      <c r="A101" s="196"/>
      <c r="B101" s="95"/>
      <c r="C101" s="95"/>
      <c r="D101" s="95"/>
      <c r="E101" s="196"/>
      <c r="F101" s="196"/>
      <c r="G101" s="187"/>
      <c r="H101" s="187"/>
      <c r="I101" s="187"/>
      <c r="J101" s="187"/>
      <c r="K101" s="187"/>
      <c r="L101" s="187"/>
      <c r="M101" s="187"/>
      <c r="N101" s="187"/>
      <c r="O101" s="187"/>
      <c r="P101" s="196">
        <v>19.0</v>
      </c>
      <c r="Q101" s="196">
        <v>1.0</v>
      </c>
      <c r="R101" s="187"/>
      <c r="S101" s="187"/>
      <c r="T101" s="187"/>
      <c r="U101" s="187"/>
      <c r="V101" s="187"/>
      <c r="W101" s="187"/>
      <c r="X101" s="187"/>
      <c r="Y101" s="187"/>
      <c r="Z101" s="187"/>
      <c r="AA101" s="196"/>
      <c r="AB101" s="196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96"/>
      <c r="AM101" s="196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96"/>
      <c r="AX101" s="196"/>
      <c r="AY101" s="187"/>
      <c r="AZ101" s="187"/>
      <c r="BA101" s="187"/>
      <c r="BB101" s="187"/>
      <c r="BC101" s="187"/>
      <c r="BD101" s="187"/>
      <c r="BE101" s="187"/>
      <c r="BF101" s="187"/>
      <c r="BG101" s="187"/>
      <c r="BH101" s="196"/>
      <c r="BI101" s="196"/>
      <c r="BJ101" s="187"/>
      <c r="BK101" s="187"/>
      <c r="BL101" s="187"/>
      <c r="BM101" s="187"/>
      <c r="BN101" s="187"/>
      <c r="BO101" s="187"/>
      <c r="BP101" s="187"/>
      <c r="BQ101" s="187"/>
      <c r="BR101" s="187"/>
      <c r="BS101" s="196"/>
      <c r="BT101" s="196"/>
      <c r="BU101" s="187"/>
      <c r="BV101" s="187"/>
      <c r="BW101" s="187"/>
      <c r="BX101" s="187"/>
      <c r="BY101" s="187"/>
      <c r="BZ101" s="187"/>
      <c r="CA101" s="187"/>
      <c r="CB101" s="187"/>
      <c r="CC101" s="187"/>
      <c r="CD101" s="196"/>
      <c r="CE101" s="196"/>
      <c r="CF101" s="187"/>
      <c r="CG101" s="187"/>
      <c r="CH101" s="187"/>
      <c r="CI101" s="187"/>
      <c r="CJ101" s="187"/>
      <c r="CK101" s="187"/>
      <c r="CL101" s="187"/>
      <c r="CM101" s="187"/>
      <c r="CN101" s="187"/>
      <c r="CO101" s="196"/>
      <c r="CP101" s="196"/>
      <c r="CQ101" s="187"/>
      <c r="CR101" s="187"/>
      <c r="CS101" s="187"/>
      <c r="CT101" s="187"/>
      <c r="CU101" s="187"/>
      <c r="CV101" s="187"/>
      <c r="CW101" s="187"/>
      <c r="CX101" s="187"/>
      <c r="CY101" s="187"/>
      <c r="CZ101" s="196"/>
      <c r="DA101" s="196"/>
      <c r="DB101" s="187"/>
      <c r="DC101" s="187"/>
      <c r="DD101" s="187"/>
      <c r="DE101" s="187"/>
      <c r="DF101" s="187"/>
      <c r="DG101" s="187"/>
      <c r="DH101" s="187"/>
      <c r="DI101" s="187"/>
      <c r="DJ101" s="187"/>
      <c r="DK101" s="196"/>
      <c r="DL101" s="196"/>
      <c r="DM101" s="187"/>
      <c r="DN101" s="187"/>
      <c r="DO101" s="187"/>
      <c r="DP101" s="187"/>
      <c r="DQ101" s="187"/>
      <c r="DR101" s="187"/>
      <c r="DS101" s="187"/>
      <c r="DT101" s="187"/>
      <c r="DU101" s="187"/>
    </row>
    <row r="102" hidden="1">
      <c r="A102" s="196"/>
      <c r="B102" s="95"/>
      <c r="C102" s="95"/>
      <c r="D102" s="95"/>
      <c r="E102" s="196"/>
      <c r="F102" s="196"/>
      <c r="G102" s="187"/>
      <c r="H102" s="187"/>
      <c r="I102" s="187"/>
      <c r="J102" s="187"/>
      <c r="K102" s="187"/>
      <c r="L102" s="187"/>
      <c r="M102" s="187"/>
      <c r="N102" s="187"/>
      <c r="O102" s="187"/>
      <c r="P102" s="196">
        <v>20.0</v>
      </c>
      <c r="Q102" s="196">
        <v>1.0</v>
      </c>
      <c r="R102" s="187"/>
      <c r="S102" s="187"/>
      <c r="T102" s="187"/>
      <c r="U102" s="187"/>
      <c r="V102" s="187"/>
      <c r="W102" s="187"/>
      <c r="X102" s="187"/>
      <c r="Y102" s="187"/>
      <c r="Z102" s="187"/>
      <c r="AA102" s="196"/>
      <c r="AB102" s="196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96"/>
      <c r="AM102" s="196"/>
      <c r="AN102" s="187"/>
      <c r="AO102" s="187"/>
      <c r="AP102" s="187"/>
      <c r="AQ102" s="187"/>
      <c r="AR102" s="187"/>
      <c r="AS102" s="187"/>
      <c r="AT102" s="187"/>
      <c r="AU102" s="187"/>
      <c r="AV102" s="187"/>
      <c r="AW102" s="196"/>
      <c r="AX102" s="196"/>
      <c r="AY102" s="187"/>
      <c r="AZ102" s="187"/>
      <c r="BA102" s="187"/>
      <c r="BB102" s="187"/>
      <c r="BC102" s="187"/>
      <c r="BD102" s="187"/>
      <c r="BE102" s="187"/>
      <c r="BF102" s="187"/>
      <c r="BG102" s="187"/>
      <c r="BH102" s="196"/>
      <c r="BI102" s="196"/>
      <c r="BJ102" s="187"/>
      <c r="BK102" s="187"/>
      <c r="BL102" s="187"/>
      <c r="BM102" s="187"/>
      <c r="BN102" s="187"/>
      <c r="BO102" s="187"/>
      <c r="BP102" s="187"/>
      <c r="BQ102" s="187"/>
      <c r="BR102" s="187"/>
      <c r="BS102" s="196"/>
      <c r="BT102" s="196"/>
      <c r="BU102" s="187"/>
      <c r="BV102" s="187"/>
      <c r="BW102" s="187"/>
      <c r="BX102" s="187"/>
      <c r="BY102" s="187"/>
      <c r="BZ102" s="187"/>
      <c r="CA102" s="187"/>
      <c r="CB102" s="187"/>
      <c r="CC102" s="187"/>
      <c r="CD102" s="196"/>
      <c r="CE102" s="196"/>
      <c r="CF102" s="187"/>
      <c r="CG102" s="187"/>
      <c r="CH102" s="187"/>
      <c r="CI102" s="187"/>
      <c r="CJ102" s="187"/>
      <c r="CK102" s="187"/>
      <c r="CL102" s="187"/>
      <c r="CM102" s="187"/>
      <c r="CN102" s="187"/>
      <c r="CO102" s="196"/>
      <c r="CP102" s="196"/>
      <c r="CQ102" s="187"/>
      <c r="CR102" s="187"/>
      <c r="CS102" s="187"/>
      <c r="CT102" s="187"/>
      <c r="CU102" s="187"/>
      <c r="CV102" s="187"/>
      <c r="CW102" s="187"/>
      <c r="CX102" s="187"/>
      <c r="CY102" s="187"/>
      <c r="CZ102" s="196"/>
      <c r="DA102" s="196"/>
      <c r="DB102" s="187"/>
      <c r="DC102" s="187"/>
      <c r="DD102" s="187"/>
      <c r="DE102" s="187"/>
      <c r="DF102" s="187"/>
      <c r="DG102" s="187"/>
      <c r="DH102" s="187"/>
      <c r="DI102" s="187"/>
      <c r="DJ102" s="187"/>
      <c r="DK102" s="196"/>
      <c r="DL102" s="196"/>
      <c r="DM102" s="187"/>
      <c r="DN102" s="187"/>
      <c r="DO102" s="187"/>
      <c r="DP102" s="187"/>
      <c r="DQ102" s="187"/>
      <c r="DR102" s="187"/>
      <c r="DS102" s="187"/>
      <c r="DT102" s="187"/>
      <c r="DU102" s="187"/>
    </row>
    <row r="103" hidden="1">
      <c r="A103" s="196"/>
      <c r="B103" s="95"/>
      <c r="C103" s="95"/>
      <c r="D103" s="95"/>
      <c r="E103" s="196"/>
      <c r="F103" s="196"/>
      <c r="G103" s="187"/>
      <c r="H103" s="187"/>
      <c r="I103" s="187"/>
      <c r="J103" s="187"/>
      <c r="K103" s="187"/>
      <c r="L103" s="187"/>
      <c r="M103" s="187"/>
      <c r="N103" s="187"/>
      <c r="O103" s="187"/>
      <c r="P103" s="196">
        <v>21.0</v>
      </c>
      <c r="Q103" s="196">
        <v>1.0</v>
      </c>
      <c r="R103" s="187"/>
      <c r="S103" s="187"/>
      <c r="T103" s="187"/>
      <c r="U103" s="187"/>
      <c r="V103" s="187"/>
      <c r="W103" s="187"/>
      <c r="X103" s="187"/>
      <c r="Y103" s="187"/>
      <c r="Z103" s="187"/>
      <c r="AA103" s="196"/>
      <c r="AB103" s="196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96"/>
      <c r="AM103" s="196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96"/>
      <c r="AX103" s="196"/>
      <c r="AY103" s="187"/>
      <c r="AZ103" s="187"/>
      <c r="BA103" s="187"/>
      <c r="BB103" s="187"/>
      <c r="BC103" s="187"/>
      <c r="BD103" s="187"/>
      <c r="BE103" s="187"/>
      <c r="BF103" s="187"/>
      <c r="BG103" s="187"/>
      <c r="BH103" s="196"/>
      <c r="BI103" s="196"/>
      <c r="BJ103" s="187"/>
      <c r="BK103" s="187"/>
      <c r="BL103" s="187"/>
      <c r="BM103" s="187"/>
      <c r="BN103" s="187"/>
      <c r="BO103" s="187"/>
      <c r="BP103" s="187"/>
      <c r="BQ103" s="187"/>
      <c r="BR103" s="187"/>
      <c r="BS103" s="196"/>
      <c r="BT103" s="196"/>
      <c r="BU103" s="187"/>
      <c r="BV103" s="187"/>
      <c r="BW103" s="187"/>
      <c r="BX103" s="187"/>
      <c r="BY103" s="187"/>
      <c r="BZ103" s="187"/>
      <c r="CA103" s="187"/>
      <c r="CB103" s="187"/>
      <c r="CC103" s="187"/>
      <c r="CD103" s="196"/>
      <c r="CE103" s="196"/>
      <c r="CF103" s="187"/>
      <c r="CG103" s="187"/>
      <c r="CH103" s="187"/>
      <c r="CI103" s="187"/>
      <c r="CJ103" s="187"/>
      <c r="CK103" s="187"/>
      <c r="CL103" s="187"/>
      <c r="CM103" s="187"/>
      <c r="CN103" s="187"/>
      <c r="CO103" s="196"/>
      <c r="CP103" s="196"/>
      <c r="CQ103" s="187"/>
      <c r="CR103" s="187"/>
      <c r="CS103" s="187"/>
      <c r="CT103" s="187"/>
      <c r="CU103" s="187"/>
      <c r="CV103" s="187"/>
      <c r="CW103" s="187"/>
      <c r="CX103" s="187"/>
      <c r="CY103" s="187"/>
      <c r="CZ103" s="196"/>
      <c r="DA103" s="196"/>
      <c r="DB103" s="187"/>
      <c r="DC103" s="187"/>
      <c r="DD103" s="187"/>
      <c r="DE103" s="187"/>
      <c r="DF103" s="187"/>
      <c r="DG103" s="187"/>
      <c r="DH103" s="187"/>
      <c r="DI103" s="187"/>
      <c r="DJ103" s="187"/>
      <c r="DK103" s="196"/>
      <c r="DL103" s="196"/>
      <c r="DM103" s="187"/>
      <c r="DN103" s="187"/>
      <c r="DO103" s="187"/>
      <c r="DP103" s="187"/>
      <c r="DQ103" s="187"/>
      <c r="DR103" s="187"/>
      <c r="DS103" s="187"/>
      <c r="DT103" s="187"/>
      <c r="DU103" s="187"/>
    </row>
    <row r="104" hidden="1">
      <c r="A104" s="196"/>
      <c r="B104" s="95"/>
      <c r="C104" s="95"/>
      <c r="D104" s="95"/>
      <c r="E104" s="196"/>
      <c r="F104" s="196"/>
      <c r="G104" s="187"/>
      <c r="H104" s="187"/>
      <c r="I104" s="187"/>
      <c r="J104" s="187"/>
      <c r="K104" s="187"/>
      <c r="L104" s="187"/>
      <c r="M104" s="187"/>
      <c r="N104" s="187"/>
      <c r="O104" s="187"/>
      <c r="P104" s="196">
        <v>22.0</v>
      </c>
      <c r="Q104" s="196">
        <v>1.0</v>
      </c>
      <c r="R104" s="187"/>
      <c r="S104" s="187"/>
      <c r="T104" s="187"/>
      <c r="U104" s="187"/>
      <c r="V104" s="187"/>
      <c r="W104" s="187"/>
      <c r="X104" s="187"/>
      <c r="Y104" s="187"/>
      <c r="Z104" s="187"/>
      <c r="AA104" s="196"/>
      <c r="AB104" s="196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96"/>
      <c r="AM104" s="196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96"/>
      <c r="AX104" s="196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96"/>
      <c r="BI104" s="196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96"/>
      <c r="BT104" s="196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96"/>
      <c r="CE104" s="196"/>
      <c r="CF104" s="187"/>
      <c r="CG104" s="187"/>
      <c r="CH104" s="187"/>
      <c r="CI104" s="187"/>
      <c r="CJ104" s="187"/>
      <c r="CK104" s="187"/>
      <c r="CL104" s="187"/>
      <c r="CM104" s="187"/>
      <c r="CN104" s="187"/>
      <c r="CO104" s="196"/>
      <c r="CP104" s="196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96"/>
      <c r="DA104" s="196"/>
      <c r="DB104" s="187"/>
      <c r="DC104" s="187"/>
      <c r="DD104" s="187"/>
      <c r="DE104" s="187"/>
      <c r="DF104" s="187"/>
      <c r="DG104" s="187"/>
      <c r="DH104" s="187"/>
      <c r="DI104" s="187"/>
      <c r="DJ104" s="187"/>
      <c r="DK104" s="196"/>
      <c r="DL104" s="196"/>
      <c r="DM104" s="187"/>
      <c r="DN104" s="187"/>
      <c r="DO104" s="187"/>
      <c r="DP104" s="187"/>
      <c r="DQ104" s="187"/>
      <c r="DR104" s="187"/>
      <c r="DS104" s="187"/>
      <c r="DT104" s="187"/>
      <c r="DU104" s="187"/>
    </row>
    <row r="105" hidden="1">
      <c r="A105" s="196"/>
      <c r="B105" s="95"/>
      <c r="C105" s="95"/>
      <c r="D105" s="95"/>
      <c r="E105" s="196"/>
      <c r="F105" s="196"/>
      <c r="G105" s="187"/>
      <c r="H105" s="187"/>
      <c r="I105" s="187"/>
      <c r="J105" s="187"/>
      <c r="K105" s="187"/>
      <c r="L105" s="187"/>
      <c r="M105" s="187"/>
      <c r="N105" s="187"/>
      <c r="O105" s="187"/>
      <c r="P105" s="196">
        <v>23.0</v>
      </c>
      <c r="Q105" s="196">
        <v>1.0</v>
      </c>
      <c r="R105" s="187"/>
      <c r="S105" s="187"/>
      <c r="T105" s="187"/>
      <c r="U105" s="187"/>
      <c r="V105" s="187"/>
      <c r="W105" s="187"/>
      <c r="X105" s="187"/>
      <c r="Y105" s="187"/>
      <c r="Z105" s="187"/>
      <c r="AA105" s="196"/>
      <c r="AB105" s="196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96"/>
      <c r="AM105" s="196"/>
      <c r="AN105" s="187"/>
      <c r="AO105" s="187"/>
      <c r="AP105" s="187"/>
      <c r="AQ105" s="187"/>
      <c r="AR105" s="187"/>
      <c r="AS105" s="187"/>
      <c r="AT105" s="187"/>
      <c r="AU105" s="187"/>
      <c r="AV105" s="187"/>
      <c r="AW105" s="196"/>
      <c r="AX105" s="196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96"/>
      <c r="BI105" s="196"/>
      <c r="BJ105" s="187"/>
      <c r="BK105" s="187"/>
      <c r="BL105" s="187"/>
      <c r="BM105" s="187"/>
      <c r="BN105" s="187"/>
      <c r="BO105" s="187"/>
      <c r="BP105" s="187"/>
      <c r="BQ105" s="187"/>
      <c r="BR105" s="187"/>
      <c r="BS105" s="196"/>
      <c r="BT105" s="196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96"/>
      <c r="CE105" s="196"/>
      <c r="CF105" s="187"/>
      <c r="CG105" s="187"/>
      <c r="CH105" s="187"/>
      <c r="CI105" s="187"/>
      <c r="CJ105" s="187"/>
      <c r="CK105" s="187"/>
      <c r="CL105" s="187"/>
      <c r="CM105" s="187"/>
      <c r="CN105" s="187"/>
      <c r="CO105" s="196"/>
      <c r="CP105" s="196"/>
      <c r="CQ105" s="187"/>
      <c r="CR105" s="187"/>
      <c r="CS105" s="187"/>
      <c r="CT105" s="187"/>
      <c r="CU105" s="187"/>
      <c r="CV105" s="187"/>
      <c r="CW105" s="187"/>
      <c r="CX105" s="187"/>
      <c r="CY105" s="187"/>
      <c r="CZ105" s="196"/>
      <c r="DA105" s="196"/>
      <c r="DB105" s="187"/>
      <c r="DC105" s="187"/>
      <c r="DD105" s="187"/>
      <c r="DE105" s="187"/>
      <c r="DF105" s="187"/>
      <c r="DG105" s="187"/>
      <c r="DH105" s="187"/>
      <c r="DI105" s="187"/>
      <c r="DJ105" s="187"/>
      <c r="DK105" s="196"/>
      <c r="DL105" s="196"/>
      <c r="DM105" s="187"/>
      <c r="DN105" s="187"/>
      <c r="DO105" s="187"/>
      <c r="DP105" s="187"/>
      <c r="DQ105" s="187"/>
      <c r="DR105" s="187"/>
      <c r="DS105" s="187"/>
      <c r="DT105" s="187"/>
      <c r="DU105" s="187"/>
    </row>
    <row r="106" hidden="1">
      <c r="A106" s="196"/>
      <c r="B106" s="95"/>
      <c r="C106" s="95"/>
      <c r="D106" s="95"/>
      <c r="E106" s="196"/>
      <c r="F106" s="196"/>
      <c r="G106" s="187"/>
      <c r="H106" s="187"/>
      <c r="I106" s="187"/>
      <c r="J106" s="187"/>
      <c r="K106" s="187"/>
      <c r="L106" s="187"/>
      <c r="M106" s="187"/>
      <c r="N106" s="187"/>
      <c r="O106" s="187"/>
      <c r="P106" s="196">
        <v>24.0</v>
      </c>
      <c r="Q106" s="196">
        <v>1.0</v>
      </c>
      <c r="R106" s="187"/>
      <c r="S106" s="187"/>
      <c r="T106" s="187"/>
      <c r="U106" s="187"/>
      <c r="V106" s="187"/>
      <c r="W106" s="187"/>
      <c r="X106" s="187"/>
      <c r="Y106" s="187"/>
      <c r="Z106" s="187"/>
      <c r="AA106" s="196"/>
      <c r="AB106" s="196"/>
      <c r="AC106" s="187"/>
      <c r="AD106" s="187"/>
      <c r="AE106" s="187"/>
      <c r="AF106" s="187"/>
      <c r="AG106" s="187"/>
      <c r="AH106" s="187"/>
      <c r="AI106" s="187"/>
      <c r="AJ106" s="187"/>
      <c r="AK106" s="187"/>
      <c r="AL106" s="196"/>
      <c r="AM106" s="196"/>
      <c r="AN106" s="187"/>
      <c r="AO106" s="187"/>
      <c r="AP106" s="187"/>
      <c r="AQ106" s="187"/>
      <c r="AR106" s="187"/>
      <c r="AS106" s="187"/>
      <c r="AT106" s="187"/>
      <c r="AU106" s="187"/>
      <c r="AV106" s="187"/>
      <c r="AW106" s="196"/>
      <c r="AX106" s="196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96"/>
      <c r="BI106" s="196"/>
      <c r="BJ106" s="187"/>
      <c r="BK106" s="187"/>
      <c r="BL106" s="187"/>
      <c r="BM106" s="187"/>
      <c r="BN106" s="187"/>
      <c r="BO106" s="187"/>
      <c r="BP106" s="187"/>
      <c r="BQ106" s="187"/>
      <c r="BR106" s="187"/>
      <c r="BS106" s="196"/>
      <c r="BT106" s="196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96"/>
      <c r="CE106" s="196"/>
      <c r="CF106" s="187"/>
      <c r="CG106" s="187"/>
      <c r="CH106" s="187"/>
      <c r="CI106" s="187"/>
      <c r="CJ106" s="187"/>
      <c r="CK106" s="187"/>
      <c r="CL106" s="187"/>
      <c r="CM106" s="187"/>
      <c r="CN106" s="187"/>
      <c r="CO106" s="196"/>
      <c r="CP106" s="196"/>
      <c r="CQ106" s="187"/>
      <c r="CR106" s="187"/>
      <c r="CS106" s="187"/>
      <c r="CT106" s="187"/>
      <c r="CU106" s="187"/>
      <c r="CV106" s="187"/>
      <c r="CW106" s="187"/>
      <c r="CX106" s="187"/>
      <c r="CY106" s="187"/>
      <c r="CZ106" s="196"/>
      <c r="DA106" s="196"/>
      <c r="DB106" s="187"/>
      <c r="DC106" s="187"/>
      <c r="DD106" s="187"/>
      <c r="DE106" s="187"/>
      <c r="DF106" s="187"/>
      <c r="DG106" s="187"/>
      <c r="DH106" s="187"/>
      <c r="DI106" s="187"/>
      <c r="DJ106" s="187"/>
      <c r="DK106" s="196"/>
      <c r="DL106" s="196"/>
      <c r="DM106" s="187"/>
      <c r="DN106" s="187"/>
      <c r="DO106" s="187"/>
      <c r="DP106" s="187"/>
      <c r="DQ106" s="187"/>
      <c r="DR106" s="187"/>
      <c r="DS106" s="187"/>
      <c r="DT106" s="187"/>
      <c r="DU106" s="187"/>
    </row>
    <row r="107" hidden="1">
      <c r="A107" s="196"/>
      <c r="B107" s="95"/>
      <c r="C107" s="95"/>
      <c r="D107" s="95"/>
      <c r="E107" s="196"/>
      <c r="F107" s="196"/>
      <c r="G107" s="187"/>
      <c r="H107" s="187"/>
      <c r="I107" s="187"/>
      <c r="J107" s="187"/>
      <c r="K107" s="187"/>
      <c r="L107" s="187"/>
      <c r="M107" s="187"/>
      <c r="N107" s="187"/>
      <c r="O107" s="187"/>
      <c r="P107" s="196">
        <v>25.0</v>
      </c>
      <c r="Q107" s="196">
        <v>1.0</v>
      </c>
      <c r="R107" s="187"/>
      <c r="S107" s="187"/>
      <c r="T107" s="187"/>
      <c r="U107" s="187"/>
      <c r="V107" s="187"/>
      <c r="W107" s="187"/>
      <c r="X107" s="187"/>
      <c r="Y107" s="187"/>
      <c r="Z107" s="187"/>
      <c r="AA107" s="196"/>
      <c r="AB107" s="196"/>
      <c r="AC107" s="187"/>
      <c r="AD107" s="187"/>
      <c r="AE107" s="187"/>
      <c r="AF107" s="187"/>
      <c r="AG107" s="187"/>
      <c r="AH107" s="187"/>
      <c r="AI107" s="187"/>
      <c r="AJ107" s="187"/>
      <c r="AK107" s="187"/>
      <c r="AL107" s="196"/>
      <c r="AM107" s="196"/>
      <c r="AN107" s="187"/>
      <c r="AO107" s="187"/>
      <c r="AP107" s="187"/>
      <c r="AQ107" s="187"/>
      <c r="AR107" s="187"/>
      <c r="AS107" s="187"/>
      <c r="AT107" s="187"/>
      <c r="AU107" s="187"/>
      <c r="AV107" s="187"/>
      <c r="AW107" s="196"/>
      <c r="AX107" s="196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96"/>
      <c r="BI107" s="196"/>
      <c r="BJ107" s="187"/>
      <c r="BK107" s="187"/>
      <c r="BL107" s="187"/>
      <c r="BM107" s="187"/>
      <c r="BN107" s="187"/>
      <c r="BO107" s="187"/>
      <c r="BP107" s="187"/>
      <c r="BQ107" s="187"/>
      <c r="BR107" s="187"/>
      <c r="BS107" s="196"/>
      <c r="BT107" s="196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96"/>
      <c r="CE107" s="196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96"/>
      <c r="CP107" s="196"/>
      <c r="CQ107" s="187"/>
      <c r="CR107" s="187"/>
      <c r="CS107" s="187"/>
      <c r="CT107" s="187"/>
      <c r="CU107" s="187"/>
      <c r="CV107" s="187"/>
      <c r="CW107" s="187"/>
      <c r="CX107" s="187"/>
      <c r="CY107" s="187"/>
      <c r="CZ107" s="196"/>
      <c r="DA107" s="196"/>
      <c r="DB107" s="187"/>
      <c r="DC107" s="187"/>
      <c r="DD107" s="187"/>
      <c r="DE107" s="187"/>
      <c r="DF107" s="187"/>
      <c r="DG107" s="187"/>
      <c r="DH107" s="187"/>
      <c r="DI107" s="187"/>
      <c r="DJ107" s="187"/>
      <c r="DK107" s="196"/>
      <c r="DL107" s="196"/>
      <c r="DM107" s="187"/>
      <c r="DN107" s="187"/>
      <c r="DO107" s="187"/>
      <c r="DP107" s="187"/>
      <c r="DQ107" s="187"/>
      <c r="DR107" s="187"/>
      <c r="DS107" s="187"/>
      <c r="DT107" s="187"/>
      <c r="DU107" s="187"/>
    </row>
    <row r="108" hidden="1">
      <c r="A108" s="196"/>
      <c r="B108" s="95"/>
      <c r="C108" s="95"/>
      <c r="D108" s="95"/>
      <c r="E108" s="196"/>
      <c r="F108" s="196"/>
      <c r="G108" s="187"/>
      <c r="H108" s="187"/>
      <c r="I108" s="187"/>
      <c r="J108" s="187"/>
      <c r="K108" s="187"/>
      <c r="L108" s="187"/>
      <c r="M108" s="187"/>
      <c r="N108" s="187"/>
      <c r="O108" s="187"/>
      <c r="P108" s="196">
        <v>26.0</v>
      </c>
      <c r="Q108" s="196">
        <v>1.0</v>
      </c>
      <c r="R108" s="187"/>
      <c r="S108" s="187"/>
      <c r="T108" s="187"/>
      <c r="U108" s="187"/>
      <c r="V108" s="187"/>
      <c r="W108" s="187"/>
      <c r="X108" s="187"/>
      <c r="Y108" s="187"/>
      <c r="Z108" s="187"/>
      <c r="AA108" s="196"/>
      <c r="AB108" s="196"/>
      <c r="AC108" s="187"/>
      <c r="AD108" s="187"/>
      <c r="AE108" s="187"/>
      <c r="AF108" s="187"/>
      <c r="AG108" s="187"/>
      <c r="AH108" s="187"/>
      <c r="AI108" s="187"/>
      <c r="AJ108" s="187"/>
      <c r="AK108" s="187"/>
      <c r="AL108" s="196"/>
      <c r="AM108" s="196"/>
      <c r="AN108" s="187"/>
      <c r="AO108" s="187"/>
      <c r="AP108" s="187"/>
      <c r="AQ108" s="187"/>
      <c r="AR108" s="187"/>
      <c r="AS108" s="187"/>
      <c r="AT108" s="187"/>
      <c r="AU108" s="187"/>
      <c r="AV108" s="187"/>
      <c r="AW108" s="196"/>
      <c r="AX108" s="196"/>
      <c r="AY108" s="187"/>
      <c r="AZ108" s="187"/>
      <c r="BA108" s="187"/>
      <c r="BB108" s="187"/>
      <c r="BC108" s="187"/>
      <c r="BD108" s="187"/>
      <c r="BE108" s="187"/>
      <c r="BF108" s="187"/>
      <c r="BG108" s="187"/>
      <c r="BH108" s="196"/>
      <c r="BI108" s="196"/>
      <c r="BJ108" s="187"/>
      <c r="BK108" s="187"/>
      <c r="BL108" s="187"/>
      <c r="BM108" s="187"/>
      <c r="BN108" s="187"/>
      <c r="BO108" s="187"/>
      <c r="BP108" s="187"/>
      <c r="BQ108" s="187"/>
      <c r="BR108" s="187"/>
      <c r="BS108" s="196"/>
      <c r="BT108" s="196"/>
      <c r="BU108" s="187"/>
      <c r="BV108" s="187"/>
      <c r="BW108" s="187"/>
      <c r="BX108" s="187"/>
      <c r="BY108" s="187"/>
      <c r="BZ108" s="187"/>
      <c r="CA108" s="187"/>
      <c r="CB108" s="187"/>
      <c r="CC108" s="187"/>
      <c r="CD108" s="196"/>
      <c r="CE108" s="196"/>
      <c r="CF108" s="187"/>
      <c r="CG108" s="187"/>
      <c r="CH108" s="187"/>
      <c r="CI108" s="187"/>
      <c r="CJ108" s="187"/>
      <c r="CK108" s="187"/>
      <c r="CL108" s="187"/>
      <c r="CM108" s="187"/>
      <c r="CN108" s="187"/>
      <c r="CO108" s="196"/>
      <c r="CP108" s="196"/>
      <c r="CQ108" s="187"/>
      <c r="CR108" s="187"/>
      <c r="CS108" s="187"/>
      <c r="CT108" s="187"/>
      <c r="CU108" s="187"/>
      <c r="CV108" s="187"/>
      <c r="CW108" s="187"/>
      <c r="CX108" s="187"/>
      <c r="CY108" s="187"/>
      <c r="CZ108" s="196"/>
      <c r="DA108" s="196"/>
      <c r="DB108" s="187"/>
      <c r="DC108" s="187"/>
      <c r="DD108" s="187"/>
      <c r="DE108" s="187"/>
      <c r="DF108" s="187"/>
      <c r="DG108" s="187"/>
      <c r="DH108" s="187"/>
      <c r="DI108" s="187"/>
      <c r="DJ108" s="187"/>
      <c r="DK108" s="196"/>
      <c r="DL108" s="196"/>
      <c r="DM108" s="187"/>
      <c r="DN108" s="187"/>
      <c r="DO108" s="187"/>
      <c r="DP108" s="187"/>
      <c r="DQ108" s="187"/>
      <c r="DR108" s="187"/>
      <c r="DS108" s="187"/>
      <c r="DT108" s="187"/>
      <c r="DU108" s="187"/>
    </row>
    <row r="109" hidden="1">
      <c r="A109" s="196"/>
      <c r="B109" s="95"/>
      <c r="C109" s="95"/>
      <c r="D109" s="95"/>
      <c r="E109" s="196"/>
      <c r="F109" s="196"/>
      <c r="G109" s="187"/>
      <c r="H109" s="187"/>
      <c r="I109" s="187"/>
      <c r="J109" s="187"/>
      <c r="K109" s="187"/>
      <c r="L109" s="187"/>
      <c r="M109" s="187"/>
      <c r="N109" s="187"/>
      <c r="O109" s="187"/>
      <c r="P109" s="196">
        <v>27.0</v>
      </c>
      <c r="Q109" s="196">
        <v>1.0</v>
      </c>
      <c r="R109" s="187"/>
      <c r="S109" s="187"/>
      <c r="T109" s="187"/>
      <c r="U109" s="187"/>
      <c r="V109" s="187"/>
      <c r="W109" s="187"/>
      <c r="X109" s="187"/>
      <c r="Y109" s="187"/>
      <c r="Z109" s="187"/>
      <c r="AA109" s="196"/>
      <c r="AB109" s="196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96"/>
      <c r="AM109" s="196"/>
      <c r="AN109" s="187"/>
      <c r="AO109" s="187"/>
      <c r="AP109" s="187"/>
      <c r="AQ109" s="187"/>
      <c r="AR109" s="187"/>
      <c r="AS109" s="187"/>
      <c r="AT109" s="187"/>
      <c r="AU109" s="187"/>
      <c r="AV109" s="187"/>
      <c r="AW109" s="196"/>
      <c r="AX109" s="196"/>
      <c r="AY109" s="187"/>
      <c r="AZ109" s="187"/>
      <c r="BA109" s="187"/>
      <c r="BB109" s="187"/>
      <c r="BC109" s="187"/>
      <c r="BD109" s="187"/>
      <c r="BE109" s="187"/>
      <c r="BF109" s="187"/>
      <c r="BG109" s="187"/>
      <c r="BH109" s="196"/>
      <c r="BI109" s="196"/>
      <c r="BJ109" s="187"/>
      <c r="BK109" s="187"/>
      <c r="BL109" s="187"/>
      <c r="BM109" s="187"/>
      <c r="BN109" s="187"/>
      <c r="BO109" s="187"/>
      <c r="BP109" s="187"/>
      <c r="BQ109" s="187"/>
      <c r="BR109" s="187"/>
      <c r="BS109" s="196"/>
      <c r="BT109" s="196"/>
      <c r="BU109" s="187"/>
      <c r="BV109" s="187"/>
      <c r="BW109" s="187"/>
      <c r="BX109" s="187"/>
      <c r="BY109" s="187"/>
      <c r="BZ109" s="187"/>
      <c r="CA109" s="187"/>
      <c r="CB109" s="187"/>
      <c r="CC109" s="187"/>
      <c r="CD109" s="196"/>
      <c r="CE109" s="196"/>
      <c r="CF109" s="187"/>
      <c r="CG109" s="187"/>
      <c r="CH109" s="187"/>
      <c r="CI109" s="187"/>
      <c r="CJ109" s="187"/>
      <c r="CK109" s="187"/>
      <c r="CL109" s="187"/>
      <c r="CM109" s="187"/>
      <c r="CN109" s="187"/>
      <c r="CO109" s="196"/>
      <c r="CP109" s="196"/>
      <c r="CQ109" s="187"/>
      <c r="CR109" s="187"/>
      <c r="CS109" s="187"/>
      <c r="CT109" s="187"/>
      <c r="CU109" s="187"/>
      <c r="CV109" s="187"/>
      <c r="CW109" s="187"/>
      <c r="CX109" s="187"/>
      <c r="CY109" s="187"/>
      <c r="CZ109" s="196"/>
      <c r="DA109" s="196"/>
      <c r="DB109" s="187"/>
      <c r="DC109" s="187"/>
      <c r="DD109" s="187"/>
      <c r="DE109" s="187"/>
      <c r="DF109" s="187"/>
      <c r="DG109" s="187"/>
      <c r="DH109" s="187"/>
      <c r="DI109" s="187"/>
      <c r="DJ109" s="187"/>
      <c r="DK109" s="196"/>
      <c r="DL109" s="196"/>
      <c r="DM109" s="187"/>
      <c r="DN109" s="187"/>
      <c r="DO109" s="187"/>
      <c r="DP109" s="187"/>
      <c r="DQ109" s="187"/>
      <c r="DR109" s="187"/>
      <c r="DS109" s="187"/>
      <c r="DT109" s="187"/>
      <c r="DU109" s="187"/>
    </row>
    <row r="110" hidden="1">
      <c r="A110" s="196"/>
      <c r="B110" s="95"/>
      <c r="C110" s="95"/>
      <c r="D110" s="95"/>
      <c r="E110" s="196"/>
      <c r="F110" s="196"/>
      <c r="G110" s="187"/>
      <c r="H110" s="187"/>
      <c r="I110" s="187"/>
      <c r="J110" s="187"/>
      <c r="K110" s="187"/>
      <c r="L110" s="187"/>
      <c r="M110" s="187"/>
      <c r="N110" s="187"/>
      <c r="O110" s="187"/>
      <c r="P110" s="196">
        <v>28.0</v>
      </c>
      <c r="Q110" s="196">
        <v>1.0</v>
      </c>
      <c r="R110" s="187"/>
      <c r="S110" s="187"/>
      <c r="T110" s="187"/>
      <c r="U110" s="187"/>
      <c r="V110" s="187"/>
      <c r="W110" s="187"/>
      <c r="X110" s="187"/>
      <c r="Y110" s="187"/>
      <c r="Z110" s="187"/>
      <c r="AA110" s="196"/>
      <c r="AB110" s="196"/>
      <c r="AC110" s="187"/>
      <c r="AD110" s="187"/>
      <c r="AE110" s="187"/>
      <c r="AF110" s="187"/>
      <c r="AG110" s="187"/>
      <c r="AH110" s="187"/>
      <c r="AI110" s="187"/>
      <c r="AJ110" s="187"/>
      <c r="AK110" s="187"/>
      <c r="AL110" s="196"/>
      <c r="AM110" s="196"/>
      <c r="AN110" s="187"/>
      <c r="AO110" s="187"/>
      <c r="AP110" s="187"/>
      <c r="AQ110" s="187"/>
      <c r="AR110" s="187"/>
      <c r="AS110" s="187"/>
      <c r="AT110" s="187"/>
      <c r="AU110" s="187"/>
      <c r="AV110" s="187"/>
      <c r="AW110" s="196"/>
      <c r="AX110" s="196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96"/>
      <c r="BI110" s="196"/>
      <c r="BJ110" s="187"/>
      <c r="BK110" s="187"/>
      <c r="BL110" s="187"/>
      <c r="BM110" s="187"/>
      <c r="BN110" s="187"/>
      <c r="BO110" s="187"/>
      <c r="BP110" s="187"/>
      <c r="BQ110" s="187"/>
      <c r="BR110" s="187"/>
      <c r="BS110" s="196"/>
      <c r="BT110" s="196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96"/>
      <c r="CE110" s="196"/>
      <c r="CF110" s="187"/>
      <c r="CG110" s="187"/>
      <c r="CH110" s="187"/>
      <c r="CI110" s="187"/>
      <c r="CJ110" s="187"/>
      <c r="CK110" s="187"/>
      <c r="CL110" s="187"/>
      <c r="CM110" s="187"/>
      <c r="CN110" s="187"/>
      <c r="CO110" s="196"/>
      <c r="CP110" s="196"/>
      <c r="CQ110" s="187"/>
      <c r="CR110" s="187"/>
      <c r="CS110" s="187"/>
      <c r="CT110" s="187"/>
      <c r="CU110" s="187"/>
      <c r="CV110" s="187"/>
      <c r="CW110" s="187"/>
      <c r="CX110" s="187"/>
      <c r="CY110" s="187"/>
      <c r="CZ110" s="196"/>
      <c r="DA110" s="196"/>
      <c r="DB110" s="187"/>
      <c r="DC110" s="187"/>
      <c r="DD110" s="187"/>
      <c r="DE110" s="187"/>
      <c r="DF110" s="187"/>
      <c r="DG110" s="187"/>
      <c r="DH110" s="187"/>
      <c r="DI110" s="187"/>
      <c r="DJ110" s="187"/>
      <c r="DK110" s="196"/>
      <c r="DL110" s="196"/>
      <c r="DM110" s="187"/>
      <c r="DN110" s="187"/>
      <c r="DO110" s="187"/>
      <c r="DP110" s="187"/>
      <c r="DQ110" s="187"/>
      <c r="DR110" s="187"/>
      <c r="DS110" s="187"/>
      <c r="DT110" s="187"/>
      <c r="DU110" s="187"/>
    </row>
    <row r="111" hidden="1">
      <c r="A111" s="196"/>
      <c r="B111" s="95"/>
      <c r="C111" s="95"/>
      <c r="D111" s="95"/>
      <c r="E111" s="196"/>
      <c r="F111" s="196"/>
      <c r="G111" s="187"/>
      <c r="H111" s="187"/>
      <c r="I111" s="187"/>
      <c r="J111" s="187"/>
      <c r="K111" s="187"/>
      <c r="L111" s="187"/>
      <c r="M111" s="187"/>
      <c r="N111" s="187"/>
      <c r="O111" s="187"/>
      <c r="P111" s="196">
        <v>29.0</v>
      </c>
      <c r="Q111" s="196">
        <v>1.0</v>
      </c>
      <c r="R111" s="187"/>
      <c r="S111" s="187"/>
      <c r="T111" s="187"/>
      <c r="U111" s="187"/>
      <c r="V111" s="187"/>
      <c r="W111" s="187"/>
      <c r="X111" s="187"/>
      <c r="Y111" s="187"/>
      <c r="Z111" s="187"/>
      <c r="AA111" s="196"/>
      <c r="AB111" s="196"/>
      <c r="AC111" s="187"/>
      <c r="AD111" s="187"/>
      <c r="AE111" s="187"/>
      <c r="AF111" s="187"/>
      <c r="AG111" s="187"/>
      <c r="AH111" s="187"/>
      <c r="AI111" s="187"/>
      <c r="AJ111" s="187"/>
      <c r="AK111" s="187"/>
      <c r="AL111" s="196"/>
      <c r="AM111" s="196"/>
      <c r="AN111" s="187"/>
      <c r="AO111" s="187"/>
      <c r="AP111" s="187"/>
      <c r="AQ111" s="187"/>
      <c r="AR111" s="187"/>
      <c r="AS111" s="187"/>
      <c r="AT111" s="187"/>
      <c r="AU111" s="187"/>
      <c r="AV111" s="187"/>
      <c r="AW111" s="196"/>
      <c r="AX111" s="196"/>
      <c r="AY111" s="187"/>
      <c r="AZ111" s="187"/>
      <c r="BA111" s="187"/>
      <c r="BB111" s="187"/>
      <c r="BC111" s="187"/>
      <c r="BD111" s="187"/>
      <c r="BE111" s="187"/>
      <c r="BF111" s="187"/>
      <c r="BG111" s="187"/>
      <c r="BH111" s="196"/>
      <c r="BI111" s="196"/>
      <c r="BJ111" s="187"/>
      <c r="BK111" s="187"/>
      <c r="BL111" s="187"/>
      <c r="BM111" s="187"/>
      <c r="BN111" s="187"/>
      <c r="BO111" s="187"/>
      <c r="BP111" s="187"/>
      <c r="BQ111" s="187"/>
      <c r="BR111" s="187"/>
      <c r="BS111" s="196"/>
      <c r="BT111" s="196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96"/>
      <c r="CE111" s="196"/>
      <c r="CF111" s="187"/>
      <c r="CG111" s="187"/>
      <c r="CH111" s="187"/>
      <c r="CI111" s="187"/>
      <c r="CJ111" s="187"/>
      <c r="CK111" s="187"/>
      <c r="CL111" s="187"/>
      <c r="CM111" s="187"/>
      <c r="CN111" s="187"/>
      <c r="CO111" s="196"/>
      <c r="CP111" s="196"/>
      <c r="CQ111" s="187"/>
      <c r="CR111" s="187"/>
      <c r="CS111" s="187"/>
      <c r="CT111" s="187"/>
      <c r="CU111" s="187"/>
      <c r="CV111" s="187"/>
      <c r="CW111" s="187"/>
      <c r="CX111" s="187"/>
      <c r="CY111" s="187"/>
      <c r="CZ111" s="196"/>
      <c r="DA111" s="196"/>
      <c r="DB111" s="187"/>
      <c r="DC111" s="187"/>
      <c r="DD111" s="187"/>
      <c r="DE111" s="187"/>
      <c r="DF111" s="187"/>
      <c r="DG111" s="187"/>
      <c r="DH111" s="187"/>
      <c r="DI111" s="187"/>
      <c r="DJ111" s="187"/>
      <c r="DK111" s="196"/>
      <c r="DL111" s="196"/>
      <c r="DM111" s="187"/>
      <c r="DN111" s="187"/>
      <c r="DO111" s="187"/>
      <c r="DP111" s="187"/>
      <c r="DQ111" s="187"/>
      <c r="DR111" s="187"/>
      <c r="DS111" s="187"/>
      <c r="DT111" s="187"/>
      <c r="DU111" s="187"/>
    </row>
    <row r="112" hidden="1">
      <c r="A112" s="196"/>
      <c r="B112" s="95"/>
      <c r="C112" s="95"/>
      <c r="D112" s="95"/>
      <c r="E112" s="196"/>
      <c r="F112" s="196"/>
      <c r="G112" s="187"/>
      <c r="H112" s="187"/>
      <c r="I112" s="187"/>
      <c r="J112" s="187"/>
      <c r="K112" s="187"/>
      <c r="L112" s="187"/>
      <c r="M112" s="187"/>
      <c r="N112" s="187"/>
      <c r="O112" s="187"/>
      <c r="P112" s="196">
        <v>30.0</v>
      </c>
      <c r="Q112" s="196">
        <v>1.0</v>
      </c>
      <c r="R112" s="187"/>
      <c r="S112" s="187"/>
      <c r="T112" s="187"/>
      <c r="U112" s="187"/>
      <c r="V112" s="187"/>
      <c r="W112" s="187"/>
      <c r="X112" s="187"/>
      <c r="Y112" s="187"/>
      <c r="Z112" s="187"/>
      <c r="AA112" s="196"/>
      <c r="AB112" s="196"/>
      <c r="AC112" s="187"/>
      <c r="AD112" s="187"/>
      <c r="AE112" s="187"/>
      <c r="AF112" s="187"/>
      <c r="AG112" s="187"/>
      <c r="AH112" s="187"/>
      <c r="AI112" s="187"/>
      <c r="AJ112" s="187"/>
      <c r="AK112" s="187"/>
      <c r="AL112" s="196"/>
      <c r="AM112" s="196"/>
      <c r="AN112" s="187"/>
      <c r="AO112" s="187"/>
      <c r="AP112" s="187"/>
      <c r="AQ112" s="187"/>
      <c r="AR112" s="187"/>
      <c r="AS112" s="187"/>
      <c r="AT112" s="187"/>
      <c r="AU112" s="187"/>
      <c r="AV112" s="187"/>
      <c r="AW112" s="196"/>
      <c r="AX112" s="196"/>
      <c r="AY112" s="187"/>
      <c r="AZ112" s="187"/>
      <c r="BA112" s="187"/>
      <c r="BB112" s="187"/>
      <c r="BC112" s="187"/>
      <c r="BD112" s="187"/>
      <c r="BE112" s="187"/>
      <c r="BF112" s="187"/>
      <c r="BG112" s="187"/>
      <c r="BH112" s="196"/>
      <c r="BI112" s="196"/>
      <c r="BJ112" s="187"/>
      <c r="BK112" s="187"/>
      <c r="BL112" s="187"/>
      <c r="BM112" s="187"/>
      <c r="BN112" s="187"/>
      <c r="BO112" s="187"/>
      <c r="BP112" s="187"/>
      <c r="BQ112" s="187"/>
      <c r="BR112" s="187"/>
      <c r="BS112" s="196"/>
      <c r="BT112" s="196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96"/>
      <c r="CE112" s="196"/>
      <c r="CF112" s="187"/>
      <c r="CG112" s="187"/>
      <c r="CH112" s="187"/>
      <c r="CI112" s="187"/>
      <c r="CJ112" s="187"/>
      <c r="CK112" s="187"/>
      <c r="CL112" s="187"/>
      <c r="CM112" s="187"/>
      <c r="CN112" s="187"/>
      <c r="CO112" s="196"/>
      <c r="CP112" s="196"/>
      <c r="CQ112" s="187"/>
      <c r="CR112" s="187"/>
      <c r="CS112" s="187"/>
      <c r="CT112" s="187"/>
      <c r="CU112" s="187"/>
      <c r="CV112" s="187"/>
      <c r="CW112" s="187"/>
      <c r="CX112" s="187"/>
      <c r="CY112" s="187"/>
      <c r="CZ112" s="196"/>
      <c r="DA112" s="196"/>
      <c r="DB112" s="187"/>
      <c r="DC112" s="187"/>
      <c r="DD112" s="187"/>
      <c r="DE112" s="187"/>
      <c r="DF112" s="187"/>
      <c r="DG112" s="187"/>
      <c r="DH112" s="187"/>
      <c r="DI112" s="187"/>
      <c r="DJ112" s="187"/>
      <c r="DK112" s="196"/>
      <c r="DL112" s="196"/>
      <c r="DM112" s="187"/>
      <c r="DN112" s="187"/>
      <c r="DO112" s="187"/>
      <c r="DP112" s="187"/>
      <c r="DQ112" s="187"/>
      <c r="DR112" s="187"/>
      <c r="DS112" s="187"/>
      <c r="DT112" s="187"/>
      <c r="DU112" s="187"/>
    </row>
    <row r="113" hidden="1">
      <c r="A113" s="196"/>
      <c r="B113" s="95"/>
      <c r="C113" s="95"/>
      <c r="D113" s="95"/>
      <c r="E113" s="196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96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96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96"/>
      <c r="AM113" s="187"/>
      <c r="AN113" s="187"/>
      <c r="AO113" s="187"/>
      <c r="AP113" s="187"/>
      <c r="AQ113" s="187"/>
      <c r="AR113" s="187"/>
      <c r="AS113" s="187"/>
      <c r="AT113" s="187"/>
      <c r="AU113" s="187"/>
      <c r="AV113" s="187"/>
      <c r="AW113" s="196"/>
      <c r="AX113" s="187"/>
      <c r="AY113" s="187"/>
      <c r="AZ113" s="187"/>
      <c r="BA113" s="187"/>
      <c r="BB113" s="187"/>
      <c r="BC113" s="187"/>
      <c r="BD113" s="187"/>
      <c r="BE113" s="187"/>
      <c r="BF113" s="187"/>
      <c r="BG113" s="187"/>
      <c r="BH113" s="196"/>
      <c r="BI113" s="187"/>
      <c r="BJ113" s="187"/>
      <c r="BK113" s="187"/>
      <c r="BL113" s="187"/>
      <c r="BM113" s="187"/>
      <c r="BN113" s="187"/>
      <c r="BO113" s="187"/>
      <c r="BP113" s="187"/>
      <c r="BQ113" s="187"/>
      <c r="BR113" s="187"/>
      <c r="BS113" s="196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96"/>
      <c r="CE113" s="187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96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96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96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</row>
    <row r="114" hidden="1">
      <c r="A114" s="196"/>
      <c r="B114" s="95"/>
      <c r="C114" s="95"/>
      <c r="D114" s="95"/>
      <c r="E114" s="196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96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96"/>
      <c r="AB114" s="187"/>
      <c r="AC114" s="187"/>
      <c r="AD114" s="187"/>
      <c r="AE114" s="187"/>
      <c r="AF114" s="187"/>
      <c r="AG114" s="187"/>
      <c r="AH114" s="187"/>
      <c r="AI114" s="187"/>
      <c r="AJ114" s="187"/>
      <c r="AK114" s="187"/>
      <c r="AL114" s="196"/>
      <c r="AM114" s="187"/>
      <c r="AN114" s="187"/>
      <c r="AO114" s="187"/>
      <c r="AP114" s="187"/>
      <c r="AQ114" s="187"/>
      <c r="AR114" s="187"/>
      <c r="AS114" s="187"/>
      <c r="AT114" s="187"/>
      <c r="AU114" s="187"/>
      <c r="AV114" s="187"/>
      <c r="AW114" s="196"/>
      <c r="AX114" s="187"/>
      <c r="AY114" s="187"/>
      <c r="AZ114" s="187"/>
      <c r="BA114" s="187"/>
      <c r="BB114" s="187"/>
      <c r="BC114" s="187"/>
      <c r="BD114" s="187"/>
      <c r="BE114" s="187"/>
      <c r="BF114" s="187"/>
      <c r="BG114" s="187"/>
      <c r="BH114" s="196"/>
      <c r="BI114" s="187"/>
      <c r="BJ114" s="187"/>
      <c r="BK114" s="187"/>
      <c r="BL114" s="187"/>
      <c r="BM114" s="187"/>
      <c r="BN114" s="187"/>
      <c r="BO114" s="187"/>
      <c r="BP114" s="187"/>
      <c r="BQ114" s="187"/>
      <c r="BR114" s="187"/>
      <c r="BS114" s="196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96"/>
      <c r="CE114" s="187"/>
      <c r="CF114" s="187"/>
      <c r="CG114" s="187"/>
      <c r="CH114" s="187"/>
      <c r="CI114" s="187"/>
      <c r="CJ114" s="187"/>
      <c r="CK114" s="187"/>
      <c r="CL114" s="187"/>
      <c r="CM114" s="187"/>
      <c r="CN114" s="187"/>
      <c r="CO114" s="196"/>
      <c r="CP114" s="187"/>
      <c r="CQ114" s="187"/>
      <c r="CR114" s="187"/>
      <c r="CS114" s="187"/>
      <c r="CT114" s="187"/>
      <c r="CU114" s="187"/>
      <c r="CV114" s="187"/>
      <c r="CW114" s="187"/>
      <c r="CX114" s="187"/>
      <c r="CY114" s="187"/>
      <c r="CZ114" s="196"/>
      <c r="DA114" s="187"/>
      <c r="DB114" s="187"/>
      <c r="DC114" s="187"/>
      <c r="DD114" s="187"/>
      <c r="DE114" s="187"/>
      <c r="DF114" s="187"/>
      <c r="DG114" s="187"/>
      <c r="DH114" s="187"/>
      <c r="DI114" s="187"/>
      <c r="DJ114" s="187"/>
      <c r="DK114" s="196"/>
      <c r="DL114" s="187"/>
      <c r="DM114" s="187"/>
      <c r="DN114" s="187"/>
      <c r="DO114" s="187"/>
      <c r="DP114" s="187"/>
      <c r="DQ114" s="187"/>
      <c r="DR114" s="187"/>
      <c r="DS114" s="187"/>
      <c r="DT114" s="187"/>
      <c r="DU114" s="187"/>
    </row>
    <row r="115" hidden="1">
      <c r="A115" s="196"/>
      <c r="B115" s="95"/>
      <c r="C115" s="95"/>
      <c r="D115" s="95"/>
      <c r="E115" s="196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96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96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96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96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96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96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96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96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96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96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</row>
  </sheetData>
  <autoFilter ref="$A$4:$D$15">
    <sortState ref="A4:D15">
      <sortCondition descending="1" ref="D4:D15"/>
      <sortCondition descending="1" ref="B4:B15"/>
    </sortState>
  </autoFilter>
  <mergeCells count="44">
    <mergeCell ref="CD1:CN1"/>
    <mergeCell ref="CO1:CY1"/>
    <mergeCell ref="CZ1:DJ1"/>
    <mergeCell ref="DK1:DU1"/>
    <mergeCell ref="E1:O1"/>
    <mergeCell ref="P1:Z1"/>
    <mergeCell ref="AA1:AK1"/>
    <mergeCell ref="AL1:AV1"/>
    <mergeCell ref="AW1:BG1"/>
    <mergeCell ref="BH1:BR1"/>
    <mergeCell ref="BS1:CC1"/>
    <mergeCell ref="CD26:CN26"/>
    <mergeCell ref="CO26:CY26"/>
    <mergeCell ref="CZ26:DJ26"/>
    <mergeCell ref="DK26:DU26"/>
    <mergeCell ref="E26:O26"/>
    <mergeCell ref="P26:Z26"/>
    <mergeCell ref="AA26:AK26"/>
    <mergeCell ref="AL26:AV26"/>
    <mergeCell ref="AW26:BG26"/>
    <mergeCell ref="BH26:BR26"/>
    <mergeCell ref="BS26:CC26"/>
    <mergeCell ref="CD51:CN51"/>
    <mergeCell ref="CO51:CY51"/>
    <mergeCell ref="CZ51:DJ51"/>
    <mergeCell ref="DK51:DU51"/>
    <mergeCell ref="E51:O51"/>
    <mergeCell ref="P51:Z51"/>
    <mergeCell ref="AA51:AK51"/>
    <mergeCell ref="AL51:AV51"/>
    <mergeCell ref="AW51:BG51"/>
    <mergeCell ref="BH51:BR51"/>
    <mergeCell ref="BS51:CC51"/>
    <mergeCell ref="CD76:CN76"/>
    <mergeCell ref="CO76:CY76"/>
    <mergeCell ref="CZ76:DJ76"/>
    <mergeCell ref="DK76:DU76"/>
    <mergeCell ref="E76:O76"/>
    <mergeCell ref="P76:Z76"/>
    <mergeCell ref="AA76:AK76"/>
    <mergeCell ref="AL76:AV76"/>
    <mergeCell ref="AW76:BG76"/>
    <mergeCell ref="BH76:BR76"/>
    <mergeCell ref="BS76:CC7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8.38"/>
    <col customWidth="1" min="3" max="3" width="6.38"/>
    <col customWidth="1" min="4" max="6" width="10.38"/>
    <col customWidth="1" min="7" max="9" width="6.5"/>
    <col customWidth="1" hidden="1" min="10" max="11" width="6.5"/>
    <col customWidth="1" min="12" max="12" width="11.13"/>
    <col customWidth="1" min="13" max="13" width="6.5"/>
    <col customWidth="1" min="14" max="14" width="31.25"/>
    <col customWidth="1" hidden="1" min="15" max="18" width="10.38"/>
    <col customWidth="1" min="19" max="21" width="10.38"/>
    <col customWidth="1" min="22" max="23" width="11.5"/>
    <col customWidth="1" min="24" max="24" width="26.13"/>
  </cols>
  <sheetData>
    <row r="1">
      <c r="A1" s="154"/>
      <c r="B1" s="154"/>
      <c r="C1" s="154"/>
      <c r="D1" s="155">
        <v>52.0</v>
      </c>
      <c r="E1" s="156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8"/>
      <c r="Q1" s="158"/>
      <c r="R1" s="159"/>
      <c r="S1" s="160"/>
      <c r="T1" s="158"/>
      <c r="U1" s="158"/>
      <c r="V1" s="159"/>
      <c r="W1" s="159"/>
      <c r="X1" s="158"/>
    </row>
    <row r="2">
      <c r="A2" s="161" t="s">
        <v>746</v>
      </c>
      <c r="B2" s="161" t="s">
        <v>747</v>
      </c>
      <c r="C2" s="161" t="s">
        <v>748</v>
      </c>
      <c r="D2" s="161" t="s">
        <v>253</v>
      </c>
      <c r="E2" s="161" t="s">
        <v>254</v>
      </c>
      <c r="F2" s="161" t="s">
        <v>31</v>
      </c>
      <c r="G2" s="161" t="s">
        <v>32</v>
      </c>
      <c r="H2" s="161" t="s">
        <v>33</v>
      </c>
      <c r="I2" s="161" t="s">
        <v>34</v>
      </c>
      <c r="J2" s="161" t="s">
        <v>749</v>
      </c>
      <c r="K2" s="161" t="s">
        <v>257</v>
      </c>
      <c r="L2" s="161" t="s">
        <v>750</v>
      </c>
      <c r="M2" s="161" t="s">
        <v>36</v>
      </c>
      <c r="N2" s="161" t="s">
        <v>261</v>
      </c>
      <c r="O2" s="161" t="s">
        <v>751</v>
      </c>
      <c r="P2" s="162" t="s">
        <v>752</v>
      </c>
      <c r="Q2" s="162" t="s">
        <v>753</v>
      </c>
      <c r="R2" s="162" t="s">
        <v>754</v>
      </c>
      <c r="S2" s="161" t="s">
        <v>755</v>
      </c>
      <c r="T2" s="162" t="s">
        <v>756</v>
      </c>
      <c r="U2" s="162" t="s">
        <v>757</v>
      </c>
      <c r="V2" s="162" t="s">
        <v>758</v>
      </c>
      <c r="W2" s="162" t="s">
        <v>759</v>
      </c>
      <c r="X2" s="209" t="s">
        <v>703</v>
      </c>
    </row>
    <row r="3">
      <c r="A3" s="163">
        <f>RANK(M3,$M$3)</f>
        <v>1</v>
      </c>
      <c r="B3" s="163">
        <f>RANK(W3,W3)</f>
        <v>1</v>
      </c>
      <c r="C3" s="163"/>
      <c r="D3" s="163" t="str">
        <f>IFERROR(__xludf.DUMMYFUNCTION("FILTER(Roster!A$2:A175,Roster!$H$2:$H175=""M"",Roster!$J$2:$J175=$D$1)"),"Garza")</f>
        <v>Garza</v>
      </c>
      <c r="E3" s="163" t="str">
        <f>IFERROR(__xludf.DUMMYFUNCTION("FILTER(Roster!B$2:B175,Roster!$H$2:$H175=""M"",Roster!$J$2:$J175=$D$1)"),"Felipe")</f>
        <v>Felipe</v>
      </c>
      <c r="F3" s="163" t="str">
        <f>IFERROR(__xludf.DUMMYFUNCTION("FILTER(Roster!D$2:D175,Roster!$H$2:$H175=""M"",Roster!$J$2:$J175=$D$1)"),"1 - Thu")</f>
        <v>1 - Thu</v>
      </c>
      <c r="G3" s="163" t="str">
        <f>IFERROR(__xludf.DUMMYFUNCTION("FILTER(Roster!E$2:E175,Roster!$H$2:$H175=""M"",Roster!$J$2:$J175=$D$1)"),"")</f>
        <v/>
      </c>
      <c r="H3" s="163" t="str">
        <f>IFERROR(__xludf.DUMMYFUNCTION("FILTER(Roster!F$2:F175,Roster!$H$2:$H175=""M"",Roster!$J$2:$J175=$D$1)"),"")</f>
        <v/>
      </c>
      <c r="I3" s="163" t="str">
        <f>IFERROR(__xludf.DUMMYFUNCTION("FILTER(Roster!G$2:G175,Roster!$H$2:$H175=""M"",Roster!$J$2:$J175=$D$1)"),"")</f>
        <v/>
      </c>
      <c r="J3" s="163" t="str">
        <f>IFERROR(__xludf.DUMMYFUNCTION("FILTER(Roster!H$2:H175,Roster!$H$2:$H175=""M"",Roster!$J$2:$J175=$D$1)"),"M")</f>
        <v>M</v>
      </c>
      <c r="K3" s="163" t="str">
        <f>IFERROR(__xludf.DUMMYFUNCTION("FILTER(Roster!I$2:I175,Roster!$H$2:$H175=""M"",Roster!$J$2:$J175=$D$1)"),"E")</f>
        <v>E</v>
      </c>
      <c r="L3" s="163">
        <f>IFERROR(__xludf.DUMMYFUNCTION("FILTER(Roster!J$2:J175,Roster!$H$2:$H175=""M"",Roster!$J$2:$J175=$D$1)"),52.0)</f>
        <v>52</v>
      </c>
      <c r="M3" s="163">
        <f>IFERROR(__xludf.DUMMYFUNCTION("FILTER(Roster!M$2:M175,Roster!$H$2:$H175=""M"",Roster!$J$2:$J175=$D1)"),477.5)</f>
        <v>477.5</v>
      </c>
      <c r="N3" s="163" t="str">
        <f>IFERROR(__xludf.DUMMYFUNCTION("FILTER(Roster!N$2:N175,Roster!$H$2:$H175=""M"",Roster!$J$2:$J175=$D1)"),"")</f>
        <v/>
      </c>
      <c r="O3" s="164">
        <f t="array" ref="O3">INDEX('Best Lifts'!E$1:E$268,MATCH(1,($D3='Best Lifts'!$A:$A)*($E3='Best Lifts'!$B:$B),0))</f>
        <v>152.5</v>
      </c>
      <c r="P3" s="164">
        <f t="array" ref="P3">INDEX('Best Lifts'!F$1:F$268,MATCH(1,($D3='Best Lifts'!$A:$A)*($E3='Best Lifts'!$B:$B),0))</f>
        <v>95</v>
      </c>
      <c r="Q3" s="164">
        <f t="array" ref="Q3">INDEX('Best Lifts'!G$1:G$268,MATCH(1,($D3='Best Lifts'!$A:$A)*($E3='Best Lifts'!$B:$B),0))</f>
        <v>175</v>
      </c>
      <c r="R3" s="164">
        <f t="array" ref="R3">INDEX('Best Lifts'!H$1:H$268,MATCH(1,($D3='Best Lifts'!$A:$A)*($E3='Best Lifts'!$B:$B),0))</f>
        <v>420</v>
      </c>
      <c r="S3" s="164">
        <f t="array" ref="S3">INDEX('Best Lifts'!I$1:I175,MATCH(1,($D3='Best Lifts'!$A:$A)*($E3='Best Lifts'!$B:$B),0))</f>
        <v>183.7</v>
      </c>
      <c r="T3" s="164">
        <f t="array" ref="T3">INDEX('Best Lifts'!J$1:J$268,MATCH(1,($D3='Best Lifts'!$A:$A)*($E3='Best Lifts'!$B:$B),0))</f>
        <v>129.2</v>
      </c>
      <c r="U3" s="164">
        <f t="array" ref="U3">INDEX('Best Lifts'!K$1:K$268,MATCH(1,($D3='Best Lifts'!$A:$A)*($E3='Best Lifts'!$B:$B),0))</f>
        <v>187.5</v>
      </c>
      <c r="V3" s="164">
        <f t="array" ref="V3">INDEX('Best Lifts'!L$1:L$268,MATCH(1,($D3='Best Lifts'!$A:$A)*($E3='Best Lifts'!$B:$B),0))</f>
        <v>494.4</v>
      </c>
      <c r="W3" s="164">
        <f>IF(ISNA(SUM(S3:U3)),0,SUM(S3:U3))</f>
        <v>500.4</v>
      </c>
      <c r="X3" s="164" t="str">
        <f t="array" ref="X3">INDEX('Best Lifts'!M$1:M$258,MATCH(1,($D3='Best Lifts'!$A:$A)*($E3='Best Lifts'!$B:$B),0))</f>
        <v/>
      </c>
    </row>
    <row r="4">
      <c r="A4" s="154"/>
      <c r="B4" s="154"/>
      <c r="C4" s="154"/>
      <c r="D4" s="154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8"/>
      <c r="Q4" s="158"/>
      <c r="R4" s="159"/>
      <c r="S4" s="160"/>
      <c r="T4" s="158"/>
      <c r="U4" s="158"/>
      <c r="V4" s="159"/>
      <c r="W4" s="159"/>
      <c r="X4" s="158"/>
    </row>
    <row r="5">
      <c r="A5" s="154"/>
      <c r="B5" s="154"/>
      <c r="C5" s="154"/>
      <c r="D5" s="155">
        <v>56.0</v>
      </c>
      <c r="E5" s="156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8"/>
      <c r="Q5" s="158"/>
      <c r="R5" s="159"/>
      <c r="S5" s="160"/>
      <c r="T5" s="158"/>
      <c r="U5" s="158"/>
      <c r="V5" s="159"/>
      <c r="W5" s="159"/>
      <c r="X5" s="158"/>
    </row>
    <row r="6">
      <c r="A6" s="161" t="s">
        <v>746</v>
      </c>
      <c r="B6" s="161" t="s">
        <v>747</v>
      </c>
      <c r="C6" s="161" t="s">
        <v>748</v>
      </c>
      <c r="D6" s="161" t="s">
        <v>253</v>
      </c>
      <c r="E6" s="161" t="s">
        <v>254</v>
      </c>
      <c r="F6" s="161" t="s">
        <v>31</v>
      </c>
      <c r="G6" s="161" t="s">
        <v>32</v>
      </c>
      <c r="H6" s="161" t="s">
        <v>33</v>
      </c>
      <c r="I6" s="161" t="s">
        <v>34</v>
      </c>
      <c r="J6" s="161" t="s">
        <v>749</v>
      </c>
      <c r="K6" s="161" t="s">
        <v>257</v>
      </c>
      <c r="L6" s="161" t="s">
        <v>750</v>
      </c>
      <c r="M6" s="161" t="s">
        <v>36</v>
      </c>
      <c r="N6" s="161" t="s">
        <v>261</v>
      </c>
      <c r="O6" s="161" t="s">
        <v>751</v>
      </c>
      <c r="P6" s="162" t="s">
        <v>752</v>
      </c>
      <c r="Q6" s="162" t="s">
        <v>753</v>
      </c>
      <c r="R6" s="162" t="s">
        <v>754</v>
      </c>
      <c r="S6" s="161" t="s">
        <v>755</v>
      </c>
      <c r="T6" s="162" t="s">
        <v>756</v>
      </c>
      <c r="U6" s="162" t="s">
        <v>757</v>
      </c>
      <c r="V6" s="162" t="s">
        <v>758</v>
      </c>
      <c r="W6" s="162" t="s">
        <v>759</v>
      </c>
      <c r="X6" s="209" t="s">
        <v>703</v>
      </c>
    </row>
    <row r="7">
      <c r="A7" s="163">
        <f t="shared" ref="A7:A8" si="1">RANK(M7,$M$7:$M$8)</f>
        <v>1</v>
      </c>
      <c r="B7" s="163">
        <f t="shared" ref="B7:B8" si="2">RANK(W7,$W$7:$W$8)</f>
        <v>1</v>
      </c>
      <c r="C7" s="163"/>
      <c r="D7" s="163" t="str">
        <f>IFERROR(__xludf.DUMMYFUNCTION("FILTER(Roster!A$2:A175,Roster!$H$2:$H175=""M"",Roster!$J$2:$J175=$D5)"),"Medina Jr.")</f>
        <v>Medina Jr.</v>
      </c>
      <c r="E7" s="163" t="str">
        <f>IFERROR(__xludf.DUMMYFUNCTION("FILTER(Roster!B$2:B175,Roster!$H$2:$H175=""M"",Roster!$J$2:$J175=$D5)"),"Christopher")</f>
        <v>Christopher</v>
      </c>
      <c r="F7" s="163" t="str">
        <f>IFERROR(__xludf.DUMMYFUNCTION("FILTER(Roster!D$2:D175,Roster!$H$2:$H175=""M"",Roster!$J$2:$J175=$D5)"),"1 - Thu")</f>
        <v>1 - Thu</v>
      </c>
      <c r="G7" s="163" t="str">
        <f>IFERROR(__xludf.DUMMYFUNCTION("FILTER(Roster!E$2:E175,Roster!$H$2:$H175=""M"",Roster!$J$2:$J175=$D5)"),"")</f>
        <v/>
      </c>
      <c r="H7" s="163" t="str">
        <f>IFERROR(__xludf.DUMMYFUNCTION("FILTER(Roster!F$2:F175,Roster!$H$2:$H175=""M"",Roster!$J$2:$J175=$D5)"),"")</f>
        <v/>
      </c>
      <c r="I7" s="163" t="str">
        <f>IFERROR(__xludf.DUMMYFUNCTION("FILTER(Roster!G$2:G175,Roster!$H$2:$H175=""M"",Roster!$J$2:$J175=$D5)"),"")</f>
        <v/>
      </c>
      <c r="J7" s="163" t="str">
        <f>IFERROR(__xludf.DUMMYFUNCTION("FILTER(Roster!H$2:H175,Roster!$H$2:$H175=""M"",Roster!$J$2:$J175=$D5)"),"M")</f>
        <v>M</v>
      </c>
      <c r="K7" s="163" t="str">
        <f>IFERROR(__xludf.DUMMYFUNCTION("FILTER(Roster!I$2:I175,Roster!$H$2:$H175=""M"",Roster!$J$2:$J175=$D5)"),"E")</f>
        <v>E</v>
      </c>
      <c r="L7" s="163">
        <f>IFERROR(__xludf.DUMMYFUNCTION("FILTER(Roster!J$2:J175,Roster!$H$2:$H175=""M"",Roster!$J$2:$J175=$D5)"),56.0)</f>
        <v>56</v>
      </c>
      <c r="M7" s="163">
        <f>IFERROR(__xludf.DUMMYFUNCTION("FILTER(Roster!M$2:M175,Roster!$H$2:$H175=""M"",Roster!$J$2:$J175=$D5)"),510.0)</f>
        <v>510</v>
      </c>
      <c r="N7" s="163" t="str">
        <f>IFERROR(__xludf.DUMMYFUNCTION("FILTER(Roster!N$2:N175,Roster!$H$2:$H175=""M"",Roster!$J$2:$J175=$D5)"),"")</f>
        <v/>
      </c>
      <c r="O7" s="164">
        <f t="array" ref="O7">INDEX('Best Lifts'!E$1:E$268,MATCH(1,($D7='Best Lifts'!$A:$A)*($E7='Best Lifts'!$B:$B),0))</f>
        <v>132.5</v>
      </c>
      <c r="P7" s="164">
        <f t="array" ref="P7">INDEX('Best Lifts'!F$1:F$268,MATCH(1,($D7='Best Lifts'!$A:$A)*($E7='Best Lifts'!$B:$B),0))</f>
        <v>82.5</v>
      </c>
      <c r="Q7" s="164">
        <f t="array" ref="Q7">INDEX('Best Lifts'!G$1:G$268,MATCH(1,($D7='Best Lifts'!$A:$A)*($E7='Best Lifts'!$B:$B),0))</f>
        <v>177.5</v>
      </c>
      <c r="R7" s="164">
        <f t="array" ref="R7">INDEX('Best Lifts'!H$1:H$268,MATCH(1,($D7='Best Lifts'!$A:$A)*($E7='Best Lifts'!$B:$B),0))</f>
        <v>392.5</v>
      </c>
      <c r="S7" s="164">
        <f t="array" ref="S7">INDEX('Best Lifts'!I$1:I175,MATCH(1,($D7='Best Lifts'!$A:$A)*($E7='Best Lifts'!$B:$B),0))</f>
        <v>197.5</v>
      </c>
      <c r="T7" s="164">
        <f t="array" ref="T7">INDEX('Best Lifts'!J$1:J$268,MATCH(1,($D7='Best Lifts'!$A:$A)*($E7='Best Lifts'!$B:$B),0))</f>
        <v>110</v>
      </c>
      <c r="U7" s="164">
        <f t="array" ref="U7">INDEX('Best Lifts'!K$1:K$268,MATCH(1,($D7='Best Lifts'!$A:$A)*($E7='Best Lifts'!$B:$B),0))</f>
        <v>202.5</v>
      </c>
      <c r="V7" s="164">
        <f t="array" ref="V7">INDEX('Best Lifts'!L$1:L$268,MATCH(1,($D7='Best Lifts'!$A:$A)*($E7='Best Lifts'!$B:$B),0))</f>
        <v>510</v>
      </c>
      <c r="W7" s="164">
        <f t="shared" ref="W7:W8" si="3">IF(ISNA(SUM(S7:U7)),0,SUM(S7:U7))</f>
        <v>510</v>
      </c>
      <c r="X7" s="164" t="str">
        <f t="array" ref="X7">INDEX('Best Lifts'!M$1:M$258,MATCH(1,($D7='Best Lifts'!$A:$A)*($E7='Best Lifts'!$B:$B),0))</f>
        <v/>
      </c>
    </row>
    <row r="8">
      <c r="A8" s="163">
        <f t="shared" si="1"/>
        <v>2</v>
      </c>
      <c r="B8" s="163">
        <f t="shared" si="2"/>
        <v>2</v>
      </c>
      <c r="C8" s="163"/>
      <c r="D8" s="163" t="str">
        <f>IFERROR(__xludf.DUMMYFUNCTION("""COMPUTED_VALUE"""),"Tan")</f>
        <v>Tan</v>
      </c>
      <c r="E8" s="163" t="str">
        <f>IFERROR(__xludf.DUMMYFUNCTION("""COMPUTED_VALUE"""),"Dennis")</f>
        <v>Dennis</v>
      </c>
      <c r="F8" s="163" t="str">
        <f>IFERROR(__xludf.DUMMYFUNCTION("""COMPUTED_VALUE"""),"1 - Thu")</f>
        <v>1 - Thu</v>
      </c>
      <c r="G8" s="163"/>
      <c r="H8" s="163"/>
      <c r="I8" s="163"/>
      <c r="J8" s="163" t="str">
        <f>IFERROR(__xludf.DUMMYFUNCTION("""COMPUTED_VALUE"""),"M")</f>
        <v>M</v>
      </c>
      <c r="K8" s="163" t="str">
        <f>IFERROR(__xludf.DUMMYFUNCTION("""COMPUTED_VALUE"""),"E")</f>
        <v>E</v>
      </c>
      <c r="L8" s="163">
        <f>IFERROR(__xludf.DUMMYFUNCTION("""COMPUTED_VALUE"""),56.0)</f>
        <v>56</v>
      </c>
      <c r="M8" s="163">
        <f>IFERROR(__xludf.DUMMYFUNCTION("""COMPUTED_VALUE"""),365.0)</f>
        <v>365</v>
      </c>
      <c r="N8" s="163"/>
      <c r="O8" s="164">
        <f t="array" ref="O8">INDEX('Best Lifts'!E$1:E$268,MATCH(1,($D8='Best Lifts'!$A:$A)*($E8='Best Lifts'!$B:$B),0))</f>
        <v>122.5</v>
      </c>
      <c r="P8" s="164">
        <f t="array" ref="P8">INDEX('Best Lifts'!F$1:F$268,MATCH(1,($D8='Best Lifts'!$A:$A)*($E8='Best Lifts'!$B:$B),0))</f>
        <v>85</v>
      </c>
      <c r="Q8" s="164">
        <f t="array" ref="Q8">INDEX('Best Lifts'!G$1:G$268,MATCH(1,($D8='Best Lifts'!$A:$A)*($E8='Best Lifts'!$B:$B),0))</f>
        <v>157.5</v>
      </c>
      <c r="R8" s="164">
        <f t="array" ref="R8">INDEX('Best Lifts'!H$1:H$268,MATCH(1,($D8='Best Lifts'!$A:$A)*($E8='Best Lifts'!$B:$B),0))</f>
        <v>365</v>
      </c>
      <c r="S8" s="164" t="str">
        <f t="array" ref="S8">INDEX('Best Lifts'!I$1:I175,MATCH(1,($D8='Best Lifts'!$A:$A)*($E8='Best Lifts'!$B:$B),0))</f>
        <v>#N/A</v>
      </c>
      <c r="T8" s="164" t="str">
        <f t="array" ref="T8">INDEX('Best Lifts'!J$1:J$268,MATCH(1,($D8='Best Lifts'!$A:$A)*($E8='Best Lifts'!$B:$B),0))</f>
        <v/>
      </c>
      <c r="U8" s="164" t="str">
        <f t="array" ref="U8">INDEX('Best Lifts'!K$1:K$268,MATCH(1,($D8='Best Lifts'!$A:$A)*($E8='Best Lifts'!$B:$B),0))</f>
        <v/>
      </c>
      <c r="V8" s="164" t="str">
        <f t="array" ref="V8">INDEX('Best Lifts'!L$1:L$268,MATCH(1,($D8='Best Lifts'!$A:$A)*($E8='Best Lifts'!$B:$B),0))</f>
        <v/>
      </c>
      <c r="W8" s="164">
        <f t="shared" si="3"/>
        <v>0</v>
      </c>
      <c r="X8" s="164" t="str">
        <f t="array" ref="X8">INDEX('Best Lifts'!M$1:M$258,MATCH(1,($D8='Best Lifts'!$A:$A)*($E8='Best Lifts'!$B:$B),0))</f>
        <v/>
      </c>
    </row>
    <row r="9">
      <c r="A9" s="154"/>
      <c r="B9" s="154"/>
      <c r="C9" s="154"/>
      <c r="D9" s="154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63"/>
      <c r="P9" s="163"/>
      <c r="Q9" s="163"/>
      <c r="R9" s="163"/>
      <c r="S9" s="160"/>
      <c r="T9" s="158"/>
      <c r="U9" s="158"/>
      <c r="V9" s="159"/>
      <c r="W9" s="159"/>
      <c r="X9" s="158"/>
    </row>
    <row r="10">
      <c r="A10" s="154"/>
      <c r="B10" s="154"/>
      <c r="C10" s="154"/>
      <c r="D10" s="155">
        <v>60.0</v>
      </c>
      <c r="E10" s="156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8"/>
      <c r="Q10" s="158"/>
      <c r="R10" s="159"/>
      <c r="S10" s="160"/>
      <c r="T10" s="158"/>
      <c r="U10" s="158"/>
      <c r="V10" s="159"/>
      <c r="W10" s="159"/>
      <c r="X10" s="158"/>
    </row>
    <row r="11">
      <c r="A11" s="161" t="s">
        <v>746</v>
      </c>
      <c r="B11" s="161" t="s">
        <v>747</v>
      </c>
      <c r="C11" s="161" t="s">
        <v>748</v>
      </c>
      <c r="D11" s="161" t="s">
        <v>253</v>
      </c>
      <c r="E11" s="161" t="s">
        <v>254</v>
      </c>
      <c r="F11" s="161" t="s">
        <v>31</v>
      </c>
      <c r="G11" s="161" t="s">
        <v>32</v>
      </c>
      <c r="H11" s="161" t="s">
        <v>33</v>
      </c>
      <c r="I11" s="161" t="s">
        <v>34</v>
      </c>
      <c r="J11" s="161" t="s">
        <v>749</v>
      </c>
      <c r="K11" s="161" t="s">
        <v>257</v>
      </c>
      <c r="L11" s="161" t="s">
        <v>750</v>
      </c>
      <c r="M11" s="161" t="s">
        <v>36</v>
      </c>
      <c r="N11" s="161" t="s">
        <v>261</v>
      </c>
      <c r="O11" s="161" t="s">
        <v>751</v>
      </c>
      <c r="P11" s="162" t="s">
        <v>752</v>
      </c>
      <c r="Q11" s="162" t="s">
        <v>753</v>
      </c>
      <c r="R11" s="162" t="s">
        <v>754</v>
      </c>
      <c r="S11" s="161" t="s">
        <v>755</v>
      </c>
      <c r="T11" s="162" t="s">
        <v>756</v>
      </c>
      <c r="U11" s="162" t="s">
        <v>757</v>
      </c>
      <c r="V11" s="162" t="s">
        <v>758</v>
      </c>
      <c r="W11" s="162" t="s">
        <v>759</v>
      </c>
      <c r="X11" s="209" t="s">
        <v>703</v>
      </c>
    </row>
    <row r="12">
      <c r="A12" s="163">
        <f t="shared" ref="A12:A19" si="4">RANK(M12,$M$12:M20)</f>
        <v>1</v>
      </c>
      <c r="B12" s="163">
        <f t="shared" ref="B12:B19" si="5">RANK(W12,$W$12)</f>
        <v>1</v>
      </c>
      <c r="C12" s="163"/>
      <c r="D12" s="163" t="str">
        <f>IFERROR(__xludf.DUMMYFUNCTION("FILTER(Roster!A$2:A175,Roster!$H$2:$H175=""M"",Roster!$J$2:$J175=$D10)"),"Harris")</f>
        <v>Harris</v>
      </c>
      <c r="E12" s="163" t="str">
        <f>IFERROR(__xludf.DUMMYFUNCTION("FILTER(Roster!B$2:B175,Roster!$H$2:$H175=""M"",Roster!$J$2:$J175=$D10)"),"Cordarius")</f>
        <v>Cordarius</v>
      </c>
      <c r="F12" s="163" t="str">
        <f>IFERROR(__xludf.DUMMYFUNCTION("FILTER(Roster!D$2:D175,Roster!$H$2:$H175=""M"",Roster!$J$2:$J175=$D10)"),"1 - Thu")</f>
        <v>1 - Thu</v>
      </c>
      <c r="G12" s="163" t="str">
        <f>IFERROR(__xludf.DUMMYFUNCTION("FILTER(Roster!E$2:E175,Roster!$H$2:$H175=""M"",Roster!$J$2:$J175=$D10)"),"")</f>
        <v/>
      </c>
      <c r="H12" s="163" t="str">
        <f>IFERROR(__xludf.DUMMYFUNCTION("FILTER(Roster!F$2:F175,Roster!$H$2:$H175=""M"",Roster!$J$2:$J175=$D10)"),"")</f>
        <v/>
      </c>
      <c r="I12" s="163" t="str">
        <f>IFERROR(__xludf.DUMMYFUNCTION("FILTER(Roster!G$2:G175,Roster!$H$2:$H175=""M"",Roster!$J$2:$J175=$D10)"),"")</f>
        <v/>
      </c>
      <c r="J12" s="163" t="str">
        <f>IFERROR(__xludf.DUMMYFUNCTION("FILTER(Roster!H$2:H175,Roster!$H$2:$H175=""M"",Roster!$J$2:$J175=$D10)"),"M")</f>
        <v>M</v>
      </c>
      <c r="K12" s="163" t="str">
        <f>IFERROR(__xludf.DUMMYFUNCTION("FILTER(Roster!I$2:I175,Roster!$H$2:$H175=""M"",Roster!$J$2:$J175=$D10)"),"E")</f>
        <v>E</v>
      </c>
      <c r="L12" s="163">
        <f>IFERROR(__xludf.DUMMYFUNCTION("FILTER(Roster!J$2:J175,Roster!$H$2:$H175=""M"",Roster!$J$2:$J175=$D10)"),60.0)</f>
        <v>60</v>
      </c>
      <c r="M12" s="163">
        <f>IFERROR(__xludf.DUMMYFUNCTION("FILTER(Roster!M$2:M175,Roster!$H$2:$H175=""M"",Roster!$J$2:$J175=$D10)"),607.5)</f>
        <v>607.5</v>
      </c>
      <c r="N12" s="163" t="str">
        <f>IFERROR(__xludf.DUMMYFUNCTION("FILTER(Roster!N$2:N175,Roster!$H$2:$H175=""M"",Roster!$J$2:$J175=$D10)"),"")</f>
        <v/>
      </c>
      <c r="O12" s="164">
        <f t="array" ref="O12">INDEX('Best Lifts'!E$1:E$268,MATCH(1,($D12='Best Lifts'!$A:$A)*($E12='Best Lifts'!$B:$B),0))</f>
        <v>161</v>
      </c>
      <c r="P12" s="164">
        <f t="array" ref="P12">INDEX('Best Lifts'!F$1:F$268,MATCH(1,($D12='Best Lifts'!$A:$A)*($E12='Best Lifts'!$B:$B),0))</f>
        <v>120</v>
      </c>
      <c r="Q12" s="164">
        <f t="array" ref="Q12">INDEX('Best Lifts'!G$1:G$268,MATCH(1,($D12='Best Lifts'!$A:$A)*($E12='Best Lifts'!$B:$B),0))</f>
        <v>217.7</v>
      </c>
      <c r="R12" s="164">
        <f t="array" ref="R12">INDEX('Best Lifts'!H$1:H$268,MATCH(1,($D12='Best Lifts'!$A:$A)*($E12='Best Lifts'!$B:$B),0))</f>
        <v>489.9</v>
      </c>
      <c r="S12" s="164">
        <f t="array" ref="S12">INDEX('Best Lifts'!I$1:I175,MATCH(1,($D12='Best Lifts'!$A:$A)*($E12='Best Lifts'!$B:$B),0))</f>
        <v>245</v>
      </c>
      <c r="T12" s="164">
        <f t="array" ref="T12">INDEX('Best Lifts'!J$1:J$268,MATCH(1,($D12='Best Lifts'!$A:$A)*($E12='Best Lifts'!$B:$B),0))</f>
        <v>142.5</v>
      </c>
      <c r="U12" s="164">
        <f t="array" ref="U12">INDEX('Best Lifts'!K$1:K$268,MATCH(1,($D12='Best Lifts'!$A:$A)*($E12='Best Lifts'!$B:$B),0))</f>
        <v>250</v>
      </c>
      <c r="V12" s="164">
        <f t="array" ref="V12">INDEX('Best Lifts'!L$1:L$268,MATCH(1,($D12='Best Lifts'!$A:$A)*($E12='Best Lifts'!$B:$B),0))</f>
        <v>632.5</v>
      </c>
      <c r="W12" s="164">
        <f t="shared" ref="W12:W19" si="6">IF(ISNA(SUM(S12:U12)),0,SUM(S12:U12))</f>
        <v>637.5</v>
      </c>
      <c r="X12" s="164" t="str">
        <f t="array" ref="X12">INDEX('Best Lifts'!M$1:M$258,MATCH(1,($D12='Best Lifts'!$A:$A)*($E12='Best Lifts'!$B:$B),0))</f>
        <v/>
      </c>
    </row>
    <row r="13">
      <c r="A13" s="163">
        <f t="shared" si="4"/>
        <v>2</v>
      </c>
      <c r="B13" s="163" t="str">
        <f t="shared" si="5"/>
        <v>Loading...</v>
      </c>
      <c r="C13" s="163"/>
      <c r="D13" s="163" t="str">
        <f>IFERROR(__xludf.DUMMYFUNCTION("""COMPUTED_VALUE"""),"Morales")</f>
        <v>Morales</v>
      </c>
      <c r="E13" s="163" t="str">
        <f>IFERROR(__xludf.DUMMYFUNCTION("""COMPUTED_VALUE"""),"Rudy")</f>
        <v>Rudy</v>
      </c>
      <c r="F13" s="163" t="str">
        <f>IFERROR(__xludf.DUMMYFUNCTION("""COMPUTED_VALUE"""),"1 - Thu")</f>
        <v>1 - Thu</v>
      </c>
      <c r="G13" s="163"/>
      <c r="H13" s="163"/>
      <c r="I13" s="163"/>
      <c r="J13" s="163" t="str">
        <f>IFERROR(__xludf.DUMMYFUNCTION("""COMPUTED_VALUE"""),"M")</f>
        <v>M</v>
      </c>
      <c r="K13" s="163" t="str">
        <f>IFERROR(__xludf.DUMMYFUNCTION("""COMPUTED_VALUE"""),"E")</f>
        <v>E</v>
      </c>
      <c r="L13" s="163">
        <f>IFERROR(__xludf.DUMMYFUNCTION("""COMPUTED_VALUE"""),60.0)</f>
        <v>60</v>
      </c>
      <c r="M13" s="163">
        <f>IFERROR(__xludf.DUMMYFUNCTION("""COMPUTED_VALUE"""),505.0)</f>
        <v>505</v>
      </c>
      <c r="N13" s="163"/>
      <c r="O13" s="164"/>
      <c r="P13" s="164"/>
      <c r="Q13" s="164"/>
      <c r="R13" s="164"/>
      <c r="S13" s="164" t="str">
        <f t="array" ref="S13">INDEX('Best Lifts'!I$1:I175,MATCH(1,($D13='Best Lifts'!$A:$A)*($E13='Best Lifts'!$B:$B),0))</f>
        <v>Loading...</v>
      </c>
      <c r="T13" s="164" t="str">
        <f t="array" ref="T13">INDEX('Best Lifts'!J$1:J$268,MATCH(1,($D13='Best Lifts'!$A:$A)*($E13='Best Lifts'!$B:$B),0))</f>
        <v/>
      </c>
      <c r="U13" s="164" t="str">
        <f t="array" ref="U13">INDEX('Best Lifts'!K$1:K$268,MATCH(1,($D13='Best Lifts'!$A:$A)*($E13='Best Lifts'!$B:$B),0))</f>
        <v/>
      </c>
      <c r="V13" s="164" t="str">
        <f t="array" ref="V13">INDEX('Best Lifts'!L$1:L$268,MATCH(1,($D13='Best Lifts'!$A:$A)*($E13='Best Lifts'!$B:$B),0))</f>
        <v/>
      </c>
      <c r="W13" s="164" t="str">
        <f t="shared" si="6"/>
        <v>Loading...</v>
      </c>
      <c r="X13" s="164"/>
    </row>
    <row r="14">
      <c r="A14" s="163">
        <f t="shared" si="4"/>
        <v>3</v>
      </c>
      <c r="B14" s="163" t="str">
        <f t="shared" si="5"/>
        <v>#N/A</v>
      </c>
      <c r="C14" s="163"/>
      <c r="D14" s="163" t="str">
        <f>IFERROR(__xludf.DUMMYFUNCTION("""COMPUTED_VALUE"""),"Florez")</f>
        <v>Florez</v>
      </c>
      <c r="E14" s="163" t="str">
        <f>IFERROR(__xludf.DUMMYFUNCTION("""COMPUTED_VALUE"""),"Zaniel")</f>
        <v>Zaniel</v>
      </c>
      <c r="F14" s="163" t="str">
        <f>IFERROR(__xludf.DUMMYFUNCTION("""COMPUTED_VALUE"""),"1 - Thu")</f>
        <v>1 - Thu</v>
      </c>
      <c r="G14" s="163"/>
      <c r="H14" s="163"/>
      <c r="I14" s="163"/>
      <c r="J14" s="163" t="str">
        <f>IFERROR(__xludf.DUMMYFUNCTION("""COMPUTED_VALUE"""),"M")</f>
        <v>M</v>
      </c>
      <c r="K14" s="163" t="str">
        <f>IFERROR(__xludf.DUMMYFUNCTION("""COMPUTED_VALUE"""),"E")</f>
        <v>E</v>
      </c>
      <c r="L14" s="163">
        <f>IFERROR(__xludf.DUMMYFUNCTION("""COMPUTED_VALUE"""),60.0)</f>
        <v>60</v>
      </c>
      <c r="M14" s="163">
        <f>IFERROR(__xludf.DUMMYFUNCTION("""COMPUTED_VALUE"""),490.0)</f>
        <v>490</v>
      </c>
      <c r="N14" s="163"/>
      <c r="O14" s="164"/>
      <c r="P14" s="164"/>
      <c r="Q14" s="164"/>
      <c r="R14" s="164"/>
      <c r="S14" s="164">
        <f t="array" ref="S14">INDEX('Best Lifts'!I$1:I175,MATCH(1,($D14='Best Lifts'!$A:$A)*($E14='Best Lifts'!$B:$B),0))</f>
        <v>200</v>
      </c>
      <c r="T14" s="164">
        <f t="array" ref="T14">INDEX('Best Lifts'!J$1:J$268,MATCH(1,($D14='Best Lifts'!$A:$A)*($E14='Best Lifts'!$B:$B),0))</f>
        <v>106.5</v>
      </c>
      <c r="U14" s="164">
        <f t="array" ref="U14">INDEX('Best Lifts'!K$1:K$268,MATCH(1,($D14='Best Lifts'!$A:$A)*($E14='Best Lifts'!$B:$B),0))</f>
        <v>185</v>
      </c>
      <c r="V14" s="164">
        <f t="array" ref="V14">INDEX('Best Lifts'!L$1:L$268,MATCH(1,($D14='Best Lifts'!$A:$A)*($E14='Best Lifts'!$B:$B),0))</f>
        <v>490</v>
      </c>
      <c r="W14" s="164">
        <f t="shared" si="6"/>
        <v>491.5</v>
      </c>
      <c r="X14" s="164"/>
    </row>
    <row r="15">
      <c r="A15" s="163">
        <f t="shared" si="4"/>
        <v>5</v>
      </c>
      <c r="B15" s="163" t="str">
        <f t="shared" si="5"/>
        <v>#N/A</v>
      </c>
      <c r="C15" s="163"/>
      <c r="D15" s="163" t="str">
        <f>IFERROR(__xludf.DUMMYFUNCTION("""COMPUTED_VALUE"""),"Estrella")</f>
        <v>Estrella</v>
      </c>
      <c r="E15" s="163" t="str">
        <f>IFERROR(__xludf.DUMMYFUNCTION("""COMPUTED_VALUE"""),"Erick")</f>
        <v>Erick</v>
      </c>
      <c r="F15" s="163" t="str">
        <f>IFERROR(__xludf.DUMMYFUNCTION("""COMPUTED_VALUE"""),"1 - Thu")</f>
        <v>1 - Thu</v>
      </c>
      <c r="G15" s="163"/>
      <c r="H15" s="163"/>
      <c r="I15" s="163"/>
      <c r="J15" s="163" t="str">
        <f>IFERROR(__xludf.DUMMYFUNCTION("""COMPUTED_VALUE"""),"M")</f>
        <v>M</v>
      </c>
      <c r="K15" s="163" t="str">
        <f>IFERROR(__xludf.DUMMYFUNCTION("""COMPUTED_VALUE"""),"E")</f>
        <v>E</v>
      </c>
      <c r="L15" s="163">
        <f>IFERROR(__xludf.DUMMYFUNCTION("""COMPUTED_VALUE"""),60.0)</f>
        <v>60</v>
      </c>
      <c r="M15" s="163">
        <f>IFERROR(__xludf.DUMMYFUNCTION("""COMPUTED_VALUE"""),457.5)</f>
        <v>457.5</v>
      </c>
      <c r="N15" s="163"/>
      <c r="O15" s="164"/>
      <c r="P15" s="164"/>
      <c r="Q15" s="164"/>
      <c r="R15" s="164"/>
      <c r="S15" s="164">
        <f t="array" ref="S15">INDEX('Best Lifts'!I$1:I175,MATCH(1,($D15='Best Lifts'!$A:$A)*($E15='Best Lifts'!$B:$B),0))</f>
        <v>190</v>
      </c>
      <c r="T15" s="164">
        <f t="array" ref="T15">INDEX('Best Lifts'!J$1:J$268,MATCH(1,($D15='Best Lifts'!$A:$A)*($E15='Best Lifts'!$B:$B),0))</f>
        <v>112.5</v>
      </c>
      <c r="U15" s="164">
        <f t="array" ref="U15">INDEX('Best Lifts'!K$1:K$268,MATCH(1,($D15='Best Lifts'!$A:$A)*($E15='Best Lifts'!$B:$B),0))</f>
        <v>190</v>
      </c>
      <c r="V15" s="164">
        <f t="array" ref="V15">INDEX('Best Lifts'!L$1:L$268,MATCH(1,($D15='Best Lifts'!$A:$A)*($E15='Best Lifts'!$B:$B),0))</f>
        <v>492.5</v>
      </c>
      <c r="W15" s="164">
        <f t="shared" si="6"/>
        <v>492.5</v>
      </c>
      <c r="X15" s="164"/>
    </row>
    <row r="16">
      <c r="A16" s="163">
        <f t="shared" si="4"/>
        <v>7</v>
      </c>
      <c r="B16" s="163" t="str">
        <f t="shared" si="5"/>
        <v>#N/A</v>
      </c>
      <c r="C16" s="163"/>
      <c r="D16" s="163" t="str">
        <f>IFERROR(__xludf.DUMMYFUNCTION("""COMPUTED_VALUE"""),"Acosta")</f>
        <v>Acosta</v>
      </c>
      <c r="E16" s="163" t="str">
        <f>IFERROR(__xludf.DUMMYFUNCTION("""COMPUTED_VALUE"""),"John Paul")</f>
        <v>John Paul</v>
      </c>
      <c r="F16" s="163" t="str">
        <f>IFERROR(__xludf.DUMMYFUNCTION("""COMPUTED_VALUE"""),"1 - Thu")</f>
        <v>1 - Thu</v>
      </c>
      <c r="G16" s="163"/>
      <c r="H16" s="163"/>
      <c r="I16" s="163"/>
      <c r="J16" s="163" t="str">
        <f>IFERROR(__xludf.DUMMYFUNCTION("""COMPUTED_VALUE"""),"M")</f>
        <v>M</v>
      </c>
      <c r="K16" s="163" t="str">
        <f>IFERROR(__xludf.DUMMYFUNCTION("""COMPUTED_VALUE"""),"E")</f>
        <v>E</v>
      </c>
      <c r="L16" s="163">
        <f>IFERROR(__xludf.DUMMYFUNCTION("""COMPUTED_VALUE"""),60.0)</f>
        <v>60</v>
      </c>
      <c r="M16" s="163">
        <f>IFERROR(__xludf.DUMMYFUNCTION("""COMPUTED_VALUE"""),437.5)</f>
        <v>437.5</v>
      </c>
      <c r="N16" s="163"/>
      <c r="O16" s="164"/>
      <c r="P16" s="164"/>
      <c r="Q16" s="164"/>
      <c r="R16" s="164"/>
      <c r="S16" s="164" t="str">
        <f t="array" ref="S16">INDEX('Best Lifts'!I$1:I175,MATCH(1,($D16='Best Lifts'!$A:$A)*($E16='Best Lifts'!$B:$B),0))</f>
        <v>#N/A</v>
      </c>
      <c r="T16" s="164" t="str">
        <f t="array" ref="T16">INDEX('Best Lifts'!J$1:J$268,MATCH(1,($D16='Best Lifts'!$A:$A)*($E16='Best Lifts'!$B:$B),0))</f>
        <v/>
      </c>
      <c r="U16" s="164" t="str">
        <f t="array" ref="U16">INDEX('Best Lifts'!K$1:K$268,MATCH(1,($D16='Best Lifts'!$A:$A)*($E16='Best Lifts'!$B:$B),0))</f>
        <v/>
      </c>
      <c r="V16" s="164" t="str">
        <f t="array" ref="V16">INDEX('Best Lifts'!L$1:L$268,MATCH(1,($D16='Best Lifts'!$A:$A)*($E16='Best Lifts'!$B:$B),0))</f>
        <v/>
      </c>
      <c r="W16" s="164">
        <f t="shared" si="6"/>
        <v>0</v>
      </c>
      <c r="X16" s="164"/>
    </row>
    <row r="17">
      <c r="A17" s="163">
        <f t="shared" si="4"/>
        <v>9</v>
      </c>
      <c r="B17" s="163" t="str">
        <f t="shared" si="5"/>
        <v>#N/A</v>
      </c>
      <c r="C17" s="163"/>
      <c r="D17" s="163" t="str">
        <f>IFERROR(__xludf.DUMMYFUNCTION("""COMPUTED_VALUE"""),"Latino")</f>
        <v>Latino</v>
      </c>
      <c r="E17" s="163" t="str">
        <f>IFERROR(__xludf.DUMMYFUNCTION("""COMPUTED_VALUE"""),"Toby")</f>
        <v>Toby</v>
      </c>
      <c r="F17" s="163" t="str">
        <f>IFERROR(__xludf.DUMMYFUNCTION("""COMPUTED_VALUE"""),"1 - Thu")</f>
        <v>1 - Thu</v>
      </c>
      <c r="G17" s="163"/>
      <c r="H17" s="163"/>
      <c r="I17" s="163"/>
      <c r="J17" s="163" t="str">
        <f>IFERROR(__xludf.DUMMYFUNCTION("""COMPUTED_VALUE"""),"M")</f>
        <v>M</v>
      </c>
      <c r="K17" s="163" t="str">
        <f>IFERROR(__xludf.DUMMYFUNCTION("""COMPUTED_VALUE"""),"E")</f>
        <v>E</v>
      </c>
      <c r="L17" s="163">
        <f>IFERROR(__xludf.DUMMYFUNCTION("""COMPUTED_VALUE"""),60.0)</f>
        <v>60</v>
      </c>
      <c r="M17" s="163">
        <f>IFERROR(__xludf.DUMMYFUNCTION("""COMPUTED_VALUE"""),390.0)</f>
        <v>390</v>
      </c>
      <c r="N17" s="163"/>
      <c r="O17" s="164"/>
      <c r="P17" s="164"/>
      <c r="Q17" s="164"/>
      <c r="R17" s="164"/>
      <c r="S17" s="164">
        <f t="array" ref="S17">INDEX('Best Lifts'!I$1:I175,MATCH(1,($D17='Best Lifts'!$A:$A)*($E17='Best Lifts'!$B:$B),0))</f>
        <v>135</v>
      </c>
      <c r="T17" s="164">
        <f t="array" ref="T17">INDEX('Best Lifts'!J$1:J$268,MATCH(1,($D17='Best Lifts'!$A:$A)*($E17='Best Lifts'!$B:$B),0))</f>
        <v>82.5</v>
      </c>
      <c r="U17" s="164">
        <f t="array" ref="U17">INDEX('Best Lifts'!K$1:K$268,MATCH(1,($D17='Best Lifts'!$A:$A)*($E17='Best Lifts'!$B:$B),0))</f>
        <v>172.5</v>
      </c>
      <c r="V17" s="164">
        <f t="array" ref="V17">INDEX('Best Lifts'!L$1:L$268,MATCH(1,($D17='Best Lifts'!$A:$A)*($E17='Best Lifts'!$B:$B),0))</f>
        <v>390</v>
      </c>
      <c r="W17" s="164">
        <f t="shared" si="6"/>
        <v>390</v>
      </c>
      <c r="X17" s="164"/>
    </row>
    <row r="18">
      <c r="A18" s="163">
        <f t="shared" si="4"/>
        <v>11</v>
      </c>
      <c r="B18" s="163" t="str">
        <f t="shared" si="5"/>
        <v>#N/A</v>
      </c>
      <c r="C18" s="163"/>
      <c r="D18" s="163" t="str">
        <f>IFERROR(__xludf.DUMMYFUNCTION("""COMPUTED_VALUE"""),"Wyatt")</f>
        <v>Wyatt</v>
      </c>
      <c r="E18" s="163" t="str">
        <f>IFERROR(__xludf.DUMMYFUNCTION("""COMPUTED_VALUE"""),"John")</f>
        <v>John</v>
      </c>
      <c r="F18" s="163" t="str">
        <f>IFERROR(__xludf.DUMMYFUNCTION("""COMPUTED_VALUE"""),"1 - Thu")</f>
        <v>1 - Thu</v>
      </c>
      <c r="G18" s="163"/>
      <c r="H18" s="163"/>
      <c r="I18" s="163"/>
      <c r="J18" s="163" t="str">
        <f>IFERROR(__xludf.DUMMYFUNCTION("""COMPUTED_VALUE"""),"M")</f>
        <v>M</v>
      </c>
      <c r="K18" s="163" t="str">
        <f>IFERROR(__xludf.DUMMYFUNCTION("""COMPUTED_VALUE"""),"E")</f>
        <v>E</v>
      </c>
      <c r="L18" s="163">
        <f>IFERROR(__xludf.DUMMYFUNCTION("""COMPUTED_VALUE"""),60.0)</f>
        <v>60</v>
      </c>
      <c r="M18" s="163">
        <f>IFERROR(__xludf.DUMMYFUNCTION("""COMPUTED_VALUE"""),380.0)</f>
        <v>380</v>
      </c>
      <c r="N18" s="163"/>
      <c r="O18" s="164"/>
      <c r="P18" s="164"/>
      <c r="Q18" s="164"/>
      <c r="R18" s="164"/>
      <c r="S18" s="164" t="str">
        <f t="array" ref="S18">INDEX('Best Lifts'!I$1:I175,MATCH(1,($D18='Best Lifts'!$A:$A)*($E18='Best Lifts'!$B:$B),0))</f>
        <v>#N/A</v>
      </c>
      <c r="T18" s="164" t="str">
        <f t="array" ref="T18">INDEX('Best Lifts'!J$1:J$268,MATCH(1,($D18='Best Lifts'!$A:$A)*($E18='Best Lifts'!$B:$B),0))</f>
        <v/>
      </c>
      <c r="U18" s="164" t="str">
        <f t="array" ref="U18">INDEX('Best Lifts'!K$1:K$268,MATCH(1,($D18='Best Lifts'!$A:$A)*($E18='Best Lifts'!$B:$B),0))</f>
        <v/>
      </c>
      <c r="V18" s="164" t="str">
        <f t="array" ref="V18">INDEX('Best Lifts'!L$1:L$268,MATCH(1,($D18='Best Lifts'!$A:$A)*($E18='Best Lifts'!$B:$B),0))</f>
        <v/>
      </c>
      <c r="W18" s="164">
        <f t="shared" si="6"/>
        <v>0</v>
      </c>
      <c r="X18" s="164"/>
    </row>
    <row r="19">
      <c r="A19" s="163" t="str">
        <f t="shared" si="4"/>
        <v>#N/A</v>
      </c>
      <c r="B19" s="163" t="str">
        <f t="shared" si="5"/>
        <v>#N/A</v>
      </c>
      <c r="C19" s="163"/>
      <c r="D19" s="163" t="str">
        <f>IFERROR(__xludf.DUMMYFUNCTION("""COMPUTED_VALUE"""),"Grevey")</f>
        <v>Grevey</v>
      </c>
      <c r="E19" s="163" t="str">
        <f>IFERROR(__xludf.DUMMYFUNCTION("""COMPUTED_VALUE"""),"Ceyth")</f>
        <v>Ceyth</v>
      </c>
      <c r="F19" s="163" t="str">
        <f>IFERROR(__xludf.DUMMYFUNCTION("""COMPUTED_VALUE"""),"1 - Thu")</f>
        <v>1 - Thu</v>
      </c>
      <c r="G19" s="163"/>
      <c r="H19" s="163"/>
      <c r="I19" s="163"/>
      <c r="J19" s="163" t="str">
        <f>IFERROR(__xludf.DUMMYFUNCTION("""COMPUTED_VALUE"""),"M")</f>
        <v>M</v>
      </c>
      <c r="K19" s="163" t="str">
        <f>IFERROR(__xludf.DUMMYFUNCTION("""COMPUTED_VALUE"""),"E")</f>
        <v>E</v>
      </c>
      <c r="L19" s="163">
        <f>IFERROR(__xludf.DUMMYFUNCTION("""COMPUTED_VALUE"""),60.0)</f>
        <v>60</v>
      </c>
      <c r="M19" s="163"/>
      <c r="N19" s="163"/>
      <c r="O19" s="164"/>
      <c r="P19" s="164"/>
      <c r="Q19" s="164"/>
      <c r="R19" s="164"/>
      <c r="S19" s="164">
        <f t="array" ref="S19">INDEX('Best Lifts'!I$1:I175,MATCH(1,($D19='Best Lifts'!$A:$A)*($E19='Best Lifts'!$B:$B),0))</f>
        <v>204.1</v>
      </c>
      <c r="T19" s="164">
        <f t="array" ref="T19">INDEX('Best Lifts'!J$1:J$268,MATCH(1,($D19='Best Lifts'!$A:$A)*($E19='Best Lifts'!$B:$B),0))</f>
        <v>115.6</v>
      </c>
      <c r="U19" s="164">
        <f t="array" ref="U19">INDEX('Best Lifts'!K$1:K$268,MATCH(1,($D19='Best Lifts'!$A:$A)*($E19='Best Lifts'!$B:$B),0))</f>
        <v>204.1</v>
      </c>
      <c r="V19" s="164">
        <f t="array" ref="V19">INDEX('Best Lifts'!L$1:L$268,MATCH(1,($D19='Best Lifts'!$A:$A)*($E19='Best Lifts'!$B:$B),0))</f>
        <v>517.1</v>
      </c>
      <c r="W19" s="164">
        <f t="shared" si="6"/>
        <v>523.8</v>
      </c>
      <c r="X19" s="164"/>
    </row>
    <row r="20">
      <c r="A20" s="154"/>
      <c r="B20" s="154"/>
      <c r="C20" s="154"/>
      <c r="D20" s="154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64"/>
      <c r="P20" s="164"/>
      <c r="Q20" s="164"/>
      <c r="R20" s="164"/>
      <c r="S20" s="164" t="str">
        <f t="array" ref="S20">INDEX('Best Lifts'!I$1:I175,MATCH(1,($D20='Best Lifts'!$A:$A)*($E20='Best Lifts'!$B:$B),0))</f>
        <v/>
      </c>
      <c r="T20" s="164"/>
      <c r="U20" s="164"/>
      <c r="V20" s="164"/>
      <c r="W20" s="163"/>
      <c r="X20" s="158"/>
    </row>
    <row r="21">
      <c r="A21" s="154"/>
      <c r="B21" s="154"/>
      <c r="C21" s="154"/>
      <c r="D21" s="155">
        <v>67.5</v>
      </c>
      <c r="E21" s="156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8"/>
      <c r="Q21" s="158"/>
      <c r="R21" s="159"/>
      <c r="S21" s="164"/>
      <c r="T21" s="158"/>
      <c r="U21" s="158"/>
      <c r="V21" s="159"/>
      <c r="W21" s="159"/>
      <c r="X21" s="158"/>
    </row>
    <row r="22">
      <c r="A22" s="161" t="s">
        <v>746</v>
      </c>
      <c r="B22" s="161" t="s">
        <v>747</v>
      </c>
      <c r="C22" s="161" t="s">
        <v>748</v>
      </c>
      <c r="D22" s="161" t="s">
        <v>253</v>
      </c>
      <c r="E22" s="161" t="s">
        <v>254</v>
      </c>
      <c r="F22" s="161" t="s">
        <v>31</v>
      </c>
      <c r="G22" s="161" t="s">
        <v>32</v>
      </c>
      <c r="H22" s="161" t="s">
        <v>33</v>
      </c>
      <c r="I22" s="161" t="s">
        <v>34</v>
      </c>
      <c r="J22" s="161" t="s">
        <v>749</v>
      </c>
      <c r="K22" s="161" t="s">
        <v>257</v>
      </c>
      <c r="L22" s="161" t="s">
        <v>750</v>
      </c>
      <c r="M22" s="161" t="s">
        <v>36</v>
      </c>
      <c r="N22" s="161" t="s">
        <v>261</v>
      </c>
      <c r="O22" s="161" t="s">
        <v>751</v>
      </c>
      <c r="P22" s="162" t="s">
        <v>752</v>
      </c>
      <c r="Q22" s="162" t="s">
        <v>753</v>
      </c>
      <c r="R22" s="162" t="s">
        <v>754</v>
      </c>
      <c r="S22" s="161" t="s">
        <v>755</v>
      </c>
      <c r="T22" s="162" t="s">
        <v>756</v>
      </c>
      <c r="U22" s="162" t="s">
        <v>757</v>
      </c>
      <c r="V22" s="162" t="s">
        <v>758</v>
      </c>
      <c r="W22" s="162" t="s">
        <v>759</v>
      </c>
      <c r="X22" s="209" t="s">
        <v>703</v>
      </c>
    </row>
    <row r="23">
      <c r="A23" s="163">
        <f t="shared" ref="A23:A34" si="7">RANK(M23,$M$23:$M$34)</f>
        <v>1</v>
      </c>
      <c r="B23" s="163">
        <f t="shared" ref="B23:B34" si="8">RANK(W23,$W$23:$W$34)</f>
        <v>2</v>
      </c>
      <c r="C23" s="163">
        <v>2.0</v>
      </c>
      <c r="D23" s="163" t="str">
        <f>IFERROR(__xludf.DUMMYFUNCTION("FILTER(Roster!A$2:A175,Roster!$H$2:$H175=""M"",Roster!$J$2:$J175=$D21)"),"Shuford")</f>
        <v>Shuford</v>
      </c>
      <c r="E23" s="163" t="str">
        <f>IFERROR(__xludf.DUMMYFUNCTION("FILTER(Roster!B$2:B175,Roster!$H$2:$H175=""M"",Roster!$J$2:$J175=$D21)"),"CJ")</f>
        <v>CJ</v>
      </c>
      <c r="F23" s="163" t="str">
        <f>IFERROR(__xludf.DUMMYFUNCTION("FILTER(Roster!D$2:D175,Roster!$H$2:$H175=""M"",Roster!$J$2:$J175=$D21)"),"1 - Thu")</f>
        <v>1 - Thu</v>
      </c>
      <c r="G23" s="163" t="str">
        <f>IFERROR(__xludf.DUMMYFUNCTION("FILTER(Roster!E$2:E175,Roster!$H$2:$H175=""M"",Roster!$J$2:$J175=$D21)"),"")</f>
        <v/>
      </c>
      <c r="H23" s="163" t="str">
        <f>IFERROR(__xludf.DUMMYFUNCTION("FILTER(Roster!F$2:F175,Roster!$H$2:$H175=""M"",Roster!$J$2:$J175=$D21)"),"")</f>
        <v/>
      </c>
      <c r="I23" s="163" t="str">
        <f>IFERROR(__xludf.DUMMYFUNCTION("FILTER(Roster!G$2:G175,Roster!$H$2:$H175=""M"",Roster!$J$2:$J175=$D21)"),"")</f>
        <v/>
      </c>
      <c r="J23" s="163" t="str">
        <f>IFERROR(__xludf.DUMMYFUNCTION("FILTER(Roster!H$2:H175,Roster!$H$2:$H175=""M"",Roster!$J$2:$J175=$D21)"),"M")</f>
        <v>M</v>
      </c>
      <c r="K23" s="163" t="str">
        <f>IFERROR(__xludf.DUMMYFUNCTION("FILTER(Roster!I$2:I175,Roster!$H$2:$H175=""M"",Roster!$J$2:$J175=$D21)"),"E")</f>
        <v>E</v>
      </c>
      <c r="L23" s="163">
        <f>IFERROR(__xludf.DUMMYFUNCTION("FILTER(Roster!J$2:J175,Roster!$H$2:$H175=""M"",Roster!$J$2:$J175=$D21)"),67.5)</f>
        <v>67.5</v>
      </c>
      <c r="M23" s="163">
        <f>IFERROR(__xludf.DUMMYFUNCTION("FILTER(Roster!M$2:M175,Roster!$H$2:$H175=""M"",Roster!$J$2:$J175=$D21)"),747.5)</f>
        <v>747.5</v>
      </c>
      <c r="N23" s="163" t="str">
        <f>IFERROR(__xludf.DUMMYFUNCTION("FILTER(Roster!N$2:N175,Roster!$H$2:$H175=""M"",Roster!$J$2:$J175=$D21)"),"")</f>
        <v/>
      </c>
      <c r="O23" s="164">
        <f t="array" ref="O23">INDEX('Best Lifts'!E$1:E$268,MATCH(1,($D23='Best Lifts'!$A:$A)*($E23='Best Lifts'!$B:$B),0))</f>
        <v>245</v>
      </c>
      <c r="P23" s="164">
        <f t="array" ref="P23">INDEX('Best Lifts'!F$1:F$268,MATCH(1,($D23='Best Lifts'!$A:$A)*($E23='Best Lifts'!$B:$B),0))</f>
        <v>150</v>
      </c>
      <c r="Q23" s="164">
        <f t="array" ref="Q23">INDEX('Best Lifts'!G$1:G$268,MATCH(1,($D23='Best Lifts'!$A:$A)*($E23='Best Lifts'!$B:$B),0))</f>
        <v>280</v>
      </c>
      <c r="R23" s="164">
        <f t="array" ref="R23">INDEX('Best Lifts'!H$1:H$268,MATCH(1,($D23='Best Lifts'!$A:$A)*($E23='Best Lifts'!$B:$B),0))</f>
        <v>675</v>
      </c>
      <c r="S23" s="164">
        <f t="array" ref="S23">INDEX('Best Lifts'!I$1:I175,MATCH(1,($D23='Best Lifts'!$A:$A)*($E23='Best Lifts'!$B:$B),0))</f>
        <v>300</v>
      </c>
      <c r="T23" s="164">
        <f t="array" ref="T23">INDEX('Best Lifts'!J$1:J$268,MATCH(1,($D23='Best Lifts'!$A:$A)*($E23='Best Lifts'!$B:$B),0))</f>
        <v>190</v>
      </c>
      <c r="U23" s="164">
        <f t="array" ref="U23">INDEX('Best Lifts'!K$1:K$268,MATCH(1,($D23='Best Lifts'!$A:$A)*($E23='Best Lifts'!$B:$B),0))</f>
        <v>265</v>
      </c>
      <c r="V23" s="164">
        <f t="array" ref="V23">INDEX('Best Lifts'!L$1:L$268,MATCH(1,($D23='Best Lifts'!$A:$A)*($E23='Best Lifts'!$B:$B),0))</f>
        <v>747.5</v>
      </c>
      <c r="W23" s="164">
        <f t="shared" ref="W23:W34" si="9">IF(ISNA(SUM(S23:U23)),0,SUM(S23:U23))</f>
        <v>755</v>
      </c>
      <c r="X23" s="164" t="str">
        <f t="array" ref="X23">INDEX('Best Lifts'!M$1:M$258,MATCH(1,($D23='Best Lifts'!$A:$A)*($E23='Best Lifts'!$B:$B),0))</f>
        <v/>
      </c>
    </row>
    <row r="24">
      <c r="A24" s="163">
        <f t="shared" si="7"/>
        <v>2</v>
      </c>
      <c r="B24" s="163">
        <f t="shared" si="8"/>
        <v>3</v>
      </c>
      <c r="C24" s="163">
        <v>1.0</v>
      </c>
      <c r="D24" s="163" t="str">
        <f>IFERROR(__xludf.DUMMYFUNCTION("""COMPUTED_VALUE"""),"Gala")</f>
        <v>Gala</v>
      </c>
      <c r="E24" s="163" t="str">
        <f>IFERROR(__xludf.DUMMYFUNCTION("""COMPUTED_VALUE"""),"Kain")</f>
        <v>Kain</v>
      </c>
      <c r="F24" s="163" t="str">
        <f>IFERROR(__xludf.DUMMYFUNCTION("""COMPUTED_VALUE"""),"1 - Thu")</f>
        <v>1 - Thu</v>
      </c>
      <c r="G24" s="163"/>
      <c r="H24" s="163"/>
      <c r="I24" s="163"/>
      <c r="J24" s="163" t="str">
        <f>IFERROR(__xludf.DUMMYFUNCTION("""COMPUTED_VALUE"""),"M")</f>
        <v>M</v>
      </c>
      <c r="K24" s="163" t="str">
        <f>IFERROR(__xludf.DUMMYFUNCTION("""COMPUTED_VALUE"""),"E")</f>
        <v>E</v>
      </c>
      <c r="L24" s="163">
        <f>IFERROR(__xludf.DUMMYFUNCTION("""COMPUTED_VALUE"""),67.5)</f>
        <v>67.5</v>
      </c>
      <c r="M24" s="163">
        <f>IFERROR(__xludf.DUMMYFUNCTION("""COMPUTED_VALUE"""),615.0)</f>
        <v>615</v>
      </c>
      <c r="N24" s="163"/>
      <c r="O24" s="164" t="str">
        <f t="array" ref="O24">INDEX('Best Lifts'!E$1:E$268,MATCH(1,($D24='Best Lifts'!$A:$A)*($E24='Best Lifts'!$B:$B),0))</f>
        <v>#N/A</v>
      </c>
      <c r="P24" s="164" t="str">
        <f t="array" ref="P24">INDEX('Best Lifts'!F$1:F$268,MATCH(1,($D24='Best Lifts'!$A:$A)*($E24='Best Lifts'!$B:$B),0))</f>
        <v/>
      </c>
      <c r="Q24" s="164" t="str">
        <f t="array" ref="Q24">INDEX('Best Lifts'!G$1:G$268,MATCH(1,($D24='Best Lifts'!$A:$A)*($E24='Best Lifts'!$B:$B),0))</f>
        <v/>
      </c>
      <c r="R24" s="164" t="str">
        <f t="array" ref="R24">INDEX('Best Lifts'!H$1:H$268,MATCH(1,($D24='Best Lifts'!$A:$A)*($E24='Best Lifts'!$B:$B),0))</f>
        <v/>
      </c>
      <c r="S24" s="164">
        <f t="array" ref="S24">INDEX('Best Lifts'!I$1:I175,MATCH(1,($D24='Best Lifts'!$A:$A)*($E24='Best Lifts'!$B:$B),0))</f>
        <v>235</v>
      </c>
      <c r="T24" s="164">
        <f t="array" ref="T24">INDEX('Best Lifts'!J$1:J$268,MATCH(1,($D24='Best Lifts'!$A:$A)*($E24='Best Lifts'!$B:$B),0))</f>
        <v>175</v>
      </c>
      <c r="U24" s="164">
        <f t="array" ref="U24">INDEX('Best Lifts'!K$1:K$268,MATCH(1,($D24='Best Lifts'!$A:$A)*($E24='Best Lifts'!$B:$B),0))</f>
        <v>212.5</v>
      </c>
      <c r="V24" s="164">
        <f t="array" ref="V24">INDEX('Best Lifts'!L$1:L$268,MATCH(1,($D24='Best Lifts'!$A:$A)*($E24='Best Lifts'!$B:$B),0))</f>
        <v>615</v>
      </c>
      <c r="W24" s="164">
        <f t="shared" si="9"/>
        <v>622.5</v>
      </c>
      <c r="X24" s="164" t="str">
        <f t="array" ref="X24">INDEX('Best Lifts'!M$1:M$258,MATCH(1,($D24='Best Lifts'!$A:$A)*($E24='Best Lifts'!$B:$B),0))</f>
        <v/>
      </c>
    </row>
    <row r="25">
      <c r="A25" s="163">
        <f t="shared" si="7"/>
        <v>3</v>
      </c>
      <c r="B25" s="163">
        <f t="shared" si="8"/>
        <v>4</v>
      </c>
      <c r="C25" s="163">
        <v>3.0</v>
      </c>
      <c r="D25" s="163" t="str">
        <f>IFERROR(__xludf.DUMMYFUNCTION("""COMPUTED_VALUE"""),"Trevino")</f>
        <v>Trevino</v>
      </c>
      <c r="E25" s="163" t="str">
        <f>IFERROR(__xludf.DUMMYFUNCTION("""COMPUTED_VALUE"""),"Joshua")</f>
        <v>Joshua</v>
      </c>
      <c r="F25" s="163" t="str">
        <f>IFERROR(__xludf.DUMMYFUNCTION("""COMPUTED_VALUE"""),"1 - Thu")</f>
        <v>1 - Thu</v>
      </c>
      <c r="G25" s="163"/>
      <c r="H25" s="163"/>
      <c r="I25" s="163"/>
      <c r="J25" s="163" t="str">
        <f>IFERROR(__xludf.DUMMYFUNCTION("""COMPUTED_VALUE"""),"M")</f>
        <v>M</v>
      </c>
      <c r="K25" s="163" t="str">
        <f>IFERROR(__xludf.DUMMYFUNCTION("""COMPUTED_VALUE"""),"E")</f>
        <v>E</v>
      </c>
      <c r="L25" s="163">
        <f>IFERROR(__xludf.DUMMYFUNCTION("""COMPUTED_VALUE"""),67.5)</f>
        <v>67.5</v>
      </c>
      <c r="M25" s="163">
        <f>IFERROR(__xludf.DUMMYFUNCTION("""COMPUTED_VALUE"""),572.5)</f>
        <v>572.5</v>
      </c>
      <c r="N25" s="163"/>
      <c r="O25" s="164">
        <f t="array" ref="O25">INDEX('Best Lifts'!E$1:E$268,MATCH(1,($D25='Best Lifts'!$A:$A)*($E25='Best Lifts'!$B:$B),0))</f>
        <v>162.5</v>
      </c>
      <c r="P25" s="164">
        <f t="array" ref="P25">INDEX('Best Lifts'!F$1:F$268,MATCH(1,($D25='Best Lifts'!$A:$A)*($E25='Best Lifts'!$B:$B),0))</f>
        <v>110</v>
      </c>
      <c r="Q25" s="164">
        <f t="array" ref="Q25">INDEX('Best Lifts'!G$1:G$268,MATCH(1,($D25='Best Lifts'!$A:$A)*($E25='Best Lifts'!$B:$B),0))</f>
        <v>200</v>
      </c>
      <c r="R25" s="164">
        <f t="array" ref="R25">INDEX('Best Lifts'!H$1:H$268,MATCH(1,($D25='Best Lifts'!$A:$A)*($E25='Best Lifts'!$B:$B),0))</f>
        <v>472.5</v>
      </c>
      <c r="S25" s="164">
        <f t="array" ref="S25">INDEX('Best Lifts'!I$1:I175,MATCH(1,($D25='Best Lifts'!$A:$A)*($E25='Best Lifts'!$B:$B),0))</f>
        <v>225</v>
      </c>
      <c r="T25" s="164">
        <f t="array" ref="T25">INDEX('Best Lifts'!J$1:J$268,MATCH(1,($D25='Best Lifts'!$A:$A)*($E25='Best Lifts'!$B:$B),0))</f>
        <v>125</v>
      </c>
      <c r="U25" s="164">
        <f t="array" ref="U25">INDEX('Best Lifts'!K$1:K$268,MATCH(1,($D25='Best Lifts'!$A:$A)*($E25='Best Lifts'!$B:$B),0))</f>
        <v>222.5</v>
      </c>
      <c r="V25" s="164">
        <f t="array" ref="V25">INDEX('Best Lifts'!L$1:L$268,MATCH(1,($D25='Best Lifts'!$A:$A)*($E25='Best Lifts'!$B:$B),0))</f>
        <v>572.5</v>
      </c>
      <c r="W25" s="164">
        <f t="shared" si="9"/>
        <v>572.5</v>
      </c>
      <c r="X25" s="164" t="str">
        <f t="array" ref="X25">INDEX('Best Lifts'!M$1:M$258,MATCH(1,($D25='Best Lifts'!$A:$A)*($E25='Best Lifts'!$B:$B),0))</f>
        <v/>
      </c>
    </row>
    <row r="26">
      <c r="A26" s="163">
        <f t="shared" si="7"/>
        <v>4</v>
      </c>
      <c r="B26" s="163">
        <f t="shared" si="8"/>
        <v>5</v>
      </c>
      <c r="C26" s="163">
        <v>7.0</v>
      </c>
      <c r="D26" s="163" t="str">
        <f>IFERROR(__xludf.DUMMYFUNCTION("""COMPUTED_VALUE"""),"Ellis III")</f>
        <v>Ellis III</v>
      </c>
      <c r="E26" s="163" t="str">
        <f>IFERROR(__xludf.DUMMYFUNCTION("""COMPUTED_VALUE"""),"Robert")</f>
        <v>Robert</v>
      </c>
      <c r="F26" s="163" t="str">
        <f>IFERROR(__xludf.DUMMYFUNCTION("""COMPUTED_VALUE"""),"1 - Thu")</f>
        <v>1 - Thu</v>
      </c>
      <c r="G26" s="163"/>
      <c r="H26" s="163"/>
      <c r="I26" s="163"/>
      <c r="J26" s="163" t="str">
        <f>IFERROR(__xludf.DUMMYFUNCTION("""COMPUTED_VALUE"""),"M")</f>
        <v>M</v>
      </c>
      <c r="K26" s="163" t="str">
        <f>IFERROR(__xludf.DUMMYFUNCTION("""COMPUTED_VALUE"""),"E")</f>
        <v>E</v>
      </c>
      <c r="L26" s="163">
        <f>IFERROR(__xludf.DUMMYFUNCTION("""COMPUTED_VALUE"""),67.5)</f>
        <v>67.5</v>
      </c>
      <c r="M26" s="163">
        <f>IFERROR(__xludf.DUMMYFUNCTION("""COMPUTED_VALUE"""),570.0)</f>
        <v>570</v>
      </c>
      <c r="N26" s="163"/>
      <c r="O26" s="164" t="str">
        <f t="array" ref="O26">INDEX('Best Lifts'!E$1:E$268,MATCH(1,($D26='Best Lifts'!$A:$A)*($E26='Best Lifts'!$B:$B),0))</f>
        <v>#N/A</v>
      </c>
      <c r="P26" s="164" t="str">
        <f t="array" ref="P26">INDEX('Best Lifts'!F$1:F$268,MATCH(1,($D26='Best Lifts'!$A:$A)*($E26='Best Lifts'!$B:$B),0))</f>
        <v/>
      </c>
      <c r="Q26" s="164" t="str">
        <f t="array" ref="Q26">INDEX('Best Lifts'!G$1:G$268,MATCH(1,($D26='Best Lifts'!$A:$A)*($E26='Best Lifts'!$B:$B),0))</f>
        <v/>
      </c>
      <c r="R26" s="164" t="str">
        <f t="array" ref="R26">INDEX('Best Lifts'!H$1:H$268,MATCH(1,($D26='Best Lifts'!$A:$A)*($E26='Best Lifts'!$B:$B),0))</f>
        <v/>
      </c>
      <c r="S26" s="164">
        <f t="array" ref="S26">INDEX('Best Lifts'!I$1:I175,MATCH(1,($D26='Best Lifts'!$A:$A)*($E26='Best Lifts'!$B:$B),0))</f>
        <v>207.5</v>
      </c>
      <c r="T26" s="164">
        <f t="array" ref="T26">INDEX('Best Lifts'!J$1:J$268,MATCH(1,($D26='Best Lifts'!$A:$A)*($E26='Best Lifts'!$B:$B),0))</f>
        <v>130</v>
      </c>
      <c r="U26" s="164">
        <f t="array" ref="U26">INDEX('Best Lifts'!K$1:K$268,MATCH(1,($D26='Best Lifts'!$A:$A)*($E26='Best Lifts'!$B:$B),0))</f>
        <v>232.5</v>
      </c>
      <c r="V26" s="164">
        <f t="array" ref="V26">INDEX('Best Lifts'!L$1:L$268,MATCH(1,($D26='Best Lifts'!$A:$A)*($E26='Best Lifts'!$B:$B),0))</f>
        <v>570</v>
      </c>
      <c r="W26" s="164">
        <f t="shared" si="9"/>
        <v>570</v>
      </c>
      <c r="X26" s="164" t="str">
        <f t="array" ref="X26">INDEX('Best Lifts'!M$1:M$258,MATCH(1,($D26='Best Lifts'!$A:$A)*($E26='Best Lifts'!$B:$B),0))</f>
        <v/>
      </c>
    </row>
    <row r="27">
      <c r="A27" s="163">
        <f t="shared" si="7"/>
        <v>5</v>
      </c>
      <c r="B27" s="163">
        <f t="shared" si="8"/>
        <v>11</v>
      </c>
      <c r="C27" s="163">
        <v>8.0</v>
      </c>
      <c r="D27" s="163" t="str">
        <f>IFERROR(__xludf.DUMMYFUNCTION("""COMPUTED_VALUE"""),"Diaz")</f>
        <v>Diaz</v>
      </c>
      <c r="E27" s="163" t="str">
        <f>IFERROR(__xludf.DUMMYFUNCTION("""COMPUTED_VALUE"""),"Abraham")</f>
        <v>Abraham</v>
      </c>
      <c r="F27" s="163" t="str">
        <f>IFERROR(__xludf.DUMMYFUNCTION("""COMPUTED_VALUE"""),"1 - Thu")</f>
        <v>1 - Thu</v>
      </c>
      <c r="G27" s="163"/>
      <c r="H27" s="163"/>
      <c r="I27" s="163"/>
      <c r="J27" s="163" t="str">
        <f>IFERROR(__xludf.DUMMYFUNCTION("""COMPUTED_VALUE"""),"M")</f>
        <v>M</v>
      </c>
      <c r="K27" s="163" t="str">
        <f>IFERROR(__xludf.DUMMYFUNCTION("""COMPUTED_VALUE"""),"E")</f>
        <v>E</v>
      </c>
      <c r="L27" s="163">
        <f>IFERROR(__xludf.DUMMYFUNCTION("""COMPUTED_VALUE"""),67.5)</f>
        <v>67.5</v>
      </c>
      <c r="M27" s="163">
        <f>IFERROR(__xludf.DUMMYFUNCTION("""COMPUTED_VALUE"""),542.5)</f>
        <v>542.5</v>
      </c>
      <c r="N27" s="163"/>
      <c r="O27" s="164">
        <f t="array" ref="O27">INDEX('Best Lifts'!E$1:E$268,MATCH(1,($D27='Best Lifts'!$A:$A)*($E27='Best Lifts'!$B:$B),0))</f>
        <v>195</v>
      </c>
      <c r="P27" s="164">
        <f t="array" ref="P27">INDEX('Best Lifts'!F$1:F$268,MATCH(1,($D27='Best Lifts'!$A:$A)*($E27='Best Lifts'!$B:$B),0))</f>
        <v>117.5</v>
      </c>
      <c r="Q27" s="164">
        <f t="array" ref="Q27">INDEX('Best Lifts'!G$1:G$268,MATCH(1,($D27='Best Lifts'!$A:$A)*($E27='Best Lifts'!$B:$B),0))</f>
        <v>230</v>
      </c>
      <c r="R27" s="164">
        <f t="array" ref="R27">INDEX('Best Lifts'!H$1:H$268,MATCH(1,($D27='Best Lifts'!$A:$A)*($E27='Best Lifts'!$B:$B),0))</f>
        <v>542.5</v>
      </c>
      <c r="S27" s="164" t="str">
        <f t="array" ref="S27">INDEX('Best Lifts'!I$1:I175,MATCH(1,($D27='Best Lifts'!$A:$A)*($E27='Best Lifts'!$B:$B),0))</f>
        <v>#N/A</v>
      </c>
      <c r="T27" s="164" t="str">
        <f t="array" ref="T27">INDEX('Best Lifts'!J$1:J$268,MATCH(1,($D27='Best Lifts'!$A:$A)*($E27='Best Lifts'!$B:$B),0))</f>
        <v/>
      </c>
      <c r="U27" s="164" t="str">
        <f t="array" ref="U27">INDEX('Best Lifts'!K$1:K$268,MATCH(1,($D27='Best Lifts'!$A:$A)*($E27='Best Lifts'!$B:$B),0))</f>
        <v/>
      </c>
      <c r="V27" s="164" t="str">
        <f t="array" ref="V27">INDEX('Best Lifts'!L$1:L$268,MATCH(1,($D27='Best Lifts'!$A:$A)*($E27='Best Lifts'!$B:$B),0))</f>
        <v/>
      </c>
      <c r="W27" s="164">
        <f t="shared" si="9"/>
        <v>0</v>
      </c>
      <c r="X27" s="164" t="str">
        <f t="array" ref="X27">INDEX('Best Lifts'!M$1:M$258,MATCH(1,($D27='Best Lifts'!$A:$A)*($E27='Best Lifts'!$B:$B),0))</f>
        <v/>
      </c>
    </row>
    <row r="28">
      <c r="A28" s="163">
        <f t="shared" si="7"/>
        <v>6</v>
      </c>
      <c r="B28" s="163">
        <f t="shared" si="8"/>
        <v>6</v>
      </c>
      <c r="C28" s="163">
        <v>5.0</v>
      </c>
      <c r="D28" s="163" t="str">
        <f>IFERROR(__xludf.DUMMYFUNCTION("""COMPUTED_VALUE"""),"Morris")</f>
        <v>Morris</v>
      </c>
      <c r="E28" s="163" t="str">
        <f>IFERROR(__xludf.DUMMYFUNCTION("""COMPUTED_VALUE"""),"Jackson")</f>
        <v>Jackson</v>
      </c>
      <c r="F28" s="163" t="str">
        <f>IFERROR(__xludf.DUMMYFUNCTION("""COMPUTED_VALUE"""),"1 - Thu")</f>
        <v>1 - Thu</v>
      </c>
      <c r="G28" s="163"/>
      <c r="H28" s="163"/>
      <c r="I28" s="163"/>
      <c r="J28" s="163" t="str">
        <f>IFERROR(__xludf.DUMMYFUNCTION("""COMPUTED_VALUE"""),"M")</f>
        <v>M</v>
      </c>
      <c r="K28" s="163" t="str">
        <f>IFERROR(__xludf.DUMMYFUNCTION("""COMPUTED_VALUE"""),"E")</f>
        <v>E</v>
      </c>
      <c r="L28" s="163">
        <f>IFERROR(__xludf.DUMMYFUNCTION("""COMPUTED_VALUE"""),67.5)</f>
        <v>67.5</v>
      </c>
      <c r="M28" s="163">
        <f>IFERROR(__xludf.DUMMYFUNCTION("""COMPUTED_VALUE"""),540.0)</f>
        <v>540</v>
      </c>
      <c r="N28" s="163"/>
      <c r="O28" s="164">
        <f t="array" ref="O28">INDEX('Best Lifts'!E$1:E$268,MATCH(1,($D28='Best Lifts'!$A:$A)*($E28='Best Lifts'!$B:$B),0))</f>
        <v>145</v>
      </c>
      <c r="P28" s="164">
        <f t="array" ref="P28">INDEX('Best Lifts'!F$1:F$268,MATCH(1,($D28='Best Lifts'!$A:$A)*($E28='Best Lifts'!$B:$B),0))</f>
        <v>97.5</v>
      </c>
      <c r="Q28" s="164">
        <f t="array" ref="Q28">INDEX('Best Lifts'!G$1:G$268,MATCH(1,($D28='Best Lifts'!$A:$A)*($E28='Best Lifts'!$B:$B),0))</f>
        <v>172.5</v>
      </c>
      <c r="R28" s="164">
        <f t="array" ref="R28">INDEX('Best Lifts'!H$1:H$268,MATCH(1,($D28='Best Lifts'!$A:$A)*($E28='Best Lifts'!$B:$B),0))</f>
        <v>415</v>
      </c>
      <c r="S28" s="164">
        <f t="array" ref="S28">INDEX('Best Lifts'!I$1:I175,MATCH(1,($D28='Best Lifts'!$A:$A)*($E28='Best Lifts'!$B:$B),0))</f>
        <v>200</v>
      </c>
      <c r="T28" s="164">
        <f t="array" ref="T28">INDEX('Best Lifts'!J$1:J$268,MATCH(1,($D28='Best Lifts'!$A:$A)*($E28='Best Lifts'!$B:$B),0))</f>
        <v>127.5</v>
      </c>
      <c r="U28" s="164">
        <f t="array" ref="U28">INDEX('Best Lifts'!K$1:K$268,MATCH(1,($D28='Best Lifts'!$A:$A)*($E28='Best Lifts'!$B:$B),0))</f>
        <v>212.5</v>
      </c>
      <c r="V28" s="164">
        <f t="array" ref="V28">INDEX('Best Lifts'!L$1:L$268,MATCH(1,($D28='Best Lifts'!$A:$A)*($E28='Best Lifts'!$B:$B),0))</f>
        <v>540</v>
      </c>
      <c r="W28" s="164">
        <f t="shared" si="9"/>
        <v>540</v>
      </c>
      <c r="X28" s="164" t="str">
        <f t="array" ref="X28">INDEX('Best Lifts'!M$1:M$258,MATCH(1,($D28='Best Lifts'!$A:$A)*($E28='Best Lifts'!$B:$B),0))</f>
        <v/>
      </c>
    </row>
    <row r="29">
      <c r="A29" s="163">
        <f t="shared" si="7"/>
        <v>7</v>
      </c>
      <c r="B29" s="163">
        <f t="shared" si="8"/>
        <v>7</v>
      </c>
      <c r="C29" s="163">
        <v>4.0</v>
      </c>
      <c r="D29" s="163" t="str">
        <f>IFERROR(__xludf.DUMMYFUNCTION("""COMPUTED_VALUE"""),"Natividad")</f>
        <v>Natividad</v>
      </c>
      <c r="E29" s="163" t="str">
        <f>IFERROR(__xludf.DUMMYFUNCTION("""COMPUTED_VALUE"""),"Cody")</f>
        <v>Cody</v>
      </c>
      <c r="F29" s="163" t="str">
        <f>IFERROR(__xludf.DUMMYFUNCTION("""COMPUTED_VALUE"""),"1 - Thu")</f>
        <v>1 - Thu</v>
      </c>
      <c r="G29" s="163"/>
      <c r="H29" s="163"/>
      <c r="I29" s="163"/>
      <c r="J29" s="163" t="str">
        <f>IFERROR(__xludf.DUMMYFUNCTION("""COMPUTED_VALUE"""),"M")</f>
        <v>M</v>
      </c>
      <c r="K29" s="163" t="str">
        <f>IFERROR(__xludf.DUMMYFUNCTION("""COMPUTED_VALUE"""),"E")</f>
        <v>E</v>
      </c>
      <c r="L29" s="163">
        <f>IFERROR(__xludf.DUMMYFUNCTION("""COMPUTED_VALUE"""),67.5)</f>
        <v>67.5</v>
      </c>
      <c r="M29" s="163">
        <f>IFERROR(__xludf.DUMMYFUNCTION("""COMPUTED_VALUE"""),507.5)</f>
        <v>507.5</v>
      </c>
      <c r="N29" s="163"/>
      <c r="O29" s="164">
        <f t="array" ref="O29">INDEX('Best Lifts'!E$1:E$268,MATCH(1,($D29='Best Lifts'!$A:$A)*($E29='Best Lifts'!$B:$B),0))</f>
        <v>170</v>
      </c>
      <c r="P29" s="164">
        <f t="array" ref="P29">INDEX('Best Lifts'!F$1:F$268,MATCH(1,($D29='Best Lifts'!$A:$A)*($E29='Best Lifts'!$B:$B),0))</f>
        <v>112.5</v>
      </c>
      <c r="Q29" s="164">
        <f t="array" ref="Q29">INDEX('Best Lifts'!G$1:G$268,MATCH(1,($D29='Best Lifts'!$A:$A)*($E29='Best Lifts'!$B:$B),0))</f>
        <v>170</v>
      </c>
      <c r="R29" s="164">
        <f t="array" ref="R29">INDEX('Best Lifts'!H$1:H$268,MATCH(1,($D29='Best Lifts'!$A:$A)*($E29='Best Lifts'!$B:$B),0))</f>
        <v>447.5</v>
      </c>
      <c r="S29" s="164">
        <f t="array" ref="S29">INDEX('Best Lifts'!I$1:I175,MATCH(1,($D29='Best Lifts'!$A:$A)*($E29='Best Lifts'!$B:$B),0))</f>
        <v>192.5</v>
      </c>
      <c r="T29" s="164">
        <f t="array" ref="T29">INDEX('Best Lifts'!J$1:J$268,MATCH(1,($D29='Best Lifts'!$A:$A)*($E29='Best Lifts'!$B:$B),0))</f>
        <v>137.5</v>
      </c>
      <c r="U29" s="164">
        <f t="array" ref="U29">INDEX('Best Lifts'!K$1:K$268,MATCH(1,($D29='Best Lifts'!$A:$A)*($E29='Best Lifts'!$B:$B),0))</f>
        <v>182.5</v>
      </c>
      <c r="V29" s="164">
        <f t="array" ref="V29">INDEX('Best Lifts'!L$1:L$268,MATCH(1,($D29='Best Lifts'!$A:$A)*($E29='Best Lifts'!$B:$B),0))</f>
        <v>507.5</v>
      </c>
      <c r="W29" s="164">
        <f t="shared" si="9"/>
        <v>512.5</v>
      </c>
      <c r="X29" s="164" t="str">
        <f t="array" ref="X29">INDEX('Best Lifts'!M$1:M$258,MATCH(1,($D29='Best Lifts'!$A:$A)*($E29='Best Lifts'!$B:$B),0))</f>
        <v/>
      </c>
    </row>
    <row r="30">
      <c r="A30" s="163">
        <f t="shared" si="7"/>
        <v>8</v>
      </c>
      <c r="B30" s="163">
        <f t="shared" si="8"/>
        <v>1</v>
      </c>
      <c r="C30" s="163">
        <v>13.0</v>
      </c>
      <c r="D30" s="163" t="str">
        <f>IFERROR(__xludf.DUMMYFUNCTION("""COMPUTED_VALUE"""),"Chavez")</f>
        <v>Chavez</v>
      </c>
      <c r="E30" s="163" t="str">
        <f>IFERROR(__xludf.DUMMYFUNCTION("""COMPUTED_VALUE"""),"Gabriel")</f>
        <v>Gabriel</v>
      </c>
      <c r="F30" s="163" t="str">
        <f>IFERROR(__xludf.DUMMYFUNCTION("""COMPUTED_VALUE"""),"1 - Thu")</f>
        <v>1 - Thu</v>
      </c>
      <c r="G30" s="163"/>
      <c r="H30" s="163"/>
      <c r="I30" s="163"/>
      <c r="J30" s="163" t="str">
        <f>IFERROR(__xludf.DUMMYFUNCTION("""COMPUTED_VALUE"""),"M")</f>
        <v>M</v>
      </c>
      <c r="K30" s="163" t="str">
        <f>IFERROR(__xludf.DUMMYFUNCTION("""COMPUTED_VALUE"""),"E")</f>
        <v>E</v>
      </c>
      <c r="L30" s="163">
        <f>IFERROR(__xludf.DUMMYFUNCTION("""COMPUTED_VALUE"""),67.5)</f>
        <v>67.5</v>
      </c>
      <c r="M30" s="163">
        <f>IFERROR(__xludf.DUMMYFUNCTION("""COMPUTED_VALUE"""),477.5)</f>
        <v>477.5</v>
      </c>
      <c r="N30" s="163"/>
      <c r="O30" s="164">
        <f t="array" ref="O30">INDEX('Best Lifts'!E$1:E$268,MATCH(1,($D30='Best Lifts'!$A:$A)*($E30='Best Lifts'!$B:$B),0))</f>
        <v>170</v>
      </c>
      <c r="P30" s="164">
        <f t="array" ref="P30">INDEX('Best Lifts'!F$1:F$268,MATCH(1,($D30='Best Lifts'!$A:$A)*($E30='Best Lifts'!$B:$B),0))</f>
        <v>102.5</v>
      </c>
      <c r="Q30" s="164">
        <f t="array" ref="Q30">INDEX('Best Lifts'!G$1:G$268,MATCH(1,($D30='Best Lifts'!$A:$A)*($E30='Best Lifts'!$B:$B),0))</f>
        <v>205</v>
      </c>
      <c r="R30" s="164">
        <f t="array" ref="R30">INDEX('Best Lifts'!H$1:H$268,MATCH(1,($D30='Best Lifts'!$A:$A)*($E30='Best Lifts'!$B:$B),0))</f>
        <v>477.5</v>
      </c>
      <c r="S30" s="164">
        <f t="array" ref="S30">INDEX('Best Lifts'!I$1:I175,MATCH(1,($D30='Best Lifts'!$A:$A)*($E30='Best Lifts'!$B:$B),0))</f>
        <v>317.5</v>
      </c>
      <c r="T30" s="164">
        <f t="array" ref="T30">INDEX('Best Lifts'!J$1:J$268,MATCH(1,($D30='Best Lifts'!$A:$A)*($E30='Best Lifts'!$B:$B),0))</f>
        <v>174.6</v>
      </c>
      <c r="U30" s="164">
        <f t="array" ref="U30">INDEX('Best Lifts'!K$1:K$268,MATCH(1,($D30='Best Lifts'!$A:$A)*($E30='Best Lifts'!$B:$B),0))</f>
        <v>265.3</v>
      </c>
      <c r="V30" s="164">
        <f t="array" ref="V30">INDEX('Best Lifts'!L$1:L$268,MATCH(1,($D30='Best Lifts'!$A:$A)*($E30='Best Lifts'!$B:$B),0))</f>
        <v>750.7</v>
      </c>
      <c r="W30" s="164">
        <f t="shared" si="9"/>
        <v>757.4</v>
      </c>
      <c r="X30" s="164" t="str">
        <f t="array" ref="X30">INDEX('Best Lifts'!M$1:M$258,MATCH(1,($D30='Best Lifts'!$A:$A)*($E30='Best Lifts'!$B:$B),0))</f>
        <v/>
      </c>
    </row>
    <row r="31">
      <c r="A31" s="163">
        <f t="shared" si="7"/>
        <v>8</v>
      </c>
      <c r="B31" s="163">
        <f t="shared" si="8"/>
        <v>8</v>
      </c>
      <c r="C31" s="163">
        <v>6.0</v>
      </c>
      <c r="D31" s="163" t="str">
        <f>IFERROR(__xludf.DUMMYFUNCTION("""COMPUTED_VALUE"""),"Gracia")</f>
        <v>Gracia</v>
      </c>
      <c r="E31" s="163" t="str">
        <f>IFERROR(__xludf.DUMMYFUNCTION("""COMPUTED_VALUE"""),"Jonathan")</f>
        <v>Jonathan</v>
      </c>
      <c r="F31" s="163" t="str">
        <f>IFERROR(__xludf.DUMMYFUNCTION("""COMPUTED_VALUE"""),"1 - Thu")</f>
        <v>1 - Thu</v>
      </c>
      <c r="G31" s="163"/>
      <c r="H31" s="163"/>
      <c r="I31" s="163"/>
      <c r="J31" s="163" t="str">
        <f>IFERROR(__xludf.DUMMYFUNCTION("""COMPUTED_VALUE"""),"M")</f>
        <v>M</v>
      </c>
      <c r="K31" s="163" t="str">
        <f>IFERROR(__xludf.DUMMYFUNCTION("""COMPUTED_VALUE"""),"E")</f>
        <v>E</v>
      </c>
      <c r="L31" s="163">
        <f>IFERROR(__xludf.DUMMYFUNCTION("""COMPUTED_VALUE"""),67.5)</f>
        <v>67.5</v>
      </c>
      <c r="M31" s="163">
        <f>IFERROR(__xludf.DUMMYFUNCTION("""COMPUTED_VALUE"""),477.5)</f>
        <v>477.5</v>
      </c>
      <c r="N31" s="163"/>
      <c r="O31" s="164">
        <f t="array" ref="O31">INDEX('Best Lifts'!E$1:E$268,MATCH(1,($D31='Best Lifts'!$A:$A)*($E31='Best Lifts'!$B:$B),0))</f>
        <v>147.5</v>
      </c>
      <c r="P31" s="164">
        <f t="array" ref="P31">INDEX('Best Lifts'!F$1:F$268,MATCH(1,($D31='Best Lifts'!$A:$A)*($E31='Best Lifts'!$B:$B),0))</f>
        <v>90</v>
      </c>
      <c r="Q31" s="164">
        <f t="array" ref="Q31">INDEX('Best Lifts'!G$1:G$268,MATCH(1,($D31='Best Lifts'!$A:$A)*($E31='Best Lifts'!$B:$B),0))</f>
        <v>195</v>
      </c>
      <c r="R31" s="164">
        <f t="array" ref="R31">INDEX('Best Lifts'!H$1:H$268,MATCH(1,($D31='Best Lifts'!$A:$A)*($E31='Best Lifts'!$B:$B),0))</f>
        <v>432.5</v>
      </c>
      <c r="S31" s="164">
        <f t="array" ref="S31">INDEX('Best Lifts'!I$1:I175,MATCH(1,($D31='Best Lifts'!$A:$A)*($E31='Best Lifts'!$B:$B),0))</f>
        <v>177.5</v>
      </c>
      <c r="T31" s="164">
        <f t="array" ref="T31">INDEX('Best Lifts'!J$1:J$268,MATCH(1,($D31='Best Lifts'!$A:$A)*($E31='Best Lifts'!$B:$B),0))</f>
        <v>105</v>
      </c>
      <c r="U31" s="164">
        <f t="array" ref="U31">INDEX('Best Lifts'!K$1:K$268,MATCH(1,($D31='Best Lifts'!$A:$A)*($E31='Best Lifts'!$B:$B),0))</f>
        <v>197.5</v>
      </c>
      <c r="V31" s="164">
        <f t="array" ref="V31">INDEX('Best Lifts'!L$1:L$268,MATCH(1,($D31='Best Lifts'!$A:$A)*($E31='Best Lifts'!$B:$B),0))</f>
        <v>477.5</v>
      </c>
      <c r="W31" s="164">
        <f t="shared" si="9"/>
        <v>480</v>
      </c>
      <c r="X31" s="164" t="str">
        <f t="array" ref="X31">INDEX('Best Lifts'!M$1:M$258,MATCH(1,($D31='Best Lifts'!$A:$A)*($E31='Best Lifts'!$B:$B),0))</f>
        <v/>
      </c>
    </row>
    <row r="32">
      <c r="A32" s="163">
        <f t="shared" si="7"/>
        <v>10</v>
      </c>
      <c r="B32" s="163">
        <f t="shared" si="8"/>
        <v>9</v>
      </c>
      <c r="C32" s="163">
        <v>9.0</v>
      </c>
      <c r="D32" s="163" t="str">
        <f>IFERROR(__xludf.DUMMYFUNCTION("""COMPUTED_VALUE"""),"Varnado")</f>
        <v>Varnado</v>
      </c>
      <c r="E32" s="163" t="str">
        <f>IFERROR(__xludf.DUMMYFUNCTION("""COMPUTED_VALUE"""),"Hunter")</f>
        <v>Hunter</v>
      </c>
      <c r="F32" s="163" t="str">
        <f>IFERROR(__xludf.DUMMYFUNCTION("""COMPUTED_VALUE"""),"1 - Thu")</f>
        <v>1 - Thu</v>
      </c>
      <c r="G32" s="163"/>
      <c r="H32" s="163"/>
      <c r="I32" s="163"/>
      <c r="J32" s="163" t="str">
        <f>IFERROR(__xludf.DUMMYFUNCTION("""COMPUTED_VALUE"""),"M")</f>
        <v>M</v>
      </c>
      <c r="K32" s="163" t="str">
        <f>IFERROR(__xludf.DUMMYFUNCTION("""COMPUTED_VALUE"""),"E")</f>
        <v>E</v>
      </c>
      <c r="L32" s="163">
        <f>IFERROR(__xludf.DUMMYFUNCTION("""COMPUTED_VALUE"""),67.5)</f>
        <v>67.5</v>
      </c>
      <c r="M32" s="163">
        <f>IFERROR(__xludf.DUMMYFUNCTION("""COMPUTED_VALUE"""),467.5)</f>
        <v>467.5</v>
      </c>
      <c r="N32" s="163"/>
      <c r="O32" s="164" t="str">
        <f t="array" ref="O32">INDEX('Best Lifts'!E$1:E$268,MATCH(1,($D32='Best Lifts'!$A:$A)*($E32='Best Lifts'!$B:$B),0))</f>
        <v>#N/A</v>
      </c>
      <c r="P32" s="164" t="str">
        <f t="array" ref="P32">INDEX('Best Lifts'!F$1:F$268,MATCH(1,($D32='Best Lifts'!$A:$A)*($E32='Best Lifts'!$B:$B),0))</f>
        <v/>
      </c>
      <c r="Q32" s="164" t="str">
        <f t="array" ref="Q32">INDEX('Best Lifts'!G$1:G$268,MATCH(1,($D32='Best Lifts'!$A:$A)*($E32='Best Lifts'!$B:$B),0))</f>
        <v/>
      </c>
      <c r="R32" s="164" t="str">
        <f t="array" ref="R32">INDEX('Best Lifts'!H$1:H$268,MATCH(1,($D32='Best Lifts'!$A:$A)*($E32='Best Lifts'!$B:$B),0))</f>
        <v/>
      </c>
      <c r="S32" s="164">
        <f t="array" ref="S32">INDEX('Best Lifts'!I$1:I175,MATCH(1,($D32='Best Lifts'!$A:$A)*($E32='Best Lifts'!$B:$B),0))</f>
        <v>162.5</v>
      </c>
      <c r="T32" s="164">
        <f t="array" ref="T32">INDEX('Best Lifts'!J$1:J$268,MATCH(1,($D32='Best Lifts'!$A:$A)*($E32='Best Lifts'!$B:$B),0))</f>
        <v>102.5</v>
      </c>
      <c r="U32" s="164">
        <f t="array" ref="U32">INDEX('Best Lifts'!K$1:K$268,MATCH(1,($D32='Best Lifts'!$A:$A)*($E32='Best Lifts'!$B:$B),0))</f>
        <v>202.5</v>
      </c>
      <c r="V32" s="164">
        <f t="array" ref="V32">INDEX('Best Lifts'!L$1:L$268,MATCH(1,($D32='Best Lifts'!$A:$A)*($E32='Best Lifts'!$B:$B),0))</f>
        <v>467.5</v>
      </c>
      <c r="W32" s="164">
        <f t="shared" si="9"/>
        <v>467.5</v>
      </c>
      <c r="X32" s="164" t="str">
        <f t="array" ref="X32">INDEX('Best Lifts'!M$1:M$258,MATCH(1,($D32='Best Lifts'!$A:$A)*($E32='Best Lifts'!$B:$B),0))</f>
        <v/>
      </c>
    </row>
    <row r="33">
      <c r="A33" s="163">
        <f t="shared" si="7"/>
        <v>11</v>
      </c>
      <c r="B33" s="163">
        <f t="shared" si="8"/>
        <v>11</v>
      </c>
      <c r="C33" s="163">
        <v>0.0</v>
      </c>
      <c r="D33" s="163" t="str">
        <f>IFERROR(__xludf.DUMMYFUNCTION("""COMPUTED_VALUE"""),"Fernandez")</f>
        <v>Fernandez</v>
      </c>
      <c r="E33" s="163" t="str">
        <f>IFERROR(__xludf.DUMMYFUNCTION("""COMPUTED_VALUE"""),"Patrick")</f>
        <v>Patrick</v>
      </c>
      <c r="F33" s="163" t="str">
        <f>IFERROR(__xludf.DUMMYFUNCTION("""COMPUTED_VALUE"""),"1 - Thu")</f>
        <v>1 - Thu</v>
      </c>
      <c r="G33" s="163"/>
      <c r="H33" s="163"/>
      <c r="I33" s="163"/>
      <c r="J33" s="163" t="str">
        <f>IFERROR(__xludf.DUMMYFUNCTION("""COMPUTED_VALUE"""),"M")</f>
        <v>M</v>
      </c>
      <c r="K33" s="163" t="str">
        <f>IFERROR(__xludf.DUMMYFUNCTION("""COMPUTED_VALUE"""),"E")</f>
        <v>E</v>
      </c>
      <c r="L33" s="163">
        <f>IFERROR(__xludf.DUMMYFUNCTION("""COMPUTED_VALUE"""),67.5)</f>
        <v>67.5</v>
      </c>
      <c r="M33" s="163">
        <f>IFERROR(__xludf.DUMMYFUNCTION("""COMPUTED_VALUE"""),460.0)</f>
        <v>460</v>
      </c>
      <c r="N33" s="163"/>
      <c r="O33" s="164">
        <f t="array" ref="O33">INDEX('Best Lifts'!E$1:E$268,MATCH(1,($D33='Best Lifts'!$A:$A)*($E33='Best Lifts'!$B:$B),0))</f>
        <v>162.5</v>
      </c>
      <c r="P33" s="164">
        <f t="array" ref="P33">INDEX('Best Lifts'!F$1:F$268,MATCH(1,($D33='Best Lifts'!$A:$A)*($E33='Best Lifts'!$B:$B),0))</f>
        <v>122.5</v>
      </c>
      <c r="Q33" s="164">
        <f t="array" ref="Q33">INDEX('Best Lifts'!G$1:G$268,MATCH(1,($D33='Best Lifts'!$A:$A)*($E33='Best Lifts'!$B:$B),0))</f>
        <v>175</v>
      </c>
      <c r="R33" s="164">
        <f t="array" ref="R33">INDEX('Best Lifts'!H$1:H$268,MATCH(1,($D33='Best Lifts'!$A:$A)*($E33='Best Lifts'!$B:$B),0))</f>
        <v>460</v>
      </c>
      <c r="S33" s="164" t="str">
        <f t="array" ref="S33">INDEX('Best Lifts'!I$1:I175,MATCH(1,($D33='Best Lifts'!$A:$A)*($E33='Best Lifts'!$B:$B),0))</f>
        <v>#N/A</v>
      </c>
      <c r="T33" s="164" t="str">
        <f t="array" ref="T33">INDEX('Best Lifts'!J$1:J$268,MATCH(1,($D33='Best Lifts'!$A:$A)*($E33='Best Lifts'!$B:$B),0))</f>
        <v/>
      </c>
      <c r="U33" s="164" t="str">
        <f t="array" ref="U33">INDEX('Best Lifts'!K$1:K$268,MATCH(1,($D33='Best Lifts'!$A:$A)*($E33='Best Lifts'!$B:$B),0))</f>
        <v/>
      </c>
      <c r="V33" s="164" t="str">
        <f t="array" ref="V33">INDEX('Best Lifts'!L$1:L$268,MATCH(1,($D33='Best Lifts'!$A:$A)*($E33='Best Lifts'!$B:$B),0))</f>
        <v/>
      </c>
      <c r="W33" s="164">
        <f t="shared" si="9"/>
        <v>0</v>
      </c>
      <c r="X33" s="164" t="str">
        <f t="array" ref="X33">INDEX('Best Lifts'!M$1:M$258,MATCH(1,($D33='Best Lifts'!$A:$A)*($E33='Best Lifts'!$B:$B),0))</f>
        <v/>
      </c>
    </row>
    <row r="34">
      <c r="A34" s="163">
        <f t="shared" si="7"/>
        <v>12</v>
      </c>
      <c r="B34" s="163">
        <f t="shared" si="8"/>
        <v>10</v>
      </c>
      <c r="C34" s="163">
        <v>11.0</v>
      </c>
      <c r="D34" s="163" t="str">
        <f>IFERROR(__xludf.DUMMYFUNCTION("""COMPUTED_VALUE"""),"Bush")</f>
        <v>Bush</v>
      </c>
      <c r="E34" s="163" t="str">
        <f>IFERROR(__xludf.DUMMYFUNCTION("""COMPUTED_VALUE"""),"James")</f>
        <v>James</v>
      </c>
      <c r="F34" s="163" t="str">
        <f>IFERROR(__xludf.DUMMYFUNCTION("""COMPUTED_VALUE"""),"1 - Thu")</f>
        <v>1 - Thu</v>
      </c>
      <c r="G34" s="163"/>
      <c r="H34" s="163"/>
      <c r="I34" s="163"/>
      <c r="J34" s="163" t="str">
        <f>IFERROR(__xludf.DUMMYFUNCTION("""COMPUTED_VALUE"""),"M")</f>
        <v>M</v>
      </c>
      <c r="K34" s="163" t="str">
        <f>IFERROR(__xludf.DUMMYFUNCTION("""COMPUTED_VALUE"""),"E")</f>
        <v>E</v>
      </c>
      <c r="L34" s="163">
        <f>IFERROR(__xludf.DUMMYFUNCTION("""COMPUTED_VALUE"""),67.5)</f>
        <v>67.5</v>
      </c>
      <c r="M34" s="163">
        <f>IFERROR(__xludf.DUMMYFUNCTION("""COMPUTED_VALUE"""),445.0)</f>
        <v>445</v>
      </c>
      <c r="N34" s="163"/>
      <c r="O34" s="164" t="str">
        <f t="array" ref="O34">INDEX('Best Lifts'!E$1:E$268,MATCH(1,($D34='Best Lifts'!$A:$A)*($E34='Best Lifts'!$B:$B),0))</f>
        <v>#N/A</v>
      </c>
      <c r="P34" s="164" t="str">
        <f t="array" ref="P34">INDEX('Best Lifts'!F$1:F$268,MATCH(1,($D34='Best Lifts'!$A:$A)*($E34='Best Lifts'!$B:$B),0))</f>
        <v/>
      </c>
      <c r="Q34" s="164" t="str">
        <f t="array" ref="Q34">INDEX('Best Lifts'!G$1:G$268,MATCH(1,($D34='Best Lifts'!$A:$A)*($E34='Best Lifts'!$B:$B),0))</f>
        <v/>
      </c>
      <c r="R34" s="164" t="str">
        <f t="array" ref="R34">INDEX('Best Lifts'!H$1:H$268,MATCH(1,($D34='Best Lifts'!$A:$A)*($E34='Best Lifts'!$B:$B),0))</f>
        <v/>
      </c>
      <c r="S34" s="164">
        <f t="array" ref="S34">INDEX('Best Lifts'!I$1:I175,MATCH(1,($D34='Best Lifts'!$A:$A)*($E34='Best Lifts'!$B:$B),0))</f>
        <v>162.5</v>
      </c>
      <c r="T34" s="164">
        <f t="array" ref="T34">INDEX('Best Lifts'!J$1:J$268,MATCH(1,($D34='Best Lifts'!$A:$A)*($E34='Best Lifts'!$B:$B),0))</f>
        <v>90</v>
      </c>
      <c r="U34" s="164">
        <f t="array" ref="U34">INDEX('Best Lifts'!K$1:K$268,MATCH(1,($D34='Best Lifts'!$A:$A)*($E34='Best Lifts'!$B:$B),0))</f>
        <v>192.5</v>
      </c>
      <c r="V34" s="164">
        <f t="array" ref="V34">INDEX('Best Lifts'!L$1:L$268,MATCH(1,($D34='Best Lifts'!$A:$A)*($E34='Best Lifts'!$B:$B),0))</f>
        <v>445</v>
      </c>
      <c r="W34" s="164">
        <f t="shared" si="9"/>
        <v>445</v>
      </c>
      <c r="X34" s="164" t="str">
        <f t="array" ref="X34">INDEX('Best Lifts'!M$1:M$258,MATCH(1,($D34='Best Lifts'!$A:$A)*($E34='Best Lifts'!$B:$B),0))</f>
        <v/>
      </c>
    </row>
    <row r="35">
      <c r="A35" s="154"/>
      <c r="B35" s="154"/>
      <c r="C35" s="154"/>
      <c r="D35" s="154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8"/>
      <c r="Q35" s="158"/>
      <c r="R35" s="159"/>
      <c r="S35" s="160"/>
      <c r="T35" s="158"/>
      <c r="U35" s="158"/>
      <c r="V35" s="159"/>
      <c r="W35" s="159"/>
      <c r="X35" s="158"/>
    </row>
    <row r="36">
      <c r="A36" s="154"/>
      <c r="B36" s="154"/>
      <c r="C36" s="154"/>
      <c r="D36" s="155">
        <v>75.0</v>
      </c>
      <c r="E36" s="156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8"/>
      <c r="Q36" s="158"/>
      <c r="R36" s="159"/>
      <c r="S36" s="160"/>
      <c r="T36" s="158"/>
      <c r="U36" s="158"/>
      <c r="V36" s="159"/>
      <c r="W36" s="159"/>
      <c r="X36" s="158"/>
    </row>
    <row r="37">
      <c r="A37" s="161" t="s">
        <v>746</v>
      </c>
      <c r="B37" s="161" t="s">
        <v>747</v>
      </c>
      <c r="C37" s="161" t="s">
        <v>748</v>
      </c>
      <c r="D37" s="161" t="s">
        <v>253</v>
      </c>
      <c r="E37" s="161" t="s">
        <v>254</v>
      </c>
      <c r="F37" s="161" t="s">
        <v>31</v>
      </c>
      <c r="G37" s="161" t="s">
        <v>32</v>
      </c>
      <c r="H37" s="161" t="s">
        <v>33</v>
      </c>
      <c r="I37" s="161" t="s">
        <v>34</v>
      </c>
      <c r="J37" s="161" t="s">
        <v>749</v>
      </c>
      <c r="K37" s="161" t="s">
        <v>257</v>
      </c>
      <c r="L37" s="161" t="s">
        <v>750</v>
      </c>
      <c r="M37" s="161" t="s">
        <v>36</v>
      </c>
      <c r="N37" s="161" t="s">
        <v>261</v>
      </c>
      <c r="O37" s="161" t="s">
        <v>751</v>
      </c>
      <c r="P37" s="162" t="s">
        <v>752</v>
      </c>
      <c r="Q37" s="162" t="s">
        <v>753</v>
      </c>
      <c r="R37" s="162" t="s">
        <v>754</v>
      </c>
      <c r="S37" s="161" t="s">
        <v>755</v>
      </c>
      <c r="T37" s="162" t="s">
        <v>756</v>
      </c>
      <c r="U37" s="162" t="s">
        <v>757</v>
      </c>
      <c r="V37" s="162" t="s">
        <v>758</v>
      </c>
      <c r="W37" s="162" t="s">
        <v>759</v>
      </c>
      <c r="X37" s="209" t="s">
        <v>703</v>
      </c>
    </row>
    <row r="38">
      <c r="A38" s="163">
        <f t="shared" ref="A38:A53" si="10">RANK(M38,$M$38:$M$53)</f>
        <v>1</v>
      </c>
      <c r="B38" s="163" t="str">
        <f t="shared" ref="B38:B53" si="11">RANK(W38,$W$38:$W$52)</f>
        <v>Loading...</v>
      </c>
      <c r="C38" s="163"/>
      <c r="D38" s="163" t="str">
        <f>IFERROR(__xludf.DUMMYFUNCTION("FILTER(Roster!A$2:A175,Roster!$H$2:$H175=""M"",Roster!$J$2:$J175=$D36)"),"Amaro")</f>
        <v>Amaro</v>
      </c>
      <c r="E38" s="163" t="str">
        <f>IFERROR(__xludf.DUMMYFUNCTION("FILTER(Roster!B$2:B175,Roster!$H$2:$H175=""M"",Roster!$J$2:$J175=$D36)"),"Moises")</f>
        <v>Moises</v>
      </c>
      <c r="F38" s="163" t="str">
        <f>IFERROR(__xludf.DUMMYFUNCTION("FILTER(Roster!D$2:D175,Roster!$H$2:$H175=""M"",Roster!$J$2:$J175=$D36)"),"2 - Fri")</f>
        <v>2 - Fri</v>
      </c>
      <c r="G38" s="163" t="str">
        <f>IFERROR(__xludf.DUMMYFUNCTION("FILTER(Roster!E$2:E175,Roster!$H$2:$H175=""M"",Roster!$J$2:$J175=$D36)"),"")</f>
        <v/>
      </c>
      <c r="H38" s="163" t="str">
        <f>IFERROR(__xludf.DUMMYFUNCTION("FILTER(Roster!F$2:F175,Roster!$H$2:$H175=""M"",Roster!$J$2:$J175=$D36)"),"")</f>
        <v/>
      </c>
      <c r="I38" s="163" t="str">
        <f>IFERROR(__xludf.DUMMYFUNCTION("FILTER(Roster!G$2:G175,Roster!$H$2:$H175=""M"",Roster!$J$2:$J175=$D36)"),"")</f>
        <v/>
      </c>
      <c r="J38" s="163" t="str">
        <f>IFERROR(__xludf.DUMMYFUNCTION("FILTER(Roster!H$2:H175,Roster!$H$2:$H175=""M"",Roster!$J$2:$J175=$D36)"),"M")</f>
        <v>M</v>
      </c>
      <c r="K38" s="163" t="str">
        <f>IFERROR(__xludf.DUMMYFUNCTION("FILTER(Roster!I$2:I175,Roster!$H$2:$H175=""M"",Roster!$J$2:$J175=$D36)"),"E")</f>
        <v>E</v>
      </c>
      <c r="L38" s="163">
        <f>IFERROR(__xludf.DUMMYFUNCTION("FILTER(Roster!J$2:J175,Roster!$H$2:$H175=""M"",Roster!$J$2:$J175=$D36)"),75.0)</f>
        <v>75</v>
      </c>
      <c r="M38" s="163">
        <f>IFERROR(__xludf.DUMMYFUNCTION("FILTER(Roster!M$2:M175,Roster!$H$2:$H175=""M"",Roster!$J$2:$J175=$D36)"),710.0)</f>
        <v>710</v>
      </c>
      <c r="N38" s="163" t="str">
        <f>IFERROR(__xludf.DUMMYFUNCTION("FILTER(Roster!N$2:N175,Roster!$H$2:$H175=""M"",Roster!$J$2:$J175=$D36)"),"")</f>
        <v/>
      </c>
      <c r="O38" s="164">
        <f t="array" ref="O38">INDEX('Best Lifts'!E$1:E$268,MATCH(1,($D38='Best Lifts'!$A:$A)*($E38='Best Lifts'!$B:$B),0))</f>
        <v>225</v>
      </c>
      <c r="P38" s="164">
        <f t="array" ref="P38">INDEX('Best Lifts'!F$1:F$268,MATCH(1,($D38='Best Lifts'!$A:$A)*($E38='Best Lifts'!$B:$B),0))</f>
        <v>155</v>
      </c>
      <c r="Q38" s="164">
        <f t="array" ref="Q38">INDEX('Best Lifts'!G$1:G$268,MATCH(1,($D38='Best Lifts'!$A:$A)*($E38='Best Lifts'!$B:$B),0))</f>
        <v>225</v>
      </c>
      <c r="R38" s="164">
        <f t="array" ref="R38">INDEX('Best Lifts'!H$1:H$268,MATCH(1,($D38='Best Lifts'!$A:$A)*($E38='Best Lifts'!$B:$B),0))</f>
        <v>605</v>
      </c>
      <c r="S38" s="164">
        <f t="array" ref="S38">INDEX('Best Lifts'!I$1:I175,MATCH(1,($D38='Best Lifts'!$A:$A)*($E38='Best Lifts'!$B:$B),0))</f>
        <v>288</v>
      </c>
      <c r="T38" s="164">
        <f t="array" ref="T38">INDEX('Best Lifts'!J$1:J$268,MATCH(1,($D38='Best Lifts'!$A:$A)*($E38='Best Lifts'!$B:$B),0))</f>
        <v>201.8</v>
      </c>
      <c r="U38" s="164">
        <f t="array" ref="U38">INDEX('Best Lifts'!K$1:K$268,MATCH(1,($D38='Best Lifts'!$A:$A)*($E38='Best Lifts'!$B:$B),0))</f>
        <v>242.6</v>
      </c>
      <c r="V38" s="164">
        <f t="array" ref="V38">INDEX('Best Lifts'!L$1:L$268,MATCH(1,($D38='Best Lifts'!$A:$A)*($E38='Best Lifts'!$B:$B),0))</f>
        <v>716.6</v>
      </c>
      <c r="W38" s="164">
        <f t="shared" ref="W38:W53" si="12">IF(ISNA(SUM(S38:U38)),0,SUM(S38:U38))</f>
        <v>732.4</v>
      </c>
      <c r="X38" s="164" t="str">
        <f t="array" ref="X38">INDEX('Best Lifts'!M$1:M$258,MATCH(1,($D38='Best Lifts'!$A:$A)*($E38='Best Lifts'!$B:$B),0))</f>
        <v/>
      </c>
    </row>
    <row r="39">
      <c r="A39" s="163">
        <f t="shared" si="10"/>
        <v>2</v>
      </c>
      <c r="B39" s="163" t="str">
        <f t="shared" si="11"/>
        <v>Loading...</v>
      </c>
      <c r="C39" s="163"/>
      <c r="D39" s="163" t="str">
        <f>IFERROR(__xludf.DUMMYFUNCTION("""COMPUTED_VALUE"""),"Launey")</f>
        <v>Launey</v>
      </c>
      <c r="E39" s="163" t="str">
        <f>IFERROR(__xludf.DUMMYFUNCTION("""COMPUTED_VALUE"""),"Wesley")</f>
        <v>Wesley</v>
      </c>
      <c r="F39" s="163" t="str">
        <f>IFERROR(__xludf.DUMMYFUNCTION("""COMPUTED_VALUE"""),"2 - Fri")</f>
        <v>2 - Fri</v>
      </c>
      <c r="G39" s="163"/>
      <c r="H39" s="163"/>
      <c r="I39" s="163"/>
      <c r="J39" s="163" t="str">
        <f>IFERROR(__xludf.DUMMYFUNCTION("""COMPUTED_VALUE"""),"M")</f>
        <v>M</v>
      </c>
      <c r="K39" s="163" t="str">
        <f>IFERROR(__xludf.DUMMYFUNCTION("""COMPUTED_VALUE"""),"E")</f>
        <v>E</v>
      </c>
      <c r="L39" s="163">
        <f>IFERROR(__xludf.DUMMYFUNCTION("""COMPUTED_VALUE"""),75.0)</f>
        <v>75</v>
      </c>
      <c r="M39" s="163">
        <f>IFERROR(__xludf.DUMMYFUNCTION("""COMPUTED_VALUE"""),675.0)</f>
        <v>675</v>
      </c>
      <c r="N39" s="163"/>
      <c r="O39" s="164">
        <f t="array" ref="O39">INDEX('Best Lifts'!E$1:E$268,MATCH(1,($D39='Best Lifts'!$A:$A)*($E39='Best Lifts'!$B:$B),0))</f>
        <v>197.5</v>
      </c>
      <c r="P39" s="164">
        <f t="array" ref="P39">INDEX('Best Lifts'!F$1:F$268,MATCH(1,($D39='Best Lifts'!$A:$A)*($E39='Best Lifts'!$B:$B),0))</f>
        <v>140</v>
      </c>
      <c r="Q39" s="164">
        <f t="array" ref="Q39">INDEX('Best Lifts'!G$1:G$268,MATCH(1,($D39='Best Lifts'!$A:$A)*($E39='Best Lifts'!$B:$B),0))</f>
        <v>220</v>
      </c>
      <c r="R39" s="164">
        <f t="array" ref="R39">INDEX('Best Lifts'!H$1:H$268,MATCH(1,($D39='Best Lifts'!$A:$A)*($E39='Best Lifts'!$B:$B),0))</f>
        <v>557.5</v>
      </c>
      <c r="S39" s="164">
        <f t="array" ref="S39">INDEX('Best Lifts'!I$1:I175,MATCH(1,($D39='Best Lifts'!$A:$A)*($E39='Best Lifts'!$B:$B),0))</f>
        <v>262.5</v>
      </c>
      <c r="T39" s="164">
        <f t="array" ref="T39">INDEX('Best Lifts'!J$1:J$268,MATCH(1,($D39='Best Lifts'!$A:$A)*($E39='Best Lifts'!$B:$B),0))</f>
        <v>177.5</v>
      </c>
      <c r="U39" s="164">
        <f t="array" ref="U39">INDEX('Best Lifts'!K$1:K$268,MATCH(1,($D39='Best Lifts'!$A:$A)*($E39='Best Lifts'!$B:$B),0))</f>
        <v>245</v>
      </c>
      <c r="V39" s="164">
        <f t="array" ref="V39">INDEX('Best Lifts'!L$1:L$268,MATCH(1,($D39='Best Lifts'!$A:$A)*($E39='Best Lifts'!$B:$B),0))</f>
        <v>675</v>
      </c>
      <c r="W39" s="164">
        <f t="shared" si="12"/>
        <v>685</v>
      </c>
      <c r="X39" s="164" t="str">
        <f t="array" ref="X39">INDEX('Best Lifts'!M$1:M$258,MATCH(1,($D39='Best Lifts'!$A:$A)*($E39='Best Lifts'!$B:$B),0))</f>
        <v/>
      </c>
    </row>
    <row r="40">
      <c r="A40" s="163">
        <f t="shared" si="10"/>
        <v>3</v>
      </c>
      <c r="B40" s="163" t="str">
        <f t="shared" si="11"/>
        <v>Loading...</v>
      </c>
      <c r="C40" s="163"/>
      <c r="D40" s="163" t="str">
        <f>IFERROR(__xludf.DUMMYFUNCTION("""COMPUTED_VALUE"""),"Gil")</f>
        <v>Gil</v>
      </c>
      <c r="E40" s="163" t="str">
        <f>IFERROR(__xludf.DUMMYFUNCTION("""COMPUTED_VALUE"""),"Daniel")</f>
        <v>Daniel</v>
      </c>
      <c r="F40" s="163" t="str">
        <f>IFERROR(__xludf.DUMMYFUNCTION("""COMPUTED_VALUE"""),"2 - Fri")</f>
        <v>2 - Fri</v>
      </c>
      <c r="G40" s="163"/>
      <c r="H40" s="163"/>
      <c r="I40" s="163"/>
      <c r="J40" s="163" t="str">
        <f>IFERROR(__xludf.DUMMYFUNCTION("""COMPUTED_VALUE"""),"M")</f>
        <v>M</v>
      </c>
      <c r="K40" s="163" t="str">
        <f>IFERROR(__xludf.DUMMYFUNCTION("""COMPUTED_VALUE"""),"E")</f>
        <v>E</v>
      </c>
      <c r="L40" s="163">
        <f>IFERROR(__xludf.DUMMYFUNCTION("""COMPUTED_VALUE"""),75.0)</f>
        <v>75</v>
      </c>
      <c r="M40" s="163">
        <f>IFERROR(__xludf.DUMMYFUNCTION("""COMPUTED_VALUE"""),670.0)</f>
        <v>670</v>
      </c>
      <c r="N40" s="163"/>
      <c r="O40" s="164" t="str">
        <f t="array" ref="O40">INDEX('Best Lifts'!E$1:E$268,MATCH(1,($D40='Best Lifts'!$A:$A)*($E40='Best Lifts'!$B:$B),0))</f>
        <v>#N/A</v>
      </c>
      <c r="P40" s="164" t="str">
        <f t="array" ref="P40">INDEX('Best Lifts'!F$1:F$268,MATCH(1,($D40='Best Lifts'!$A:$A)*($E40='Best Lifts'!$B:$B),0))</f>
        <v/>
      </c>
      <c r="Q40" s="164" t="str">
        <f t="array" ref="Q40">INDEX('Best Lifts'!G$1:G$268,MATCH(1,($D40='Best Lifts'!$A:$A)*($E40='Best Lifts'!$B:$B),0))</f>
        <v/>
      </c>
      <c r="R40" s="164" t="str">
        <f t="array" ref="R40">INDEX('Best Lifts'!H$1:H$268,MATCH(1,($D40='Best Lifts'!$A:$A)*($E40='Best Lifts'!$B:$B),0))</f>
        <v/>
      </c>
      <c r="S40" s="164">
        <f t="array" ref="S40">INDEX('Best Lifts'!I$1:I175,MATCH(1,($D40='Best Lifts'!$A:$A)*($E40='Best Lifts'!$B:$B),0))</f>
        <v>257.5</v>
      </c>
      <c r="T40" s="164">
        <f t="array" ref="T40">INDEX('Best Lifts'!J$1:J$268,MATCH(1,($D40='Best Lifts'!$A:$A)*($E40='Best Lifts'!$B:$B),0))</f>
        <v>162.5</v>
      </c>
      <c r="U40" s="164">
        <f t="array" ref="U40">INDEX('Best Lifts'!K$1:K$268,MATCH(1,($D40='Best Lifts'!$A:$A)*($E40='Best Lifts'!$B:$B),0))</f>
        <v>250</v>
      </c>
      <c r="V40" s="164">
        <f t="array" ref="V40">INDEX('Best Lifts'!L$1:L$268,MATCH(1,($D40='Best Lifts'!$A:$A)*($E40='Best Lifts'!$B:$B),0))</f>
        <v>670</v>
      </c>
      <c r="W40" s="164">
        <f t="shared" si="12"/>
        <v>670</v>
      </c>
      <c r="X40" s="164" t="str">
        <f t="array" ref="X40">INDEX('Best Lifts'!M$1:M$258,MATCH(1,($D40='Best Lifts'!$A:$A)*($E40='Best Lifts'!$B:$B),0))</f>
        <v/>
      </c>
    </row>
    <row r="41">
      <c r="A41" s="163">
        <f t="shared" si="10"/>
        <v>4</v>
      </c>
      <c r="B41" s="163" t="str">
        <f t="shared" si="11"/>
        <v>Loading...</v>
      </c>
      <c r="C41" s="163"/>
      <c r="D41" s="163" t="str">
        <f>IFERROR(__xludf.DUMMYFUNCTION("""COMPUTED_VALUE"""),"Torres")</f>
        <v>Torres</v>
      </c>
      <c r="E41" s="163" t="str">
        <f>IFERROR(__xludf.DUMMYFUNCTION("""COMPUTED_VALUE"""),"Diego")</f>
        <v>Diego</v>
      </c>
      <c r="F41" s="163" t="str">
        <f>IFERROR(__xludf.DUMMYFUNCTION("""COMPUTED_VALUE"""),"2 - Fri")</f>
        <v>2 - Fri</v>
      </c>
      <c r="G41" s="163"/>
      <c r="H41" s="163"/>
      <c r="I41" s="163"/>
      <c r="J41" s="163" t="str">
        <f>IFERROR(__xludf.DUMMYFUNCTION("""COMPUTED_VALUE"""),"M")</f>
        <v>M</v>
      </c>
      <c r="K41" s="163" t="str">
        <f>IFERROR(__xludf.DUMMYFUNCTION("""COMPUTED_VALUE"""),"E")</f>
        <v>E</v>
      </c>
      <c r="L41" s="163">
        <f>IFERROR(__xludf.DUMMYFUNCTION("""COMPUTED_VALUE"""),75.0)</f>
        <v>75</v>
      </c>
      <c r="M41" s="163">
        <f>IFERROR(__xludf.DUMMYFUNCTION("""COMPUTED_VALUE"""),662.5)</f>
        <v>662.5</v>
      </c>
      <c r="N41" s="163"/>
      <c r="O41" s="164" t="str">
        <f t="array" ref="O41">INDEX('Best Lifts'!E$1:E$268,MATCH(1,($D41='Best Lifts'!$A:$A)*($E41='Best Lifts'!$B:$B),0))</f>
        <v/>
      </c>
      <c r="P41" s="164">
        <f t="array" ref="P41">INDEX('Best Lifts'!F$1:F$268,MATCH(1,($D41='Best Lifts'!$A:$A)*($E41='Best Lifts'!$B:$B),0))</f>
        <v>137.5</v>
      </c>
      <c r="Q41" s="164">
        <f t="array" ref="Q41">INDEX('Best Lifts'!G$1:G$268,MATCH(1,($D41='Best Lifts'!$A:$A)*($E41='Best Lifts'!$B:$B),0))</f>
        <v>225</v>
      </c>
      <c r="R41" s="164" t="str">
        <f t="array" ref="R41">INDEX('Best Lifts'!H$1:H$268,MATCH(1,($D41='Best Lifts'!$A:$A)*($E41='Best Lifts'!$B:$B),0))</f>
        <v/>
      </c>
      <c r="S41" s="164">
        <f t="array" ref="S41">INDEX('Best Lifts'!I$1:I175,MATCH(1,($D41='Best Lifts'!$A:$A)*($E41='Best Lifts'!$B:$B),0))</f>
        <v>257.5</v>
      </c>
      <c r="T41" s="164">
        <f t="array" ref="T41">INDEX('Best Lifts'!J$1:J$268,MATCH(1,($D41='Best Lifts'!$A:$A)*($E41='Best Lifts'!$B:$B),0))</f>
        <v>135</v>
      </c>
      <c r="U41" s="164">
        <f t="array" ref="U41">INDEX('Best Lifts'!K$1:K$268,MATCH(1,($D41='Best Lifts'!$A:$A)*($E41='Best Lifts'!$B:$B),0))</f>
        <v>270</v>
      </c>
      <c r="V41" s="164">
        <f t="array" ref="V41">INDEX('Best Lifts'!L$1:L$268,MATCH(1,($D41='Best Lifts'!$A:$A)*($E41='Best Lifts'!$B:$B),0))</f>
        <v>662.5</v>
      </c>
      <c r="W41" s="164">
        <f t="shared" si="12"/>
        <v>662.5</v>
      </c>
      <c r="X41" s="164" t="str">
        <f t="array" ref="X41">INDEX('Best Lifts'!M$1:M$258,MATCH(1,($D41='Best Lifts'!$A:$A)*($E41='Best Lifts'!$B:$B),0))</f>
        <v/>
      </c>
    </row>
    <row r="42">
      <c r="A42" s="163">
        <f t="shared" si="10"/>
        <v>5</v>
      </c>
      <c r="B42" s="163" t="str">
        <f t="shared" si="11"/>
        <v>Loading...</v>
      </c>
      <c r="C42" s="163"/>
      <c r="D42" s="163" t="str">
        <f>IFERROR(__xludf.DUMMYFUNCTION("""COMPUTED_VALUE"""),"Scott")</f>
        <v>Scott</v>
      </c>
      <c r="E42" s="163" t="str">
        <f>IFERROR(__xludf.DUMMYFUNCTION("""COMPUTED_VALUE"""),"Damon")</f>
        <v>Damon</v>
      </c>
      <c r="F42" s="163" t="str">
        <f>IFERROR(__xludf.DUMMYFUNCTION("""COMPUTED_VALUE"""),"2 - Fri")</f>
        <v>2 - Fri</v>
      </c>
      <c r="G42" s="163"/>
      <c r="H42" s="163"/>
      <c r="I42" s="163"/>
      <c r="J42" s="163" t="str">
        <f>IFERROR(__xludf.DUMMYFUNCTION("""COMPUTED_VALUE"""),"M")</f>
        <v>M</v>
      </c>
      <c r="K42" s="163" t="str">
        <f>IFERROR(__xludf.DUMMYFUNCTION("""COMPUTED_VALUE"""),"E")</f>
        <v>E</v>
      </c>
      <c r="L42" s="163">
        <f>IFERROR(__xludf.DUMMYFUNCTION("""COMPUTED_VALUE"""),75.0)</f>
        <v>75</v>
      </c>
      <c r="M42" s="163">
        <f>IFERROR(__xludf.DUMMYFUNCTION("""COMPUTED_VALUE"""),657.5)</f>
        <v>657.5</v>
      </c>
      <c r="N42" s="163"/>
      <c r="O42" s="164">
        <f t="array" ref="O42">INDEX('Best Lifts'!E$1:E$268,MATCH(1,($D42='Best Lifts'!$A:$A)*($E42='Best Lifts'!$B:$B),0))</f>
        <v>200</v>
      </c>
      <c r="P42" s="164">
        <f t="array" ref="P42">INDEX('Best Lifts'!F$1:F$268,MATCH(1,($D42='Best Lifts'!$A:$A)*($E42='Best Lifts'!$B:$B),0))</f>
        <v>142.5</v>
      </c>
      <c r="Q42" s="164">
        <f t="array" ref="Q42">INDEX('Best Lifts'!G$1:G$268,MATCH(1,($D42='Best Lifts'!$A:$A)*($E42='Best Lifts'!$B:$B),0))</f>
        <v>225</v>
      </c>
      <c r="R42" s="164">
        <f t="array" ref="R42">INDEX('Best Lifts'!H$1:H$268,MATCH(1,($D42='Best Lifts'!$A:$A)*($E42='Best Lifts'!$B:$B),0))</f>
        <v>567.5</v>
      </c>
      <c r="S42" s="164">
        <f t="array" ref="S42">INDEX('Best Lifts'!I$1:I175,MATCH(1,($D42='Best Lifts'!$A:$A)*($E42='Best Lifts'!$B:$B),0))</f>
        <v>240</v>
      </c>
      <c r="T42" s="164">
        <f t="array" ref="T42">INDEX('Best Lifts'!J$1:J$268,MATCH(1,($D42='Best Lifts'!$A:$A)*($E42='Best Lifts'!$B:$B),0))</f>
        <v>170</v>
      </c>
      <c r="U42" s="164">
        <f t="array" ref="U42">INDEX('Best Lifts'!K$1:K$268,MATCH(1,($D42='Best Lifts'!$A:$A)*($E42='Best Lifts'!$B:$B),0))</f>
        <v>247.5</v>
      </c>
      <c r="V42" s="164">
        <f t="array" ref="V42">INDEX('Best Lifts'!L$1:L$268,MATCH(1,($D42='Best Lifts'!$A:$A)*($E42='Best Lifts'!$B:$B),0))</f>
        <v>657.5</v>
      </c>
      <c r="W42" s="164">
        <f t="shared" si="12"/>
        <v>657.5</v>
      </c>
      <c r="X42" s="164" t="str">
        <f t="array" ref="X42">INDEX('Best Lifts'!M$1:M$258,MATCH(1,($D42='Best Lifts'!$A:$A)*($E42='Best Lifts'!$B:$B),0))</f>
        <v/>
      </c>
    </row>
    <row r="43">
      <c r="A43" s="163">
        <f t="shared" si="10"/>
        <v>6</v>
      </c>
      <c r="B43" s="163" t="str">
        <f t="shared" si="11"/>
        <v>Loading...</v>
      </c>
      <c r="C43" s="163"/>
      <c r="D43" s="163" t="str">
        <f>IFERROR(__xludf.DUMMYFUNCTION("""COMPUTED_VALUE"""),"Brown")</f>
        <v>Brown</v>
      </c>
      <c r="E43" s="163" t="str">
        <f>IFERROR(__xludf.DUMMYFUNCTION("""COMPUTED_VALUE"""),"Jaeden")</f>
        <v>Jaeden</v>
      </c>
      <c r="F43" s="163" t="str">
        <f>IFERROR(__xludf.DUMMYFUNCTION("""COMPUTED_VALUE"""),"2 - Fri")</f>
        <v>2 - Fri</v>
      </c>
      <c r="G43" s="163"/>
      <c r="H43" s="163"/>
      <c r="I43" s="163"/>
      <c r="J43" s="163" t="str">
        <f>IFERROR(__xludf.DUMMYFUNCTION("""COMPUTED_VALUE"""),"M")</f>
        <v>M</v>
      </c>
      <c r="K43" s="163" t="str">
        <f>IFERROR(__xludf.DUMMYFUNCTION("""COMPUTED_VALUE"""),"E")</f>
        <v>E</v>
      </c>
      <c r="L43" s="163">
        <f>IFERROR(__xludf.DUMMYFUNCTION("""COMPUTED_VALUE"""),75.0)</f>
        <v>75</v>
      </c>
      <c r="M43" s="163">
        <f>IFERROR(__xludf.DUMMYFUNCTION("""COMPUTED_VALUE"""),617.5)</f>
        <v>617.5</v>
      </c>
      <c r="N43" s="163"/>
      <c r="O43" s="164" t="str">
        <f t="array" ref="O43">INDEX('Best Lifts'!E$1:E$268,MATCH(1,($D43='Best Lifts'!$A:$A)*($E43='Best Lifts'!$B:$B),0))</f>
        <v>#N/A</v>
      </c>
      <c r="P43" s="164" t="str">
        <f t="array" ref="P43">INDEX('Best Lifts'!F$1:F$268,MATCH(1,($D43='Best Lifts'!$A:$A)*($E43='Best Lifts'!$B:$B),0))</f>
        <v/>
      </c>
      <c r="Q43" s="164" t="str">
        <f t="array" ref="Q43">INDEX('Best Lifts'!G$1:G$268,MATCH(1,($D43='Best Lifts'!$A:$A)*($E43='Best Lifts'!$B:$B),0))</f>
        <v/>
      </c>
      <c r="R43" s="164" t="str">
        <f t="array" ref="R43">INDEX('Best Lifts'!H$1:H$268,MATCH(1,($D43='Best Lifts'!$A:$A)*($E43='Best Lifts'!$B:$B),0))</f>
        <v/>
      </c>
      <c r="S43" s="164">
        <f t="array" ref="S43">INDEX('Best Lifts'!I$1:I175,MATCH(1,($D43='Best Lifts'!$A:$A)*($E43='Best Lifts'!$B:$B),0))</f>
        <v>235</v>
      </c>
      <c r="T43" s="164">
        <f t="array" ref="T43">INDEX('Best Lifts'!J$1:J$268,MATCH(1,($D43='Best Lifts'!$A:$A)*($E43='Best Lifts'!$B:$B),0))</f>
        <v>110</v>
      </c>
      <c r="U43" s="164">
        <f t="array" ref="U43">INDEX('Best Lifts'!K$1:K$268,MATCH(1,($D43='Best Lifts'!$A:$A)*($E43='Best Lifts'!$B:$B),0))</f>
        <v>272.5</v>
      </c>
      <c r="V43" s="164">
        <f t="array" ref="V43">INDEX('Best Lifts'!L$1:L$268,MATCH(1,($D43='Best Lifts'!$A:$A)*($E43='Best Lifts'!$B:$B),0))</f>
        <v>617.5</v>
      </c>
      <c r="W43" s="164">
        <f t="shared" si="12"/>
        <v>617.5</v>
      </c>
      <c r="X43" s="164" t="str">
        <f t="array" ref="X43">INDEX('Best Lifts'!M$1:M$258,MATCH(1,($D43='Best Lifts'!$A:$A)*($E43='Best Lifts'!$B:$B),0))</f>
        <v/>
      </c>
    </row>
    <row r="44">
      <c r="A44" s="163">
        <f t="shared" si="10"/>
        <v>7</v>
      </c>
      <c r="B44" s="163" t="str">
        <f t="shared" si="11"/>
        <v>Loading...</v>
      </c>
      <c r="C44" s="163"/>
      <c r="D44" s="163" t="str">
        <f>IFERROR(__xludf.DUMMYFUNCTION("""COMPUTED_VALUE"""),"Yanez III")</f>
        <v>Yanez III</v>
      </c>
      <c r="E44" s="163" t="str">
        <f>IFERROR(__xludf.DUMMYFUNCTION("""COMPUTED_VALUE"""),"Ramiro")</f>
        <v>Ramiro</v>
      </c>
      <c r="F44" s="163" t="str">
        <f>IFERROR(__xludf.DUMMYFUNCTION("""COMPUTED_VALUE"""),"2 - Fri")</f>
        <v>2 - Fri</v>
      </c>
      <c r="G44" s="163"/>
      <c r="H44" s="163"/>
      <c r="I44" s="163"/>
      <c r="J44" s="163" t="str">
        <f>IFERROR(__xludf.DUMMYFUNCTION("""COMPUTED_VALUE"""),"M")</f>
        <v>M</v>
      </c>
      <c r="K44" s="163" t="str">
        <f>IFERROR(__xludf.DUMMYFUNCTION("""COMPUTED_VALUE"""),"E")</f>
        <v>E</v>
      </c>
      <c r="L44" s="163">
        <f>IFERROR(__xludf.DUMMYFUNCTION("""COMPUTED_VALUE"""),75.0)</f>
        <v>75</v>
      </c>
      <c r="M44" s="163">
        <f>IFERROR(__xludf.DUMMYFUNCTION("""COMPUTED_VALUE"""),607.5)</f>
        <v>607.5</v>
      </c>
      <c r="N44" s="163"/>
      <c r="O44" s="164" t="str">
        <f t="array" ref="O44">INDEX('Best Lifts'!E$1:E$268,MATCH(1,($D44='Best Lifts'!$A:$A)*($E44='Best Lifts'!$B:$B),0))</f>
        <v>#N/A</v>
      </c>
      <c r="P44" s="164" t="str">
        <f t="array" ref="P44">INDEX('Best Lifts'!F$1:F$268,MATCH(1,($D44='Best Lifts'!$A:$A)*($E44='Best Lifts'!$B:$B),0))</f>
        <v/>
      </c>
      <c r="Q44" s="164" t="str">
        <f t="array" ref="Q44">INDEX('Best Lifts'!G$1:G$268,MATCH(1,($D44='Best Lifts'!$A:$A)*($E44='Best Lifts'!$B:$B),0))</f>
        <v/>
      </c>
      <c r="R44" s="164" t="str">
        <f t="array" ref="R44">INDEX('Best Lifts'!H$1:H$268,MATCH(1,($D44='Best Lifts'!$A:$A)*($E44='Best Lifts'!$B:$B),0))</f>
        <v/>
      </c>
      <c r="S44" s="164" t="str">
        <f t="array" ref="S44">INDEX('Best Lifts'!I$1:I175,MATCH(1,($D44='Best Lifts'!$A:$A)*($E44='Best Lifts'!$B:$B),0))</f>
        <v>Loading...</v>
      </c>
      <c r="T44" s="164" t="str">
        <f t="array" ref="T44">INDEX('Best Lifts'!J$1:J$268,MATCH(1,($D44='Best Lifts'!$A:$A)*($E44='Best Lifts'!$B:$B),0))</f>
        <v/>
      </c>
      <c r="U44" s="164" t="str">
        <f t="array" ref="U44">INDEX('Best Lifts'!K$1:K$268,MATCH(1,($D44='Best Lifts'!$A:$A)*($E44='Best Lifts'!$B:$B),0))</f>
        <v/>
      </c>
      <c r="V44" s="164" t="str">
        <f t="array" ref="V44">INDEX('Best Lifts'!L$1:L$268,MATCH(1,($D44='Best Lifts'!$A:$A)*($E44='Best Lifts'!$B:$B),0))</f>
        <v/>
      </c>
      <c r="W44" s="164" t="str">
        <f t="shared" si="12"/>
        <v>Loading...</v>
      </c>
      <c r="X44" s="164" t="str">
        <f t="array" ref="X44">INDEX('Best Lifts'!M$1:M$258,MATCH(1,($D44='Best Lifts'!$A:$A)*($E44='Best Lifts'!$B:$B),0))</f>
        <v/>
      </c>
    </row>
    <row r="45">
      <c r="A45" s="163">
        <f t="shared" si="10"/>
        <v>8</v>
      </c>
      <c r="B45" s="163" t="str">
        <f t="shared" si="11"/>
        <v>Loading...</v>
      </c>
      <c r="C45" s="163"/>
      <c r="D45" s="163" t="str">
        <f>IFERROR(__xludf.DUMMYFUNCTION("""COMPUTED_VALUE"""),"Chen")</f>
        <v>Chen</v>
      </c>
      <c r="E45" s="163" t="str">
        <f>IFERROR(__xludf.DUMMYFUNCTION("""COMPUTED_VALUE"""),"Junji")</f>
        <v>Junji</v>
      </c>
      <c r="F45" s="163" t="str">
        <f>IFERROR(__xludf.DUMMYFUNCTION("""COMPUTED_VALUE"""),"2 - Fri")</f>
        <v>2 - Fri</v>
      </c>
      <c r="G45" s="163"/>
      <c r="H45" s="163"/>
      <c r="I45" s="163"/>
      <c r="J45" s="163" t="str">
        <f>IFERROR(__xludf.DUMMYFUNCTION("""COMPUTED_VALUE"""),"M")</f>
        <v>M</v>
      </c>
      <c r="K45" s="163" t="str">
        <f>IFERROR(__xludf.DUMMYFUNCTION("""COMPUTED_VALUE"""),"E")</f>
        <v>E</v>
      </c>
      <c r="L45" s="163">
        <f>IFERROR(__xludf.DUMMYFUNCTION("""COMPUTED_VALUE"""),75.0)</f>
        <v>75</v>
      </c>
      <c r="M45" s="163">
        <f>IFERROR(__xludf.DUMMYFUNCTION("""COMPUTED_VALUE"""),592.5)</f>
        <v>592.5</v>
      </c>
      <c r="N45" s="163"/>
      <c r="O45" s="164">
        <f t="array" ref="O45">INDEX('Best Lifts'!E$1:E$268,MATCH(1,($D45='Best Lifts'!$A:$A)*($E45='Best Lifts'!$B:$B),0))</f>
        <v>192.5</v>
      </c>
      <c r="P45" s="164">
        <f t="array" ref="P45">INDEX('Best Lifts'!F$1:F$268,MATCH(1,($D45='Best Lifts'!$A:$A)*($E45='Best Lifts'!$B:$B),0))</f>
        <v>117.5</v>
      </c>
      <c r="Q45" s="164">
        <f t="array" ref="Q45">INDEX('Best Lifts'!G$1:G$268,MATCH(1,($D45='Best Lifts'!$A:$A)*($E45='Best Lifts'!$B:$B),0))</f>
        <v>230</v>
      </c>
      <c r="R45" s="164">
        <f t="array" ref="R45">INDEX('Best Lifts'!H$1:H$268,MATCH(1,($D45='Best Lifts'!$A:$A)*($E45='Best Lifts'!$B:$B),0))</f>
        <v>540</v>
      </c>
      <c r="S45" s="164">
        <f t="array" ref="S45">INDEX('Best Lifts'!I$1:I175,MATCH(1,($D45='Best Lifts'!$A:$A)*($E45='Best Lifts'!$B:$B),0))</f>
        <v>225</v>
      </c>
      <c r="T45" s="164">
        <f t="array" ref="T45">INDEX('Best Lifts'!J$1:J$268,MATCH(1,($D45='Best Lifts'!$A:$A)*($E45='Best Lifts'!$B:$B),0))</f>
        <v>124.7</v>
      </c>
      <c r="U45" s="164">
        <f t="array" ref="U45">INDEX('Best Lifts'!K$1:K$268,MATCH(1,($D45='Best Lifts'!$A:$A)*($E45='Best Lifts'!$B:$B),0))</f>
        <v>245</v>
      </c>
      <c r="V45" s="164">
        <f t="array" ref="V45">INDEX('Best Lifts'!L$1:L$268,MATCH(1,($D45='Best Lifts'!$A:$A)*($E45='Best Lifts'!$B:$B),0))</f>
        <v>592.5</v>
      </c>
      <c r="W45" s="164">
        <f t="shared" si="12"/>
        <v>594.7</v>
      </c>
      <c r="X45" s="164" t="str">
        <f t="array" ref="X45">INDEX('Best Lifts'!M$1:M$258,MATCH(1,($D45='Best Lifts'!$A:$A)*($E45='Best Lifts'!$B:$B),0))</f>
        <v/>
      </c>
    </row>
    <row r="46">
      <c r="A46" s="163">
        <f t="shared" si="10"/>
        <v>9</v>
      </c>
      <c r="B46" s="163" t="str">
        <f t="shared" si="11"/>
        <v>Loading...</v>
      </c>
      <c r="C46" s="163"/>
      <c r="D46" s="163" t="str">
        <f>IFERROR(__xludf.DUMMYFUNCTION("""COMPUTED_VALUE"""),"Eckford")</f>
        <v>Eckford</v>
      </c>
      <c r="E46" s="163" t="str">
        <f>IFERROR(__xludf.DUMMYFUNCTION("""COMPUTED_VALUE"""),"Will")</f>
        <v>Will</v>
      </c>
      <c r="F46" s="163" t="str">
        <f>IFERROR(__xludf.DUMMYFUNCTION("""COMPUTED_VALUE"""),"2 - Fri")</f>
        <v>2 - Fri</v>
      </c>
      <c r="G46" s="163"/>
      <c r="H46" s="163"/>
      <c r="I46" s="163"/>
      <c r="J46" s="163" t="str">
        <f>IFERROR(__xludf.DUMMYFUNCTION("""COMPUTED_VALUE"""),"M")</f>
        <v>M</v>
      </c>
      <c r="K46" s="163" t="str">
        <f>IFERROR(__xludf.DUMMYFUNCTION("""COMPUTED_VALUE"""),"E")</f>
        <v>E</v>
      </c>
      <c r="L46" s="163">
        <f>IFERROR(__xludf.DUMMYFUNCTION("""COMPUTED_VALUE"""),75.0)</f>
        <v>75</v>
      </c>
      <c r="M46" s="163">
        <f>IFERROR(__xludf.DUMMYFUNCTION("""COMPUTED_VALUE"""),565.0)</f>
        <v>565</v>
      </c>
      <c r="N46" s="163"/>
      <c r="O46" s="164">
        <f t="array" ref="O46">INDEX('Best Lifts'!E$1:E$268,MATCH(1,($D46='Best Lifts'!$A:$A)*($E46='Best Lifts'!$B:$B),0))</f>
        <v>215</v>
      </c>
      <c r="P46" s="164">
        <f t="array" ref="P46">INDEX('Best Lifts'!F$1:F$268,MATCH(1,($D46='Best Lifts'!$A:$A)*($E46='Best Lifts'!$B:$B),0))</f>
        <v>125</v>
      </c>
      <c r="Q46" s="164">
        <f t="array" ref="Q46">INDEX('Best Lifts'!G$1:G$268,MATCH(1,($D46='Best Lifts'!$A:$A)*($E46='Best Lifts'!$B:$B),0))</f>
        <v>225</v>
      </c>
      <c r="R46" s="164">
        <f t="array" ref="R46">INDEX('Best Lifts'!H$1:H$268,MATCH(1,($D46='Best Lifts'!$A:$A)*($E46='Best Lifts'!$B:$B),0))</f>
        <v>565</v>
      </c>
      <c r="S46" s="164">
        <f t="array" ref="S46">INDEX('Best Lifts'!I$1:I175,MATCH(1,($D46='Best Lifts'!$A:$A)*($E46='Best Lifts'!$B:$B),0))</f>
        <v>210.9</v>
      </c>
      <c r="T46" s="164">
        <f t="array" ref="T46">INDEX('Best Lifts'!J$1:J$268,MATCH(1,($D46='Best Lifts'!$A:$A)*($E46='Best Lifts'!$B:$B),0))</f>
        <v>140.6</v>
      </c>
      <c r="U46" s="164">
        <f t="array" ref="U46">INDEX('Best Lifts'!K$1:K$268,MATCH(1,($D46='Best Lifts'!$A:$A)*($E46='Best Lifts'!$B:$B),0))</f>
        <v>208.6</v>
      </c>
      <c r="V46" s="164">
        <f t="array" ref="V46">INDEX('Best Lifts'!L$1:L$268,MATCH(1,($D46='Best Lifts'!$A:$A)*($E46='Best Lifts'!$B:$B),0))</f>
        <v>553.3</v>
      </c>
      <c r="W46" s="164">
        <f t="shared" si="12"/>
        <v>560.1</v>
      </c>
      <c r="X46" s="164" t="str">
        <f t="array" ref="X46">INDEX('Best Lifts'!M$1:M$258,MATCH(1,($D46='Best Lifts'!$A:$A)*($E46='Best Lifts'!$B:$B),0))</f>
        <v/>
      </c>
    </row>
    <row r="47">
      <c r="A47" s="163">
        <f t="shared" si="10"/>
        <v>10</v>
      </c>
      <c r="B47" s="163" t="str">
        <f t="shared" si="11"/>
        <v>Loading...</v>
      </c>
      <c r="C47" s="163"/>
      <c r="D47" s="163" t="str">
        <f>IFERROR(__xludf.DUMMYFUNCTION("""COMPUTED_VALUE"""),"Lawson")</f>
        <v>Lawson</v>
      </c>
      <c r="E47" s="163" t="str">
        <f>IFERROR(__xludf.DUMMYFUNCTION("""COMPUTED_VALUE"""),"Samuel")</f>
        <v>Samuel</v>
      </c>
      <c r="F47" s="163" t="str">
        <f>IFERROR(__xludf.DUMMYFUNCTION("""COMPUTED_VALUE"""),"2 - Fri")</f>
        <v>2 - Fri</v>
      </c>
      <c r="G47" s="163"/>
      <c r="H47" s="163"/>
      <c r="I47" s="163"/>
      <c r="J47" s="163" t="str">
        <f>IFERROR(__xludf.DUMMYFUNCTION("""COMPUTED_VALUE"""),"M")</f>
        <v>M</v>
      </c>
      <c r="K47" s="163" t="str">
        <f>IFERROR(__xludf.DUMMYFUNCTION("""COMPUTED_VALUE"""),"E")</f>
        <v>E</v>
      </c>
      <c r="L47" s="163">
        <f>IFERROR(__xludf.DUMMYFUNCTION("""COMPUTED_VALUE"""),75.0)</f>
        <v>75</v>
      </c>
      <c r="M47" s="163">
        <f>IFERROR(__xludf.DUMMYFUNCTION("""COMPUTED_VALUE"""),560.0)</f>
        <v>560</v>
      </c>
      <c r="N47" s="163"/>
      <c r="O47" s="164" t="str">
        <f t="array" ref="O47">INDEX('Best Lifts'!E$1:E$268,MATCH(1,($D47='Best Lifts'!$A:$A)*($E47='Best Lifts'!$B:$B),0))</f>
        <v>#N/A</v>
      </c>
      <c r="P47" s="164" t="str">
        <f t="array" ref="P47">INDEX('Best Lifts'!F$1:F$268,MATCH(1,($D47='Best Lifts'!$A:$A)*($E47='Best Lifts'!$B:$B),0))</f>
        <v/>
      </c>
      <c r="Q47" s="164" t="str">
        <f t="array" ref="Q47">INDEX('Best Lifts'!G$1:G$268,MATCH(1,($D47='Best Lifts'!$A:$A)*($E47='Best Lifts'!$B:$B),0))</f>
        <v/>
      </c>
      <c r="R47" s="164" t="str">
        <f t="array" ref="R47">INDEX('Best Lifts'!H$1:H$268,MATCH(1,($D47='Best Lifts'!$A:$A)*($E47='Best Lifts'!$B:$B),0))</f>
        <v/>
      </c>
      <c r="S47" s="164">
        <f t="array" ref="S47">INDEX('Best Lifts'!I$1:I175,MATCH(1,($D47='Best Lifts'!$A:$A)*($E47='Best Lifts'!$B:$B),0))</f>
        <v>227.5</v>
      </c>
      <c r="T47" s="164">
        <f t="array" ref="T47">INDEX('Best Lifts'!J$1:J$268,MATCH(1,($D47='Best Lifts'!$A:$A)*($E47='Best Lifts'!$B:$B),0))</f>
        <v>102.5</v>
      </c>
      <c r="U47" s="164">
        <f t="array" ref="U47">INDEX('Best Lifts'!K$1:K$268,MATCH(1,($D47='Best Lifts'!$A:$A)*($E47='Best Lifts'!$B:$B),0))</f>
        <v>230</v>
      </c>
      <c r="V47" s="164">
        <f t="array" ref="V47">INDEX('Best Lifts'!L$1:L$268,MATCH(1,($D47='Best Lifts'!$A:$A)*($E47='Best Lifts'!$B:$B),0))</f>
        <v>560</v>
      </c>
      <c r="W47" s="164">
        <f t="shared" si="12"/>
        <v>560</v>
      </c>
      <c r="X47" s="164" t="str">
        <f t="array" ref="X47">INDEX('Best Lifts'!M$1:M$258,MATCH(1,($D47='Best Lifts'!$A:$A)*($E47='Best Lifts'!$B:$B),0))</f>
        <v/>
      </c>
    </row>
    <row r="48">
      <c r="A48" s="163">
        <f t="shared" si="10"/>
        <v>10</v>
      </c>
      <c r="B48" s="163" t="str">
        <f t="shared" si="11"/>
        <v>Loading...</v>
      </c>
      <c r="C48" s="163"/>
      <c r="D48" s="163" t="str">
        <f>IFERROR(__xludf.DUMMYFUNCTION("""COMPUTED_VALUE"""),"Lloyd")</f>
        <v>Lloyd</v>
      </c>
      <c r="E48" s="163" t="str">
        <f>IFERROR(__xludf.DUMMYFUNCTION("""COMPUTED_VALUE"""),"James")</f>
        <v>James</v>
      </c>
      <c r="F48" s="163" t="str">
        <f>IFERROR(__xludf.DUMMYFUNCTION("""COMPUTED_VALUE"""),"2 - Fri")</f>
        <v>2 - Fri</v>
      </c>
      <c r="G48" s="163"/>
      <c r="H48" s="163"/>
      <c r="I48" s="163"/>
      <c r="J48" s="163" t="str">
        <f>IFERROR(__xludf.DUMMYFUNCTION("""COMPUTED_VALUE"""),"M")</f>
        <v>M</v>
      </c>
      <c r="K48" s="163" t="str">
        <f>IFERROR(__xludf.DUMMYFUNCTION("""COMPUTED_VALUE"""),"E")</f>
        <v>E</v>
      </c>
      <c r="L48" s="163">
        <f>IFERROR(__xludf.DUMMYFUNCTION("""COMPUTED_VALUE"""),75.0)</f>
        <v>75</v>
      </c>
      <c r="M48" s="163">
        <f>IFERROR(__xludf.DUMMYFUNCTION("""COMPUTED_VALUE"""),560.0)</f>
        <v>560</v>
      </c>
      <c r="N48" s="163"/>
      <c r="O48" s="164" t="str">
        <f t="array" ref="O48">INDEX('Best Lifts'!E$1:E$268,MATCH(1,($D48='Best Lifts'!$A:$A)*($E48='Best Lifts'!$B:$B),0))</f>
        <v>#N/A</v>
      </c>
      <c r="P48" s="164" t="str">
        <f t="array" ref="P48">INDEX('Best Lifts'!F$1:F$268,MATCH(1,($D48='Best Lifts'!$A:$A)*($E48='Best Lifts'!$B:$B),0))</f>
        <v/>
      </c>
      <c r="Q48" s="164" t="str">
        <f t="array" ref="Q48">INDEX('Best Lifts'!G$1:G$268,MATCH(1,($D48='Best Lifts'!$A:$A)*($E48='Best Lifts'!$B:$B),0))</f>
        <v/>
      </c>
      <c r="R48" s="164" t="str">
        <f t="array" ref="R48">INDEX('Best Lifts'!H$1:H$268,MATCH(1,($D48='Best Lifts'!$A:$A)*($E48='Best Lifts'!$B:$B),0))</f>
        <v/>
      </c>
      <c r="S48" s="164">
        <f t="array" ref="S48">INDEX('Best Lifts'!I$1:I175,MATCH(1,($D48='Best Lifts'!$A:$A)*($E48='Best Lifts'!$B:$B),0))</f>
        <v>233.6</v>
      </c>
      <c r="T48" s="164">
        <f t="array" ref="T48">INDEX('Best Lifts'!J$1:J$268,MATCH(1,($D48='Best Lifts'!$A:$A)*($E48='Best Lifts'!$B:$B),0))</f>
        <v>188.2</v>
      </c>
      <c r="U48" s="164">
        <f t="array" ref="U48">INDEX('Best Lifts'!K$1:K$268,MATCH(1,($D48='Best Lifts'!$A:$A)*($E48='Best Lifts'!$B:$B),0))</f>
        <v>240.4</v>
      </c>
      <c r="V48" s="164">
        <f t="array" ref="V48">INDEX('Best Lifts'!L$1:L$268,MATCH(1,($D48='Best Lifts'!$A:$A)*($E48='Best Lifts'!$B:$B),0))</f>
        <v>662.2</v>
      </c>
      <c r="W48" s="164">
        <f t="shared" si="12"/>
        <v>662.2</v>
      </c>
      <c r="X48" s="164" t="str">
        <f t="array" ref="X48">INDEX('Best Lifts'!M$1:M$258,MATCH(1,($D48='Best Lifts'!$A:$A)*($E48='Best Lifts'!$B:$B),0))</f>
        <v/>
      </c>
    </row>
    <row r="49">
      <c r="A49" s="163">
        <f t="shared" si="10"/>
        <v>12</v>
      </c>
      <c r="B49" s="163" t="str">
        <f t="shared" si="11"/>
        <v>Loading...</v>
      </c>
      <c r="C49" s="163"/>
      <c r="D49" s="163" t="str">
        <f>IFERROR(__xludf.DUMMYFUNCTION("""COMPUTED_VALUE"""),"Money")</f>
        <v>Money</v>
      </c>
      <c r="E49" s="163" t="str">
        <f>IFERROR(__xludf.DUMMYFUNCTION("""COMPUTED_VALUE"""),"Koby")</f>
        <v>Koby</v>
      </c>
      <c r="F49" s="163" t="str">
        <f>IFERROR(__xludf.DUMMYFUNCTION("""COMPUTED_VALUE"""),"2 - Fri")</f>
        <v>2 - Fri</v>
      </c>
      <c r="G49" s="163"/>
      <c r="H49" s="163"/>
      <c r="I49" s="163"/>
      <c r="J49" s="163" t="str">
        <f>IFERROR(__xludf.DUMMYFUNCTION("""COMPUTED_VALUE"""),"M")</f>
        <v>M</v>
      </c>
      <c r="K49" s="163" t="str">
        <f>IFERROR(__xludf.DUMMYFUNCTION("""COMPUTED_VALUE"""),"E")</f>
        <v>E</v>
      </c>
      <c r="L49" s="163">
        <f>IFERROR(__xludf.DUMMYFUNCTION("""COMPUTED_VALUE"""),75.0)</f>
        <v>75</v>
      </c>
      <c r="M49" s="163">
        <f>IFERROR(__xludf.DUMMYFUNCTION("""COMPUTED_VALUE"""),540.0)</f>
        <v>540</v>
      </c>
      <c r="N49" s="163"/>
      <c r="O49" s="164">
        <f t="array" ref="O49">INDEX('Best Lifts'!E$1:E$268,MATCH(1,($D49='Best Lifts'!$A:$A)*($E49='Best Lifts'!$B:$B),0))</f>
        <v>160</v>
      </c>
      <c r="P49" s="164">
        <f t="array" ref="P49">INDEX('Best Lifts'!F$1:F$268,MATCH(1,($D49='Best Lifts'!$A:$A)*($E49='Best Lifts'!$B:$B),0))</f>
        <v>117.5</v>
      </c>
      <c r="Q49" s="164">
        <f t="array" ref="Q49">INDEX('Best Lifts'!G$1:G$268,MATCH(1,($D49='Best Lifts'!$A:$A)*($E49='Best Lifts'!$B:$B),0))</f>
        <v>207.5</v>
      </c>
      <c r="R49" s="164">
        <f t="array" ref="R49">INDEX('Best Lifts'!H$1:H$268,MATCH(1,($D49='Best Lifts'!$A:$A)*($E49='Best Lifts'!$B:$B),0))</f>
        <v>485</v>
      </c>
      <c r="S49" s="164">
        <f t="array" ref="S49">INDEX('Best Lifts'!I$1:I175,MATCH(1,($D49='Best Lifts'!$A:$A)*($E49='Best Lifts'!$B:$B),0))</f>
        <v>197.5</v>
      </c>
      <c r="T49" s="164">
        <f t="array" ref="T49">INDEX('Best Lifts'!J$1:J$268,MATCH(1,($D49='Best Lifts'!$A:$A)*($E49='Best Lifts'!$B:$B),0))</f>
        <v>130</v>
      </c>
      <c r="U49" s="164">
        <f t="array" ref="U49">INDEX('Best Lifts'!K$1:K$268,MATCH(1,($D49='Best Lifts'!$A:$A)*($E49='Best Lifts'!$B:$B),0))</f>
        <v>217.5</v>
      </c>
      <c r="V49" s="164">
        <f t="array" ref="V49">INDEX('Best Lifts'!L$1:L$268,MATCH(1,($D49='Best Lifts'!$A:$A)*($E49='Best Lifts'!$B:$B),0))</f>
        <v>540</v>
      </c>
      <c r="W49" s="164">
        <f t="shared" si="12"/>
        <v>545</v>
      </c>
      <c r="X49" s="164" t="str">
        <f t="array" ref="X49">INDEX('Best Lifts'!M$1:M$258,MATCH(1,($D49='Best Lifts'!$A:$A)*($E49='Best Lifts'!$B:$B),0))</f>
        <v/>
      </c>
    </row>
    <row r="50">
      <c r="A50" s="163">
        <f t="shared" si="10"/>
        <v>13</v>
      </c>
      <c r="B50" s="163" t="str">
        <f t="shared" si="11"/>
        <v>Loading...</v>
      </c>
      <c r="C50" s="163"/>
      <c r="D50" s="163" t="str">
        <f>IFERROR(__xludf.DUMMYFUNCTION("""COMPUTED_VALUE"""),"Smylie")</f>
        <v>Smylie</v>
      </c>
      <c r="E50" s="163" t="str">
        <f>IFERROR(__xludf.DUMMYFUNCTION("""COMPUTED_VALUE"""),"Cole")</f>
        <v>Cole</v>
      </c>
      <c r="F50" s="163" t="str">
        <f>IFERROR(__xludf.DUMMYFUNCTION("""COMPUTED_VALUE"""),"2 - Fri")</f>
        <v>2 - Fri</v>
      </c>
      <c r="G50" s="163"/>
      <c r="H50" s="163"/>
      <c r="I50" s="163"/>
      <c r="J50" s="163" t="str">
        <f>IFERROR(__xludf.DUMMYFUNCTION("""COMPUTED_VALUE"""),"M")</f>
        <v>M</v>
      </c>
      <c r="K50" s="163" t="str">
        <f>IFERROR(__xludf.DUMMYFUNCTION("""COMPUTED_VALUE"""),"E")</f>
        <v>E</v>
      </c>
      <c r="L50" s="163">
        <f>IFERROR(__xludf.DUMMYFUNCTION("""COMPUTED_VALUE"""),75.0)</f>
        <v>75</v>
      </c>
      <c r="M50" s="163">
        <f>IFERROR(__xludf.DUMMYFUNCTION("""COMPUTED_VALUE"""),510.0)</f>
        <v>510</v>
      </c>
      <c r="N50" s="163"/>
      <c r="O50" s="164" t="str">
        <f t="array" ref="O50">INDEX('Best Lifts'!E$1:E$268,MATCH(1,($D50='Best Lifts'!$A:$A)*($E50='Best Lifts'!$B:$B),0))</f>
        <v>#N/A</v>
      </c>
      <c r="P50" s="164" t="str">
        <f t="array" ref="P50">INDEX('Best Lifts'!F$1:F$268,MATCH(1,($D50='Best Lifts'!$A:$A)*($E50='Best Lifts'!$B:$B),0))</f>
        <v/>
      </c>
      <c r="Q50" s="164" t="str">
        <f t="array" ref="Q50">INDEX('Best Lifts'!G$1:G$268,MATCH(1,($D50='Best Lifts'!$A:$A)*($E50='Best Lifts'!$B:$B),0))</f>
        <v/>
      </c>
      <c r="R50" s="164" t="str">
        <f t="array" ref="R50">INDEX('Best Lifts'!H$1:H$268,MATCH(1,($D50='Best Lifts'!$A:$A)*($E50='Best Lifts'!$B:$B),0))</f>
        <v/>
      </c>
      <c r="S50" s="164">
        <f t="array" ref="S50">INDEX('Best Lifts'!I$1:I175,MATCH(1,($D50='Best Lifts'!$A:$A)*($E50='Best Lifts'!$B:$B),0))</f>
        <v>182.5</v>
      </c>
      <c r="T50" s="164">
        <f t="array" ref="T50">INDEX('Best Lifts'!J$1:J$268,MATCH(1,($D50='Best Lifts'!$A:$A)*($E50='Best Lifts'!$B:$B),0))</f>
        <v>122.5</v>
      </c>
      <c r="U50" s="164">
        <f t="array" ref="U50">INDEX('Best Lifts'!K$1:K$268,MATCH(1,($D50='Best Lifts'!$A:$A)*($E50='Best Lifts'!$B:$B),0))</f>
        <v>205</v>
      </c>
      <c r="V50" s="164">
        <f t="array" ref="V50">INDEX('Best Lifts'!L$1:L$268,MATCH(1,($D50='Best Lifts'!$A:$A)*($E50='Best Lifts'!$B:$B),0))</f>
        <v>510</v>
      </c>
      <c r="W50" s="164">
        <f t="shared" si="12"/>
        <v>510</v>
      </c>
      <c r="X50" s="164" t="str">
        <f t="array" ref="X50">INDEX('Best Lifts'!M$1:M$258,MATCH(1,($D50='Best Lifts'!$A:$A)*($E50='Best Lifts'!$B:$B),0))</f>
        <v/>
      </c>
    </row>
    <row r="51">
      <c r="A51" s="163">
        <f t="shared" si="10"/>
        <v>14</v>
      </c>
      <c r="B51" s="163" t="str">
        <f t="shared" si="11"/>
        <v>Loading...</v>
      </c>
      <c r="C51" s="163"/>
      <c r="D51" s="163" t="str">
        <f>IFERROR(__xludf.DUMMYFUNCTION("""COMPUTED_VALUE"""),"Yan")</f>
        <v>Yan</v>
      </c>
      <c r="E51" s="163" t="str">
        <f>IFERROR(__xludf.DUMMYFUNCTION("""COMPUTED_VALUE"""),"Brian")</f>
        <v>Brian</v>
      </c>
      <c r="F51" s="163" t="str">
        <f>IFERROR(__xludf.DUMMYFUNCTION("""COMPUTED_VALUE"""),"2 - Fri")</f>
        <v>2 - Fri</v>
      </c>
      <c r="G51" s="163"/>
      <c r="H51" s="163"/>
      <c r="I51" s="163"/>
      <c r="J51" s="163" t="str">
        <f>IFERROR(__xludf.DUMMYFUNCTION("""COMPUTED_VALUE"""),"M")</f>
        <v>M</v>
      </c>
      <c r="K51" s="163" t="str">
        <f>IFERROR(__xludf.DUMMYFUNCTION("""COMPUTED_VALUE"""),"E")</f>
        <v>E</v>
      </c>
      <c r="L51" s="163">
        <f>IFERROR(__xludf.DUMMYFUNCTION("""COMPUTED_VALUE"""),75.0)</f>
        <v>75</v>
      </c>
      <c r="M51" s="163">
        <f>IFERROR(__xludf.DUMMYFUNCTION("""COMPUTED_VALUE"""),500.0)</f>
        <v>500</v>
      </c>
      <c r="N51" s="163"/>
      <c r="O51" s="164" t="str">
        <f t="array" ref="O51">INDEX('Best Lifts'!E$1:E$268,MATCH(1,($D51='Best Lifts'!$A:$A)*($E51='Best Lifts'!$B:$B),0))</f>
        <v>#N/A</v>
      </c>
      <c r="P51" s="164" t="str">
        <f t="array" ref="P51">INDEX('Best Lifts'!F$1:F$268,MATCH(1,($D51='Best Lifts'!$A:$A)*($E51='Best Lifts'!$B:$B),0))</f>
        <v/>
      </c>
      <c r="Q51" s="164" t="str">
        <f t="array" ref="Q51">INDEX('Best Lifts'!G$1:G$268,MATCH(1,($D51='Best Lifts'!$A:$A)*($E51='Best Lifts'!$B:$B),0))</f>
        <v/>
      </c>
      <c r="R51" s="164" t="str">
        <f t="array" ref="R51">INDEX('Best Lifts'!H$1:H$268,MATCH(1,($D51='Best Lifts'!$A:$A)*($E51='Best Lifts'!$B:$B),0))</f>
        <v/>
      </c>
      <c r="S51" s="164" t="str">
        <f t="array" ref="S51">INDEX('Best Lifts'!I$1:I175,MATCH(1,($D51='Best Lifts'!$A:$A)*($E51='Best Lifts'!$B:$B),0))</f>
        <v>#N/A</v>
      </c>
      <c r="T51" s="164" t="str">
        <f t="array" ref="T51">INDEX('Best Lifts'!J$1:J$268,MATCH(1,($D51='Best Lifts'!$A:$A)*($E51='Best Lifts'!$B:$B),0))</f>
        <v/>
      </c>
      <c r="U51" s="164" t="str">
        <f t="array" ref="U51">INDEX('Best Lifts'!K$1:K$268,MATCH(1,($D51='Best Lifts'!$A:$A)*($E51='Best Lifts'!$B:$B),0))</f>
        <v/>
      </c>
      <c r="V51" s="164" t="str">
        <f t="array" ref="V51">INDEX('Best Lifts'!L$1:L$268,MATCH(1,($D51='Best Lifts'!$A:$A)*($E51='Best Lifts'!$B:$B),0))</f>
        <v/>
      </c>
      <c r="W51" s="164">
        <f t="shared" si="12"/>
        <v>0</v>
      </c>
      <c r="X51" s="164" t="str">
        <f t="array" ref="X51">INDEX('Best Lifts'!M$1:M$258,MATCH(1,($D51='Best Lifts'!$A:$A)*($E51='Best Lifts'!$B:$B),0))</f>
        <v/>
      </c>
    </row>
    <row r="52">
      <c r="A52" s="163" t="str">
        <f t="shared" si="10"/>
        <v>#N/A</v>
      </c>
      <c r="B52" s="163" t="str">
        <f t="shared" si="11"/>
        <v>Loading...</v>
      </c>
      <c r="C52" s="163"/>
      <c r="D52" s="163" t="str">
        <f>IFERROR(__xludf.DUMMYFUNCTION("""COMPUTED_VALUE"""),"Earwood")</f>
        <v>Earwood</v>
      </c>
      <c r="E52" s="163" t="str">
        <f>IFERROR(__xludf.DUMMYFUNCTION("""COMPUTED_VALUE"""),"Tyler")</f>
        <v>Tyler</v>
      </c>
      <c r="F52" s="163" t="str">
        <f>IFERROR(__xludf.DUMMYFUNCTION("""COMPUTED_VALUE"""),"2 - Fri")</f>
        <v>2 - Fri</v>
      </c>
      <c r="G52" s="163"/>
      <c r="H52" s="163"/>
      <c r="I52" s="163"/>
      <c r="J52" s="163" t="str">
        <f>IFERROR(__xludf.DUMMYFUNCTION("""COMPUTED_VALUE"""),"M")</f>
        <v>M</v>
      </c>
      <c r="K52" s="163" t="str">
        <f>IFERROR(__xludf.DUMMYFUNCTION("""COMPUTED_VALUE"""),"E")</f>
        <v>E</v>
      </c>
      <c r="L52" s="163">
        <f>IFERROR(__xludf.DUMMYFUNCTION("""COMPUTED_VALUE"""),75.0)</f>
        <v>75</v>
      </c>
      <c r="M52" s="163"/>
      <c r="N52" s="163"/>
      <c r="O52" s="164"/>
      <c r="P52" s="164"/>
      <c r="Q52" s="164"/>
      <c r="R52" s="164"/>
      <c r="S52" s="164">
        <f t="array" ref="S52">INDEX('Best Lifts'!I$1:I175,MATCH(1,($D52='Best Lifts'!$A:$A)*($E52='Best Lifts'!$B:$B),0))</f>
        <v>199.5</v>
      </c>
      <c r="T52" s="164">
        <f t="array" ref="T52">INDEX('Best Lifts'!J$1:J$268,MATCH(1,($D52='Best Lifts'!$A:$A)*($E52='Best Lifts'!$B:$B),0))</f>
        <v>124.7</v>
      </c>
      <c r="U52" s="164">
        <f t="array" ref="U52">INDEX('Best Lifts'!K$1:K$268,MATCH(1,($D52='Best Lifts'!$A:$A)*($E52='Best Lifts'!$B:$B),0))</f>
        <v>192.7</v>
      </c>
      <c r="V52" s="164">
        <f t="array" ref="V52">INDEX('Best Lifts'!L$1:L$268,MATCH(1,($D52='Best Lifts'!$A:$A)*($E52='Best Lifts'!$B:$B),0))</f>
        <v>517.1</v>
      </c>
      <c r="W52" s="164">
        <f t="shared" si="12"/>
        <v>516.9</v>
      </c>
      <c r="X52" s="66"/>
    </row>
    <row r="53">
      <c r="A53" s="163" t="str">
        <f t="shared" si="10"/>
        <v>#N/A</v>
      </c>
      <c r="B53" s="163" t="str">
        <f t="shared" si="11"/>
        <v>#NUM!</v>
      </c>
      <c r="C53" s="163"/>
      <c r="D53" s="163" t="str">
        <f>IFERROR(__xludf.DUMMYFUNCTION("""COMPUTED_VALUE"""),"Pulido")</f>
        <v>Pulido</v>
      </c>
      <c r="E53" s="163" t="str">
        <f>IFERROR(__xludf.DUMMYFUNCTION("""COMPUTED_VALUE"""),"Jon")</f>
        <v>Jon</v>
      </c>
      <c r="F53" s="163" t="str">
        <f>IFERROR(__xludf.DUMMYFUNCTION("""COMPUTED_VALUE"""),"2 - Fri")</f>
        <v>2 - Fri</v>
      </c>
      <c r="G53" s="163"/>
      <c r="H53" s="163"/>
      <c r="I53" s="163"/>
      <c r="J53" s="163" t="str">
        <f>IFERROR(__xludf.DUMMYFUNCTION("""COMPUTED_VALUE"""),"M")</f>
        <v>M</v>
      </c>
      <c r="K53" s="163" t="str">
        <f>IFERROR(__xludf.DUMMYFUNCTION("""COMPUTED_VALUE"""),"E")</f>
        <v>E</v>
      </c>
      <c r="L53" s="163">
        <f>IFERROR(__xludf.DUMMYFUNCTION("""COMPUTED_VALUE"""),75.0)</f>
        <v>75</v>
      </c>
      <c r="M53" s="163"/>
      <c r="N53" s="163"/>
      <c r="O53" s="164"/>
      <c r="P53" s="164"/>
      <c r="Q53" s="164"/>
      <c r="R53" s="164"/>
      <c r="S53" s="164">
        <f t="array" ref="S53">INDEX('Best Lifts'!I$1:I175,MATCH(1,($D53='Best Lifts'!$A:$A)*($E53='Best Lifts'!$B:$B),0))</f>
        <v>195</v>
      </c>
      <c r="T53" s="164" t="str">
        <f t="array" ref="T53">INDEX('Best Lifts'!J$1:J$268,MATCH(1,($D53='Best Lifts'!$A:$A)*($E53='Best Lifts'!$B:$B),0))</f>
        <v>#NUM!</v>
      </c>
      <c r="U53" s="164" t="str">
        <f t="array" ref="U53">INDEX('Best Lifts'!K$1:K$268,MATCH(1,($D53='Best Lifts'!$A:$A)*($E53='Best Lifts'!$B:$B),0))</f>
        <v>#NUM!</v>
      </c>
      <c r="V53" s="164" t="str">
        <f t="array" ref="V53">INDEX('Best Lifts'!L$1:L$268,MATCH(1,($D53='Best Lifts'!$A:$A)*($E53='Best Lifts'!$B:$B),0))</f>
        <v>#NUM!</v>
      </c>
      <c r="W53" s="164" t="str">
        <f t="shared" si="12"/>
        <v>#NUM!</v>
      </c>
      <c r="X53" s="66"/>
    </row>
    <row r="54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4"/>
      <c r="P54" s="164"/>
      <c r="Q54" s="164"/>
      <c r="R54" s="164"/>
      <c r="S54" s="66"/>
      <c r="T54" s="163"/>
      <c r="U54" s="163"/>
      <c r="V54" s="163"/>
      <c r="W54" s="163"/>
      <c r="X54" s="66"/>
    </row>
    <row r="55">
      <c r="A55" s="154"/>
      <c r="B55" s="154"/>
      <c r="C55" s="154"/>
      <c r="D55" s="155">
        <v>82.5</v>
      </c>
      <c r="E55" s="156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8"/>
      <c r="Q55" s="158"/>
      <c r="R55" s="159"/>
      <c r="S55" s="160"/>
      <c r="T55" s="158"/>
      <c r="U55" s="158"/>
      <c r="V55" s="159"/>
      <c r="W55" s="159"/>
      <c r="X55" s="158"/>
    </row>
    <row r="56">
      <c r="A56" s="161" t="s">
        <v>746</v>
      </c>
      <c r="B56" s="161" t="s">
        <v>747</v>
      </c>
      <c r="C56" s="161" t="s">
        <v>748</v>
      </c>
      <c r="D56" s="161" t="s">
        <v>253</v>
      </c>
      <c r="E56" s="161" t="s">
        <v>254</v>
      </c>
      <c r="F56" s="161" t="s">
        <v>31</v>
      </c>
      <c r="G56" s="161" t="s">
        <v>32</v>
      </c>
      <c r="H56" s="161" t="s">
        <v>33</v>
      </c>
      <c r="I56" s="161" t="s">
        <v>34</v>
      </c>
      <c r="J56" s="161" t="s">
        <v>749</v>
      </c>
      <c r="K56" s="161" t="s">
        <v>257</v>
      </c>
      <c r="L56" s="161" t="s">
        <v>750</v>
      </c>
      <c r="M56" s="161" t="s">
        <v>36</v>
      </c>
      <c r="N56" s="161" t="s">
        <v>261</v>
      </c>
      <c r="O56" s="161" t="s">
        <v>751</v>
      </c>
      <c r="P56" s="162" t="s">
        <v>752</v>
      </c>
      <c r="Q56" s="162" t="s">
        <v>753</v>
      </c>
      <c r="R56" s="162" t="s">
        <v>754</v>
      </c>
      <c r="S56" s="161" t="s">
        <v>755</v>
      </c>
      <c r="T56" s="162" t="s">
        <v>756</v>
      </c>
      <c r="U56" s="162" t="s">
        <v>757</v>
      </c>
      <c r="V56" s="162" t="s">
        <v>758</v>
      </c>
      <c r="W56" s="162" t="s">
        <v>759</v>
      </c>
      <c r="X56" s="209" t="s">
        <v>703</v>
      </c>
    </row>
    <row r="57">
      <c r="A57" s="163">
        <f t="shared" ref="A57:A76" si="13">RANK(M57,$M$57:$M$76)</f>
        <v>1</v>
      </c>
      <c r="B57" s="163" t="str">
        <f t="shared" ref="B57:B76" si="14">RANK(W57,$W$57:$W$76)</f>
        <v>#NUM!</v>
      </c>
      <c r="C57" s="163">
        <v>1.0</v>
      </c>
      <c r="D57" s="163" t="str">
        <f>IFERROR(__xludf.DUMMYFUNCTION("FILTER(Roster!A$2:A175,Roster!$H$2:$H175=""M"",Roster!$J$2:$J175=$D55)"),"Parham")</f>
        <v>Parham</v>
      </c>
      <c r="E57" s="163" t="str">
        <f>IFERROR(__xludf.DUMMYFUNCTION("FILTER(Roster!B$2:B175,Roster!$H$2:$H175=""M"",Roster!$J$2:$J175=$D55)"),"Cabe")</f>
        <v>Cabe</v>
      </c>
      <c r="F57" s="163" t="str">
        <f>IFERROR(__xludf.DUMMYFUNCTION("FILTER(Roster!D$2:D175,Roster!$H$2:$H175=""M"",Roster!$J$2:$J175=$D55)"),"3 - Sat")</f>
        <v>3 - Sat</v>
      </c>
      <c r="G57" s="163" t="str">
        <f>IFERROR(__xludf.DUMMYFUNCTION("FILTER(Roster!E$2:E175,Roster!$H$2:$H175=""M"",Roster!$J$2:$J175=$D55)"),"")</f>
        <v/>
      </c>
      <c r="H57" s="163" t="str">
        <f>IFERROR(__xludf.DUMMYFUNCTION("FILTER(Roster!F$2:F175,Roster!$H$2:$H175=""M"",Roster!$J$2:$J175=$D55)"),"")</f>
        <v/>
      </c>
      <c r="I57" s="163" t="str">
        <f>IFERROR(__xludf.DUMMYFUNCTION("FILTER(Roster!G$2:G175,Roster!$H$2:$H175=""M"",Roster!$J$2:$J175=$D55)"),"")</f>
        <v/>
      </c>
      <c r="J57" s="163" t="str">
        <f>IFERROR(__xludf.DUMMYFUNCTION("FILTER(Roster!H$2:H175,Roster!$H$2:$H175=""M"",Roster!$J$2:$J175=$D55)"),"M")</f>
        <v>M</v>
      </c>
      <c r="K57" s="163" t="str">
        <f>IFERROR(__xludf.DUMMYFUNCTION("FILTER(Roster!I$2:I175,Roster!$H$2:$H175=""M"",Roster!$J$2:$J175=$D55)"),"E")</f>
        <v>E</v>
      </c>
      <c r="L57" s="163">
        <f>IFERROR(__xludf.DUMMYFUNCTION("FILTER(Roster!J$2:J175,Roster!$H$2:$H175=""M"",Roster!$J$2:$J175=$D55)"),82.5)</f>
        <v>82.5</v>
      </c>
      <c r="M57" s="163">
        <f>IFERROR(__xludf.DUMMYFUNCTION("FILTER(Roster!M$2:M175,Roster!$H$2:$H175=""M"",Roster!$J$2:$J175=$D55)"),692.5)</f>
        <v>692.5</v>
      </c>
      <c r="N57" s="163" t="str">
        <f>IFERROR(__xludf.DUMMYFUNCTION("FILTER(Roster!N$2:N175,Roster!$H$2:$H175=""M"",Roster!$J$2:$J175=$D55)"),"")</f>
        <v/>
      </c>
      <c r="O57" s="164">
        <f t="array" ref="O57">INDEX('Best Lifts'!E$1:E$268,MATCH(1,($D57='Best Lifts'!$A:$A)*($E57='Best Lifts'!$B:$B),0))</f>
        <v>222.5</v>
      </c>
      <c r="P57" s="164">
        <f t="array" ref="P57">INDEX('Best Lifts'!F$1:F$268,MATCH(1,($D57='Best Lifts'!$A:$A)*($E57='Best Lifts'!$B:$B),0))</f>
        <v>155</v>
      </c>
      <c r="Q57" s="164">
        <f t="array" ref="Q57">INDEX('Best Lifts'!G$1:G$268,MATCH(1,($D57='Best Lifts'!$A:$A)*($E57='Best Lifts'!$B:$B),0))</f>
        <v>275</v>
      </c>
      <c r="R57" s="164">
        <f t="array" ref="R57">INDEX('Best Lifts'!H$1:H$268,MATCH(1,($D57='Best Lifts'!$A:$A)*($E57='Best Lifts'!$B:$B),0))</f>
        <v>652.5</v>
      </c>
      <c r="S57" s="164">
        <f t="array" ref="S57">INDEX('Best Lifts'!I$1:I175,MATCH(1,($D57='Best Lifts'!$A:$A)*($E57='Best Lifts'!$B:$B),0))</f>
        <v>270</v>
      </c>
      <c r="T57" s="164">
        <f t="array" ref="T57">INDEX('Best Lifts'!J$1:J$268,MATCH(1,($D57='Best Lifts'!$A:$A)*($E57='Best Lifts'!$B:$B),0))</f>
        <v>177.5</v>
      </c>
      <c r="U57" s="164">
        <f t="array" ref="U57">INDEX('Best Lifts'!K$1:K$268,MATCH(1,($D57='Best Lifts'!$A:$A)*($E57='Best Lifts'!$B:$B),0))</f>
        <v>245</v>
      </c>
      <c r="V57" s="164">
        <f t="array" ref="V57">INDEX('Best Lifts'!L$1:L$268,MATCH(1,($D57='Best Lifts'!$A:$A)*($E57='Best Lifts'!$B:$B),0))</f>
        <v>692.5</v>
      </c>
      <c r="W57" s="164">
        <f t="shared" ref="W57:W76" si="15">IF(ISNA(SUM(S57:U57)),0,SUM(S57:U57))</f>
        <v>692.5</v>
      </c>
      <c r="X57" s="164" t="str">
        <f t="array" ref="X57">INDEX('Best Lifts'!M$1:M$258,MATCH(1,($D57='Best Lifts'!$A:$A)*($E57='Best Lifts'!$B:$B),0))</f>
        <v/>
      </c>
    </row>
    <row r="58">
      <c r="A58" s="163">
        <f t="shared" si="13"/>
        <v>2</v>
      </c>
      <c r="B58" s="163" t="str">
        <f t="shared" si="14"/>
        <v>#NUM!</v>
      </c>
      <c r="C58" s="163">
        <v>3.0</v>
      </c>
      <c r="D58" s="163" t="str">
        <f>IFERROR(__xludf.DUMMYFUNCTION("""COMPUTED_VALUE"""),"Boutte")</f>
        <v>Boutte</v>
      </c>
      <c r="E58" s="163" t="str">
        <f>IFERROR(__xludf.DUMMYFUNCTION("""COMPUTED_VALUE"""),"Mason")</f>
        <v>Mason</v>
      </c>
      <c r="F58" s="163" t="str">
        <f>IFERROR(__xludf.DUMMYFUNCTION("""COMPUTED_VALUE"""),"3 - Sat")</f>
        <v>3 - Sat</v>
      </c>
      <c r="G58" s="163"/>
      <c r="H58" s="163"/>
      <c r="I58" s="163"/>
      <c r="J58" s="163" t="str">
        <f>IFERROR(__xludf.DUMMYFUNCTION("""COMPUTED_VALUE"""),"M")</f>
        <v>M</v>
      </c>
      <c r="K58" s="163" t="str">
        <f>IFERROR(__xludf.DUMMYFUNCTION("""COMPUTED_VALUE"""),"E")</f>
        <v>E</v>
      </c>
      <c r="L58" s="163">
        <f>IFERROR(__xludf.DUMMYFUNCTION("""COMPUTED_VALUE"""),82.5)</f>
        <v>82.5</v>
      </c>
      <c r="M58" s="163">
        <f>IFERROR(__xludf.DUMMYFUNCTION("""COMPUTED_VALUE"""),682.5)</f>
        <v>682.5</v>
      </c>
      <c r="N58" s="163"/>
      <c r="O58" s="164">
        <f t="array" ref="O58">INDEX('Best Lifts'!E$1:E$268,MATCH(1,($D58='Best Lifts'!$A:$A)*($E58='Best Lifts'!$B:$B),0))</f>
        <v>235</v>
      </c>
      <c r="P58" s="164">
        <f t="array" ref="P58">INDEX('Best Lifts'!F$1:F$268,MATCH(1,($D58='Best Lifts'!$A:$A)*($E58='Best Lifts'!$B:$B),0))</f>
        <v>137.5</v>
      </c>
      <c r="Q58" s="164">
        <f t="array" ref="Q58">INDEX('Best Lifts'!G$1:G$268,MATCH(1,($D58='Best Lifts'!$A:$A)*($E58='Best Lifts'!$B:$B),0))</f>
        <v>250</v>
      </c>
      <c r="R58" s="164">
        <f t="array" ref="R58">INDEX('Best Lifts'!H$1:H$268,MATCH(1,($D58='Best Lifts'!$A:$A)*($E58='Best Lifts'!$B:$B),0))</f>
        <v>622.5</v>
      </c>
      <c r="S58" s="164">
        <f t="array" ref="S58">INDEX('Best Lifts'!I$1:I175,MATCH(1,($D58='Best Lifts'!$A:$A)*($E58='Best Lifts'!$B:$B),0))</f>
        <v>270</v>
      </c>
      <c r="T58" s="164">
        <f t="array" ref="T58">INDEX('Best Lifts'!J$1:J$268,MATCH(1,($D58='Best Lifts'!$A:$A)*($E58='Best Lifts'!$B:$B),0))</f>
        <v>167.5</v>
      </c>
      <c r="U58" s="164">
        <f t="array" ref="U58">INDEX('Best Lifts'!K$1:K$268,MATCH(1,($D58='Best Lifts'!$A:$A)*($E58='Best Lifts'!$B:$B),0))</f>
        <v>252.5</v>
      </c>
      <c r="V58" s="164">
        <f t="array" ref="V58">INDEX('Best Lifts'!L$1:L$268,MATCH(1,($D58='Best Lifts'!$A:$A)*($E58='Best Lifts'!$B:$B),0))</f>
        <v>682.5</v>
      </c>
      <c r="W58" s="164">
        <f t="shared" si="15"/>
        <v>690</v>
      </c>
      <c r="X58" s="164" t="str">
        <f t="array" ref="X58">INDEX('Best Lifts'!M$1:M$258,MATCH(1,($D58='Best Lifts'!$A:$A)*($E58='Best Lifts'!$B:$B),0))</f>
        <v/>
      </c>
    </row>
    <row r="59">
      <c r="A59" s="163">
        <f t="shared" si="13"/>
        <v>2</v>
      </c>
      <c r="B59" s="163" t="str">
        <f t="shared" si="14"/>
        <v>#NUM!</v>
      </c>
      <c r="C59" s="163">
        <v>4.0</v>
      </c>
      <c r="D59" s="163" t="str">
        <f>IFERROR(__xludf.DUMMYFUNCTION("""COMPUTED_VALUE"""),"Estopinal")</f>
        <v>Estopinal</v>
      </c>
      <c r="E59" s="163" t="str">
        <f>IFERROR(__xludf.DUMMYFUNCTION("""COMPUTED_VALUE"""),"Joseph")</f>
        <v>Joseph</v>
      </c>
      <c r="F59" s="163" t="str">
        <f>IFERROR(__xludf.DUMMYFUNCTION("""COMPUTED_VALUE"""),"3 - Sat")</f>
        <v>3 - Sat</v>
      </c>
      <c r="G59" s="163"/>
      <c r="H59" s="163"/>
      <c r="I59" s="163"/>
      <c r="J59" s="163" t="str">
        <f>IFERROR(__xludf.DUMMYFUNCTION("""COMPUTED_VALUE"""),"M")</f>
        <v>M</v>
      </c>
      <c r="K59" s="163" t="str">
        <f>IFERROR(__xludf.DUMMYFUNCTION("""COMPUTED_VALUE"""),"E")</f>
        <v>E</v>
      </c>
      <c r="L59" s="163">
        <f>IFERROR(__xludf.DUMMYFUNCTION("""COMPUTED_VALUE"""),82.5)</f>
        <v>82.5</v>
      </c>
      <c r="M59" s="163">
        <f>IFERROR(__xludf.DUMMYFUNCTION("""COMPUTED_VALUE"""),682.5)</f>
        <v>682.5</v>
      </c>
      <c r="N59" s="163"/>
      <c r="O59" s="164">
        <f t="array" ref="O59">INDEX('Best Lifts'!E$1:E$268,MATCH(1,($D59='Best Lifts'!$A:$A)*($E59='Best Lifts'!$B:$B),0))</f>
        <v>205</v>
      </c>
      <c r="P59" s="164">
        <f t="array" ref="P59">INDEX('Best Lifts'!F$1:F$268,MATCH(1,($D59='Best Lifts'!$A:$A)*($E59='Best Lifts'!$B:$B),0))</f>
        <v>105</v>
      </c>
      <c r="Q59" s="164">
        <f t="array" ref="Q59">INDEX('Best Lifts'!G$1:G$268,MATCH(1,($D59='Best Lifts'!$A:$A)*($E59='Best Lifts'!$B:$B),0))</f>
        <v>225</v>
      </c>
      <c r="R59" s="164">
        <f t="array" ref="R59">INDEX('Best Lifts'!H$1:H$268,MATCH(1,($D59='Best Lifts'!$A:$A)*($E59='Best Lifts'!$B:$B),0))</f>
        <v>535</v>
      </c>
      <c r="S59" s="164">
        <f t="array" ref="S59">INDEX('Best Lifts'!I$1:I175,MATCH(1,($D59='Best Lifts'!$A:$A)*($E59='Best Lifts'!$B:$B),0))</f>
        <v>275</v>
      </c>
      <c r="T59" s="164">
        <f t="array" ref="T59">INDEX('Best Lifts'!J$1:J$268,MATCH(1,($D59='Best Lifts'!$A:$A)*($E59='Best Lifts'!$B:$B),0))</f>
        <v>155</v>
      </c>
      <c r="U59" s="164">
        <f t="array" ref="U59">INDEX('Best Lifts'!K$1:K$268,MATCH(1,($D59='Best Lifts'!$A:$A)*($E59='Best Lifts'!$B:$B),0))</f>
        <v>252.5</v>
      </c>
      <c r="V59" s="164">
        <f t="array" ref="V59">INDEX('Best Lifts'!L$1:L$268,MATCH(1,($D59='Best Lifts'!$A:$A)*($E59='Best Lifts'!$B:$B),0))</f>
        <v>682.5</v>
      </c>
      <c r="W59" s="164">
        <f t="shared" si="15"/>
        <v>682.5</v>
      </c>
      <c r="X59" s="164" t="str">
        <f t="array" ref="X59">INDEX('Best Lifts'!M$1:M$258,MATCH(1,($D59='Best Lifts'!$A:$A)*($E59='Best Lifts'!$B:$B),0))</f>
        <v/>
      </c>
    </row>
    <row r="60">
      <c r="A60" s="163">
        <f t="shared" si="13"/>
        <v>4</v>
      </c>
      <c r="B60" s="163" t="str">
        <f t="shared" si="14"/>
        <v>#NUM!</v>
      </c>
      <c r="C60" s="163">
        <v>7.0</v>
      </c>
      <c r="D60" s="163" t="str">
        <f>IFERROR(__xludf.DUMMYFUNCTION("""COMPUTED_VALUE"""),"Mabile")</f>
        <v>Mabile</v>
      </c>
      <c r="E60" s="163" t="str">
        <f>IFERROR(__xludf.DUMMYFUNCTION("""COMPUTED_VALUE"""),"Jaxon")</f>
        <v>Jaxon</v>
      </c>
      <c r="F60" s="163" t="str">
        <f>IFERROR(__xludf.DUMMYFUNCTION("""COMPUTED_VALUE"""),"3 - Sat")</f>
        <v>3 - Sat</v>
      </c>
      <c r="G60" s="163"/>
      <c r="H60" s="163"/>
      <c r="I60" s="163"/>
      <c r="J60" s="163" t="str">
        <f>IFERROR(__xludf.DUMMYFUNCTION("""COMPUTED_VALUE"""),"M")</f>
        <v>M</v>
      </c>
      <c r="K60" s="163" t="str">
        <f>IFERROR(__xludf.DUMMYFUNCTION("""COMPUTED_VALUE"""),"E")</f>
        <v>E</v>
      </c>
      <c r="L60" s="163">
        <f>IFERROR(__xludf.DUMMYFUNCTION("""COMPUTED_VALUE"""),82.5)</f>
        <v>82.5</v>
      </c>
      <c r="M60" s="163">
        <f>IFERROR(__xludf.DUMMYFUNCTION("""COMPUTED_VALUE"""),680.0)</f>
        <v>680</v>
      </c>
      <c r="N60" s="163"/>
      <c r="O60" s="164">
        <f t="array" ref="O60">INDEX('Best Lifts'!E$1:E$268,MATCH(1,($D60='Best Lifts'!$A:$A)*($E60='Best Lifts'!$B:$B),0))</f>
        <v>265</v>
      </c>
      <c r="P60" s="164">
        <f t="array" ref="P60">INDEX('Best Lifts'!F$1:F$268,MATCH(1,($D60='Best Lifts'!$A:$A)*($E60='Best Lifts'!$B:$B),0))</f>
        <v>147.5</v>
      </c>
      <c r="Q60" s="164">
        <f t="array" ref="Q60">INDEX('Best Lifts'!G$1:G$268,MATCH(1,($D60='Best Lifts'!$A:$A)*($E60='Best Lifts'!$B:$B),0))</f>
        <v>267.5</v>
      </c>
      <c r="R60" s="164">
        <f t="array" ref="R60">INDEX('Best Lifts'!H$1:H$268,MATCH(1,($D60='Best Lifts'!$A:$A)*($E60='Best Lifts'!$B:$B),0))</f>
        <v>680</v>
      </c>
      <c r="S60" s="164">
        <f t="array" ref="S60">INDEX('Best Lifts'!I$1:I175,MATCH(1,($D60='Best Lifts'!$A:$A)*($E60='Best Lifts'!$B:$B),0))</f>
        <v>317.5</v>
      </c>
      <c r="T60" s="164">
        <f t="array" ref="T60">INDEX('Best Lifts'!J$1:J$268,MATCH(1,($D60='Best Lifts'!$A:$A)*($E60='Best Lifts'!$B:$B),0))</f>
        <v>188.2</v>
      </c>
      <c r="U60" s="164">
        <f t="array" ref="U60">INDEX('Best Lifts'!K$1:K$268,MATCH(1,($D60='Best Lifts'!$A:$A)*($E60='Best Lifts'!$B:$B),0))</f>
        <v>283.5</v>
      </c>
      <c r="V60" s="164">
        <f t="array" ref="V60">INDEX('Best Lifts'!L$1:L$268,MATCH(1,($D60='Best Lifts'!$A:$A)*($E60='Best Lifts'!$B:$B),0))</f>
        <v>789.2</v>
      </c>
      <c r="W60" s="164">
        <f t="shared" si="15"/>
        <v>789.2</v>
      </c>
      <c r="X60" s="164" t="str">
        <f t="array" ref="X60">INDEX('Best Lifts'!M$1:M$258,MATCH(1,($D60='Best Lifts'!$A:$A)*($E60='Best Lifts'!$B:$B),0))</f>
        <v/>
      </c>
    </row>
    <row r="61">
      <c r="A61" s="163">
        <f t="shared" si="13"/>
        <v>5</v>
      </c>
      <c r="B61" s="163" t="str">
        <f t="shared" si="14"/>
        <v>#NUM!</v>
      </c>
      <c r="C61" s="163">
        <v>9.0</v>
      </c>
      <c r="D61" s="163" t="str">
        <f>IFERROR(__xludf.DUMMYFUNCTION("""COMPUTED_VALUE"""),"Jenkins")</f>
        <v>Jenkins</v>
      </c>
      <c r="E61" s="163" t="str">
        <f>IFERROR(__xludf.DUMMYFUNCTION("""COMPUTED_VALUE"""),"Kobe")</f>
        <v>Kobe</v>
      </c>
      <c r="F61" s="163" t="str">
        <f>IFERROR(__xludf.DUMMYFUNCTION("""COMPUTED_VALUE"""),"3 - Sat")</f>
        <v>3 - Sat</v>
      </c>
      <c r="G61" s="163"/>
      <c r="H61" s="163"/>
      <c r="I61" s="163"/>
      <c r="J61" s="163" t="str">
        <f>IFERROR(__xludf.DUMMYFUNCTION("""COMPUTED_VALUE"""),"M")</f>
        <v>M</v>
      </c>
      <c r="K61" s="163" t="str">
        <f>IFERROR(__xludf.DUMMYFUNCTION("""COMPUTED_VALUE"""),"E")</f>
        <v>E</v>
      </c>
      <c r="L61" s="163">
        <f>IFERROR(__xludf.DUMMYFUNCTION("""COMPUTED_VALUE"""),82.5)</f>
        <v>82.5</v>
      </c>
      <c r="M61" s="163">
        <f>IFERROR(__xludf.DUMMYFUNCTION("""COMPUTED_VALUE"""),677.5)</f>
        <v>677.5</v>
      </c>
      <c r="N61" s="163"/>
      <c r="O61" s="164" t="str">
        <f t="array" ref="O61">INDEX('Best Lifts'!E$1:E$268,MATCH(1,($D61='Best Lifts'!$A:$A)*($E61='Best Lifts'!$B:$B),0))</f>
        <v>#N/A</v>
      </c>
      <c r="P61" s="164" t="str">
        <f t="array" ref="P61">INDEX('Best Lifts'!F$1:F$268,MATCH(1,($D61='Best Lifts'!$A:$A)*($E61='Best Lifts'!$B:$B),0))</f>
        <v/>
      </c>
      <c r="Q61" s="164" t="str">
        <f t="array" ref="Q61">INDEX('Best Lifts'!G$1:G$268,MATCH(1,($D61='Best Lifts'!$A:$A)*($E61='Best Lifts'!$B:$B),0))</f>
        <v/>
      </c>
      <c r="R61" s="164" t="str">
        <f t="array" ref="R61">INDEX('Best Lifts'!H$1:H$268,MATCH(1,($D61='Best Lifts'!$A:$A)*($E61='Best Lifts'!$B:$B),0))</f>
        <v/>
      </c>
      <c r="S61" s="164">
        <f t="array" ref="S61">INDEX('Best Lifts'!I$1:I175,MATCH(1,($D61='Best Lifts'!$A:$A)*($E61='Best Lifts'!$B:$B),0))</f>
        <v>260</v>
      </c>
      <c r="T61" s="164">
        <f t="array" ref="T61">INDEX('Best Lifts'!J$1:J$268,MATCH(1,($D61='Best Lifts'!$A:$A)*($E61='Best Lifts'!$B:$B),0))</f>
        <v>155</v>
      </c>
      <c r="U61" s="164">
        <f t="array" ref="U61">INDEX('Best Lifts'!K$1:K$268,MATCH(1,($D61='Best Lifts'!$A:$A)*($E61='Best Lifts'!$B:$B),0))</f>
        <v>262.5</v>
      </c>
      <c r="V61" s="164">
        <f t="array" ref="V61">INDEX('Best Lifts'!L$1:L$268,MATCH(1,($D61='Best Lifts'!$A:$A)*($E61='Best Lifts'!$B:$B),0))</f>
        <v>677.5</v>
      </c>
      <c r="W61" s="164">
        <f t="shared" si="15"/>
        <v>677.5</v>
      </c>
      <c r="X61" s="164" t="str">
        <f t="array" ref="X61">INDEX('Best Lifts'!M$1:M$258,MATCH(1,($D61='Best Lifts'!$A:$A)*($E61='Best Lifts'!$B:$B),0))</f>
        <v/>
      </c>
    </row>
    <row r="62">
      <c r="A62" s="163">
        <f t="shared" si="13"/>
        <v>6</v>
      </c>
      <c r="B62" s="163" t="str">
        <f t="shared" si="14"/>
        <v>#NUM!</v>
      </c>
      <c r="C62" s="163">
        <v>6.0</v>
      </c>
      <c r="D62" s="163" t="str">
        <f>IFERROR(__xludf.DUMMYFUNCTION("""COMPUTED_VALUE"""),"Robinson")</f>
        <v>Robinson</v>
      </c>
      <c r="E62" s="163" t="str">
        <f>IFERROR(__xludf.DUMMYFUNCTION("""COMPUTED_VALUE"""),"Bobby")</f>
        <v>Bobby</v>
      </c>
      <c r="F62" s="163" t="str">
        <f>IFERROR(__xludf.DUMMYFUNCTION("""COMPUTED_VALUE"""),"3 - Sat")</f>
        <v>3 - Sat</v>
      </c>
      <c r="G62" s="163"/>
      <c r="H62" s="163"/>
      <c r="I62" s="163"/>
      <c r="J62" s="163" t="str">
        <f>IFERROR(__xludf.DUMMYFUNCTION("""COMPUTED_VALUE"""),"M")</f>
        <v>M</v>
      </c>
      <c r="K62" s="163" t="str">
        <f>IFERROR(__xludf.DUMMYFUNCTION("""COMPUTED_VALUE"""),"E")</f>
        <v>E</v>
      </c>
      <c r="L62" s="163">
        <f>IFERROR(__xludf.DUMMYFUNCTION("""COMPUTED_VALUE"""),82.5)</f>
        <v>82.5</v>
      </c>
      <c r="M62" s="163">
        <f>IFERROR(__xludf.DUMMYFUNCTION("""COMPUTED_VALUE"""),652.5)</f>
        <v>652.5</v>
      </c>
      <c r="N62" s="163"/>
      <c r="O62" s="164">
        <f t="array" ref="O62">INDEX('Best Lifts'!E$1:E$268,MATCH(1,($D62='Best Lifts'!$A:$A)*($E62='Best Lifts'!$B:$B),0))</f>
        <v>210</v>
      </c>
      <c r="P62" s="164">
        <f t="array" ref="P62">INDEX('Best Lifts'!F$1:F$268,MATCH(1,($D62='Best Lifts'!$A:$A)*($E62='Best Lifts'!$B:$B),0))</f>
        <v>147.5</v>
      </c>
      <c r="Q62" s="164">
        <f t="array" ref="Q62">INDEX('Best Lifts'!G$1:G$268,MATCH(1,($D62='Best Lifts'!$A:$A)*($E62='Best Lifts'!$B:$B),0))</f>
        <v>210</v>
      </c>
      <c r="R62" s="164">
        <f t="array" ref="R62">INDEX('Best Lifts'!H$1:H$268,MATCH(1,($D62='Best Lifts'!$A:$A)*($E62='Best Lifts'!$B:$B),0))</f>
        <v>562.5</v>
      </c>
      <c r="S62" s="164">
        <f t="array" ref="S62">INDEX('Best Lifts'!I$1:I175,MATCH(1,($D62='Best Lifts'!$A:$A)*($E62='Best Lifts'!$B:$B),0))</f>
        <v>245</v>
      </c>
      <c r="T62" s="164">
        <f t="array" ref="T62">INDEX('Best Lifts'!J$1:J$268,MATCH(1,($D62='Best Lifts'!$A:$A)*($E62='Best Lifts'!$B:$B),0))</f>
        <v>185</v>
      </c>
      <c r="U62" s="164">
        <f t="array" ref="U62">INDEX('Best Lifts'!K$1:K$268,MATCH(1,($D62='Best Lifts'!$A:$A)*($E62='Best Lifts'!$B:$B),0))</f>
        <v>225</v>
      </c>
      <c r="V62" s="164">
        <f t="array" ref="V62">INDEX('Best Lifts'!L$1:L$268,MATCH(1,($D62='Best Lifts'!$A:$A)*($E62='Best Lifts'!$B:$B),0))</f>
        <v>652.5</v>
      </c>
      <c r="W62" s="164">
        <f t="shared" si="15"/>
        <v>655</v>
      </c>
      <c r="X62" s="164" t="str">
        <f t="array" ref="X62">INDEX('Best Lifts'!M$1:M$258,MATCH(1,($D62='Best Lifts'!$A:$A)*($E62='Best Lifts'!$B:$B),0))</f>
        <v/>
      </c>
    </row>
    <row r="63">
      <c r="A63" s="163">
        <f t="shared" si="13"/>
        <v>7</v>
      </c>
      <c r="B63" s="163" t="str">
        <f t="shared" si="14"/>
        <v>#NUM!</v>
      </c>
      <c r="C63" s="163">
        <v>0.0</v>
      </c>
      <c r="D63" s="163" t="str">
        <f>IFERROR(__xludf.DUMMYFUNCTION("""COMPUTED_VALUE"""),"Felder")</f>
        <v>Felder</v>
      </c>
      <c r="E63" s="163" t="str">
        <f>IFERROR(__xludf.DUMMYFUNCTION("""COMPUTED_VALUE"""),"Dominique")</f>
        <v>Dominique</v>
      </c>
      <c r="F63" s="163" t="str">
        <f>IFERROR(__xludf.DUMMYFUNCTION("""COMPUTED_VALUE"""),"3 - Sat")</f>
        <v>3 - Sat</v>
      </c>
      <c r="G63" s="163"/>
      <c r="H63" s="163"/>
      <c r="I63" s="163"/>
      <c r="J63" s="163" t="str">
        <f>IFERROR(__xludf.DUMMYFUNCTION("""COMPUTED_VALUE"""),"M")</f>
        <v>M</v>
      </c>
      <c r="K63" s="163" t="str">
        <f>IFERROR(__xludf.DUMMYFUNCTION("""COMPUTED_VALUE"""),"E")</f>
        <v>E</v>
      </c>
      <c r="L63" s="163">
        <f>IFERROR(__xludf.DUMMYFUNCTION("""COMPUTED_VALUE"""),82.5)</f>
        <v>82.5</v>
      </c>
      <c r="M63" s="163">
        <f>IFERROR(__xludf.DUMMYFUNCTION("""COMPUTED_VALUE"""),640.0)</f>
        <v>640</v>
      </c>
      <c r="N63" s="163"/>
      <c r="O63" s="164">
        <f t="array" ref="O63">INDEX('Best Lifts'!E$1:E$268,MATCH(1,($D63='Best Lifts'!$A:$A)*($E63='Best Lifts'!$B:$B),0))</f>
        <v>212.5</v>
      </c>
      <c r="P63" s="164">
        <f t="array" ref="P63">INDEX('Best Lifts'!F$1:F$268,MATCH(1,($D63='Best Lifts'!$A:$A)*($E63='Best Lifts'!$B:$B),0))</f>
        <v>122.5</v>
      </c>
      <c r="Q63" s="164">
        <f t="array" ref="Q63">INDEX('Best Lifts'!G$1:G$268,MATCH(1,($D63='Best Lifts'!$A:$A)*($E63='Best Lifts'!$B:$B),0))</f>
        <v>242.5</v>
      </c>
      <c r="R63" s="164">
        <f t="array" ref="R63">INDEX('Best Lifts'!H$1:H$268,MATCH(1,($D63='Best Lifts'!$A:$A)*($E63='Best Lifts'!$B:$B),0))</f>
        <v>577.5</v>
      </c>
      <c r="S63" s="164">
        <f t="array" ref="S63">INDEX('Best Lifts'!I$1:I175,MATCH(1,($D63='Best Lifts'!$A:$A)*($E63='Best Lifts'!$B:$B),0))</f>
        <v>231.3</v>
      </c>
      <c r="T63" s="164">
        <f t="array" ref="T63">INDEX('Best Lifts'!J$1:J$268,MATCH(1,($D63='Best Lifts'!$A:$A)*($E63='Best Lifts'!$B:$B),0))</f>
        <v>136</v>
      </c>
      <c r="U63" s="164">
        <f t="array" ref="U63">INDEX('Best Lifts'!K$1:K$268,MATCH(1,($D63='Best Lifts'!$A:$A)*($E63='Best Lifts'!$B:$B),0))</f>
        <v>275</v>
      </c>
      <c r="V63" s="164">
        <f t="array" ref="V63">INDEX('Best Lifts'!L$1:L$268,MATCH(1,($D63='Best Lifts'!$A:$A)*($E63='Best Lifts'!$B:$B),0))</f>
        <v>640</v>
      </c>
      <c r="W63" s="164">
        <f t="shared" si="15"/>
        <v>642.3</v>
      </c>
      <c r="X63" s="164" t="str">
        <f t="array" ref="X63">INDEX('Best Lifts'!M$1:M$258,MATCH(1,($D63='Best Lifts'!$A:$A)*($E63='Best Lifts'!$B:$B),0))</f>
        <v/>
      </c>
    </row>
    <row r="64">
      <c r="A64" s="163">
        <f t="shared" si="13"/>
        <v>7</v>
      </c>
      <c r="B64" s="163" t="str">
        <f t="shared" si="14"/>
        <v>#NUM!</v>
      </c>
      <c r="C64" s="163">
        <v>0.0</v>
      </c>
      <c r="D64" s="163" t="str">
        <f>IFERROR(__xludf.DUMMYFUNCTION("""COMPUTED_VALUE"""),"Hernandez")</f>
        <v>Hernandez</v>
      </c>
      <c r="E64" s="163" t="str">
        <f>IFERROR(__xludf.DUMMYFUNCTION("""COMPUTED_VALUE"""),"Jose")</f>
        <v>Jose</v>
      </c>
      <c r="F64" s="163" t="str">
        <f>IFERROR(__xludf.DUMMYFUNCTION("""COMPUTED_VALUE"""),"3 - Sat")</f>
        <v>3 - Sat</v>
      </c>
      <c r="G64" s="163"/>
      <c r="H64" s="163"/>
      <c r="I64" s="163"/>
      <c r="J64" s="163" t="str">
        <f>IFERROR(__xludf.DUMMYFUNCTION("""COMPUTED_VALUE"""),"M")</f>
        <v>M</v>
      </c>
      <c r="K64" s="163" t="str">
        <f>IFERROR(__xludf.DUMMYFUNCTION("""COMPUTED_VALUE"""),"E")</f>
        <v>E</v>
      </c>
      <c r="L64" s="163">
        <f>IFERROR(__xludf.DUMMYFUNCTION("""COMPUTED_VALUE"""),82.5)</f>
        <v>82.5</v>
      </c>
      <c r="M64" s="163">
        <f>IFERROR(__xludf.DUMMYFUNCTION("""COMPUTED_VALUE"""),640.0)</f>
        <v>640</v>
      </c>
      <c r="N64" s="163"/>
      <c r="O64" s="164" t="str">
        <f t="array" ref="O64">INDEX('Best Lifts'!E$1:E$268,MATCH(1,($D64='Best Lifts'!$A:$A)*($E64='Best Lifts'!$B:$B),0))</f>
        <v>#N/A</v>
      </c>
      <c r="P64" s="164" t="str">
        <f t="array" ref="P64">INDEX('Best Lifts'!F$1:F$268,MATCH(1,($D64='Best Lifts'!$A:$A)*($E64='Best Lifts'!$B:$B),0))</f>
        <v/>
      </c>
      <c r="Q64" s="164" t="str">
        <f t="array" ref="Q64">INDEX('Best Lifts'!G$1:G$268,MATCH(1,($D64='Best Lifts'!$A:$A)*($E64='Best Lifts'!$B:$B),0))</f>
        <v/>
      </c>
      <c r="R64" s="164" t="str">
        <f t="array" ref="R64">INDEX('Best Lifts'!H$1:H$268,MATCH(1,($D64='Best Lifts'!$A:$A)*($E64='Best Lifts'!$B:$B),0))</f>
        <v/>
      </c>
      <c r="S64" s="164" t="str">
        <f t="array" ref="S64">INDEX('Best Lifts'!I$1:I175,MATCH(1,($D64='Best Lifts'!$A:$A)*($E64='Best Lifts'!$B:$B),0))</f>
        <v>#N/A</v>
      </c>
      <c r="T64" s="164" t="str">
        <f t="array" ref="T64">INDEX('Best Lifts'!J$1:J$268,MATCH(1,($D64='Best Lifts'!$A:$A)*($E64='Best Lifts'!$B:$B),0))</f>
        <v/>
      </c>
      <c r="U64" s="164" t="str">
        <f t="array" ref="U64">INDEX('Best Lifts'!K$1:K$268,MATCH(1,($D64='Best Lifts'!$A:$A)*($E64='Best Lifts'!$B:$B),0))</f>
        <v/>
      </c>
      <c r="V64" s="164" t="str">
        <f t="array" ref="V64">INDEX('Best Lifts'!L$1:L$268,MATCH(1,($D64='Best Lifts'!$A:$A)*($E64='Best Lifts'!$B:$B),0))</f>
        <v/>
      </c>
      <c r="W64" s="164">
        <f t="shared" si="15"/>
        <v>0</v>
      </c>
      <c r="X64" s="164" t="str">
        <f t="array" ref="X64">INDEX('Best Lifts'!M$1:M$258,MATCH(1,($D64='Best Lifts'!$A:$A)*($E64='Best Lifts'!$B:$B),0))</f>
        <v/>
      </c>
    </row>
    <row r="65">
      <c r="A65" s="163">
        <f t="shared" si="13"/>
        <v>9</v>
      </c>
      <c r="B65" s="163" t="str">
        <f t="shared" si="14"/>
        <v>#NUM!</v>
      </c>
      <c r="C65" s="163">
        <v>0.0</v>
      </c>
      <c r="D65" s="163" t="str">
        <f>IFERROR(__xludf.DUMMYFUNCTION("""COMPUTED_VALUE"""),"Reyes")</f>
        <v>Reyes</v>
      </c>
      <c r="E65" s="163" t="str">
        <f>IFERROR(__xludf.DUMMYFUNCTION("""COMPUTED_VALUE"""),"Jerry")</f>
        <v>Jerry</v>
      </c>
      <c r="F65" s="163" t="str">
        <f>IFERROR(__xludf.DUMMYFUNCTION("""COMPUTED_VALUE"""),"3 - Sat")</f>
        <v>3 - Sat</v>
      </c>
      <c r="G65" s="163"/>
      <c r="H65" s="163"/>
      <c r="I65" s="163"/>
      <c r="J65" s="163" t="str">
        <f>IFERROR(__xludf.DUMMYFUNCTION("""COMPUTED_VALUE"""),"M")</f>
        <v>M</v>
      </c>
      <c r="K65" s="163" t="str">
        <f>IFERROR(__xludf.DUMMYFUNCTION("""COMPUTED_VALUE"""),"E")</f>
        <v>E</v>
      </c>
      <c r="L65" s="163">
        <f>IFERROR(__xludf.DUMMYFUNCTION("""COMPUTED_VALUE"""),82.5)</f>
        <v>82.5</v>
      </c>
      <c r="M65" s="163">
        <f>IFERROR(__xludf.DUMMYFUNCTION("""COMPUTED_VALUE"""),625.0)</f>
        <v>625</v>
      </c>
      <c r="N65" s="163"/>
      <c r="O65" s="164" t="str">
        <f t="array" ref="O65">INDEX('Best Lifts'!E$1:E$268,MATCH(1,($D65='Best Lifts'!$A:$A)*($E65='Best Lifts'!$B:$B),0))</f>
        <v>#N/A</v>
      </c>
      <c r="P65" s="164" t="str">
        <f t="array" ref="P65">INDEX('Best Lifts'!F$1:F$268,MATCH(1,($D65='Best Lifts'!$A:$A)*($E65='Best Lifts'!$B:$B),0))</f>
        <v/>
      </c>
      <c r="Q65" s="164" t="str">
        <f t="array" ref="Q65">INDEX('Best Lifts'!G$1:G$268,MATCH(1,($D65='Best Lifts'!$A:$A)*($E65='Best Lifts'!$B:$B),0))</f>
        <v/>
      </c>
      <c r="R65" s="164" t="str">
        <f t="array" ref="R65">INDEX('Best Lifts'!H$1:H$268,MATCH(1,($D65='Best Lifts'!$A:$A)*($E65='Best Lifts'!$B:$B),0))</f>
        <v/>
      </c>
      <c r="S65" s="164">
        <f t="array" ref="S65">INDEX('Best Lifts'!I$1:I175,MATCH(1,($D65='Best Lifts'!$A:$A)*($E65='Best Lifts'!$B:$B),0))</f>
        <v>265.3</v>
      </c>
      <c r="T65" s="164">
        <f t="array" ref="T65">INDEX('Best Lifts'!J$1:J$268,MATCH(1,($D65='Best Lifts'!$A:$A)*($E65='Best Lifts'!$B:$B),0))</f>
        <v>183.7</v>
      </c>
      <c r="U65" s="164">
        <f t="array" ref="U65">INDEX('Best Lifts'!K$1:K$268,MATCH(1,($D65='Best Lifts'!$A:$A)*($E65='Best Lifts'!$B:$B),0))</f>
        <v>232.5</v>
      </c>
      <c r="V65" s="164">
        <f t="array" ref="V65">INDEX('Best Lifts'!L$1:L$268,MATCH(1,($D65='Best Lifts'!$A:$A)*($E65='Best Lifts'!$B:$B),0))</f>
        <v>635</v>
      </c>
      <c r="W65" s="164">
        <f t="shared" si="15"/>
        <v>681.5</v>
      </c>
      <c r="X65" s="164" t="str">
        <f t="array" ref="X65">INDEX('Best Lifts'!M$1:M$258,MATCH(1,($D65='Best Lifts'!$A:$A)*($E65='Best Lifts'!$B:$B),0))</f>
        <v/>
      </c>
    </row>
    <row r="66">
      <c r="A66" s="163">
        <f t="shared" si="13"/>
        <v>10</v>
      </c>
      <c r="B66" s="163" t="str">
        <f t="shared" si="14"/>
        <v>#NUM!</v>
      </c>
      <c r="C66" s="163">
        <v>8.0</v>
      </c>
      <c r="D66" s="163" t="str">
        <f>IFERROR(__xludf.DUMMYFUNCTION("""COMPUTED_VALUE"""),"Cabrera")</f>
        <v>Cabrera</v>
      </c>
      <c r="E66" s="163" t="str">
        <f>IFERROR(__xludf.DUMMYFUNCTION("""COMPUTED_VALUE"""),"Aiden")</f>
        <v>Aiden</v>
      </c>
      <c r="F66" s="163" t="str">
        <f>IFERROR(__xludf.DUMMYFUNCTION("""COMPUTED_VALUE"""),"3 - Sat")</f>
        <v>3 - Sat</v>
      </c>
      <c r="G66" s="163"/>
      <c r="H66" s="163"/>
      <c r="I66" s="163"/>
      <c r="J66" s="163" t="str">
        <f>IFERROR(__xludf.DUMMYFUNCTION("""COMPUTED_VALUE"""),"M")</f>
        <v>M</v>
      </c>
      <c r="K66" s="163" t="str">
        <f>IFERROR(__xludf.DUMMYFUNCTION("""COMPUTED_VALUE"""),"E")</f>
        <v>E</v>
      </c>
      <c r="L66" s="163">
        <f>IFERROR(__xludf.DUMMYFUNCTION("""COMPUTED_VALUE"""),82.5)</f>
        <v>82.5</v>
      </c>
      <c r="M66" s="163">
        <f>IFERROR(__xludf.DUMMYFUNCTION("""COMPUTED_VALUE"""),615.0)</f>
        <v>615</v>
      </c>
      <c r="N66" s="163"/>
      <c r="O66" s="164">
        <f t="array" ref="O66">INDEX('Best Lifts'!E$1:E$268,MATCH(1,($D66='Best Lifts'!$A:$A)*($E66='Best Lifts'!$B:$B),0))</f>
        <v>225</v>
      </c>
      <c r="P66" s="164">
        <f t="array" ref="P66">INDEX('Best Lifts'!F$1:F$268,MATCH(1,($D66='Best Lifts'!$A:$A)*($E66='Best Lifts'!$B:$B),0))</f>
        <v>120</v>
      </c>
      <c r="Q66" s="164">
        <f t="array" ref="Q66">INDEX('Best Lifts'!G$1:G$268,MATCH(1,($D66='Best Lifts'!$A:$A)*($E66='Best Lifts'!$B:$B),0))</f>
        <v>257.5</v>
      </c>
      <c r="R66" s="164">
        <f t="array" ref="R66">INDEX('Best Lifts'!H$1:H$268,MATCH(1,($D66='Best Lifts'!$A:$A)*($E66='Best Lifts'!$B:$B),0))</f>
        <v>600</v>
      </c>
      <c r="S66" s="164">
        <f t="array" ref="S66">INDEX('Best Lifts'!I$1:I175,MATCH(1,($D66='Best Lifts'!$A:$A)*($E66='Best Lifts'!$B:$B),0))</f>
        <v>255</v>
      </c>
      <c r="T66" s="164">
        <f t="array" ref="T66">INDEX('Best Lifts'!J$1:J$268,MATCH(1,($D66='Best Lifts'!$A:$A)*($E66='Best Lifts'!$B:$B),0))</f>
        <v>112.5</v>
      </c>
      <c r="U66" s="164">
        <f t="array" ref="U66">INDEX('Best Lifts'!K$1:K$268,MATCH(1,($D66='Best Lifts'!$A:$A)*($E66='Best Lifts'!$B:$B),0))</f>
        <v>247.5</v>
      </c>
      <c r="V66" s="164">
        <f t="array" ref="V66">INDEX('Best Lifts'!L$1:L$268,MATCH(1,($D66='Best Lifts'!$A:$A)*($E66='Best Lifts'!$B:$B),0))</f>
        <v>615</v>
      </c>
      <c r="W66" s="164">
        <f t="shared" si="15"/>
        <v>615</v>
      </c>
      <c r="X66" s="164" t="str">
        <f t="array" ref="X66">INDEX('Best Lifts'!M$1:M$258,MATCH(1,($D66='Best Lifts'!$A:$A)*($E66='Best Lifts'!$B:$B),0))</f>
        <v/>
      </c>
    </row>
    <row r="67">
      <c r="A67" s="163">
        <f t="shared" si="13"/>
        <v>11</v>
      </c>
      <c r="B67" s="163" t="str">
        <f t="shared" si="14"/>
        <v>#NUM!</v>
      </c>
      <c r="C67" s="163">
        <v>2.0</v>
      </c>
      <c r="D67" s="163" t="str">
        <f>IFERROR(__xludf.DUMMYFUNCTION("""COMPUTED_VALUE"""),"Chavarria")</f>
        <v>Chavarria</v>
      </c>
      <c r="E67" s="163" t="str">
        <f>IFERROR(__xludf.DUMMYFUNCTION("""COMPUTED_VALUE"""),"Xavier")</f>
        <v>Xavier</v>
      </c>
      <c r="F67" s="163" t="str">
        <f>IFERROR(__xludf.DUMMYFUNCTION("""COMPUTED_VALUE"""),"3 - Sat")</f>
        <v>3 - Sat</v>
      </c>
      <c r="G67" s="163"/>
      <c r="H67" s="163"/>
      <c r="I67" s="163"/>
      <c r="J67" s="163" t="str">
        <f>IFERROR(__xludf.DUMMYFUNCTION("""COMPUTED_VALUE"""),"M")</f>
        <v>M</v>
      </c>
      <c r="K67" s="163" t="str">
        <f>IFERROR(__xludf.DUMMYFUNCTION("""COMPUTED_VALUE"""),"E")</f>
        <v>E</v>
      </c>
      <c r="L67" s="163">
        <f>IFERROR(__xludf.DUMMYFUNCTION("""COMPUTED_VALUE"""),82.5)</f>
        <v>82.5</v>
      </c>
      <c r="M67" s="163">
        <f>IFERROR(__xludf.DUMMYFUNCTION("""COMPUTED_VALUE"""),612.5)</f>
        <v>612.5</v>
      </c>
      <c r="N67" s="163"/>
      <c r="O67" s="164">
        <f t="array" ref="O67">INDEX('Best Lifts'!E$1:E$268,MATCH(1,($D67='Best Lifts'!$A:$A)*($E67='Best Lifts'!$B:$B),0))</f>
        <v>235</v>
      </c>
      <c r="P67" s="164">
        <f t="array" ref="P67">INDEX('Best Lifts'!F$1:F$268,MATCH(1,($D67='Best Lifts'!$A:$A)*($E67='Best Lifts'!$B:$B),0))</f>
        <v>150</v>
      </c>
      <c r="Q67" s="164">
        <f t="array" ref="Q67">INDEX('Best Lifts'!G$1:G$268,MATCH(1,($D67='Best Lifts'!$A:$A)*($E67='Best Lifts'!$B:$B),0))</f>
        <v>227.5</v>
      </c>
      <c r="R67" s="164">
        <f t="array" ref="R67">INDEX('Best Lifts'!H$1:H$268,MATCH(1,($D67='Best Lifts'!$A:$A)*($E67='Best Lifts'!$B:$B),0))</f>
        <v>612.5</v>
      </c>
      <c r="S67" s="164">
        <f t="array" ref="S67">INDEX('Best Lifts'!I$1:I175,MATCH(1,($D67='Best Lifts'!$A:$A)*($E67='Best Lifts'!$B:$B),0))</f>
        <v>232.5</v>
      </c>
      <c r="T67" s="164">
        <f t="array" ref="T67">INDEX('Best Lifts'!J$1:J$268,MATCH(1,($D67='Best Lifts'!$A:$A)*($E67='Best Lifts'!$B:$B),0))</f>
        <v>155</v>
      </c>
      <c r="U67" s="164">
        <f t="array" ref="U67">INDEX('Best Lifts'!K$1:K$268,MATCH(1,($D67='Best Lifts'!$A:$A)*($E67='Best Lifts'!$B:$B),0))</f>
        <v>215</v>
      </c>
      <c r="V67" s="164">
        <f t="array" ref="V67">INDEX('Best Lifts'!L$1:L$268,MATCH(1,($D67='Best Lifts'!$A:$A)*($E67='Best Lifts'!$B:$B),0))</f>
        <v>602.5</v>
      </c>
      <c r="W67" s="164">
        <f t="shared" si="15"/>
        <v>602.5</v>
      </c>
      <c r="X67" s="164" t="str">
        <f t="array" ref="X67">INDEX('Best Lifts'!M$1:M$258,MATCH(1,($D67='Best Lifts'!$A:$A)*($E67='Best Lifts'!$B:$B),0))</f>
        <v/>
      </c>
    </row>
    <row r="68">
      <c r="A68" s="163">
        <f t="shared" si="13"/>
        <v>11</v>
      </c>
      <c r="B68" s="163" t="str">
        <f t="shared" si="14"/>
        <v>#NUM!</v>
      </c>
      <c r="C68" s="163">
        <v>0.0</v>
      </c>
      <c r="D68" s="163" t="str">
        <f>IFERROR(__xludf.DUMMYFUNCTION("""COMPUTED_VALUE"""),"Syllah")</f>
        <v>Syllah</v>
      </c>
      <c r="E68" s="163" t="str">
        <f>IFERROR(__xludf.DUMMYFUNCTION("""COMPUTED_VALUE"""),"Edgard")</f>
        <v>Edgard</v>
      </c>
      <c r="F68" s="163" t="str">
        <f>IFERROR(__xludf.DUMMYFUNCTION("""COMPUTED_VALUE"""),"3 - Sat")</f>
        <v>3 - Sat</v>
      </c>
      <c r="G68" s="163"/>
      <c r="H68" s="163"/>
      <c r="I68" s="163"/>
      <c r="J68" s="163" t="str">
        <f>IFERROR(__xludf.DUMMYFUNCTION("""COMPUTED_VALUE"""),"M")</f>
        <v>M</v>
      </c>
      <c r="K68" s="163" t="str">
        <f>IFERROR(__xludf.DUMMYFUNCTION("""COMPUTED_VALUE"""),"E")</f>
        <v>E</v>
      </c>
      <c r="L68" s="163">
        <f>IFERROR(__xludf.DUMMYFUNCTION("""COMPUTED_VALUE"""),82.5)</f>
        <v>82.5</v>
      </c>
      <c r="M68" s="163">
        <f>IFERROR(__xludf.DUMMYFUNCTION("""COMPUTED_VALUE"""),612.5)</f>
        <v>612.5</v>
      </c>
      <c r="N68" s="163"/>
      <c r="O68" s="164">
        <f t="array" ref="O68">INDEX('Best Lifts'!E$1:E$268,MATCH(1,($D68='Best Lifts'!$A:$A)*($E68='Best Lifts'!$B:$B),0))</f>
        <v>215</v>
      </c>
      <c r="P68" s="164">
        <f t="array" ref="P68">INDEX('Best Lifts'!F$1:F$268,MATCH(1,($D68='Best Lifts'!$A:$A)*($E68='Best Lifts'!$B:$B),0))</f>
        <v>132.5</v>
      </c>
      <c r="Q68" s="164">
        <f t="array" ref="Q68">INDEX('Best Lifts'!G$1:G$268,MATCH(1,($D68='Best Lifts'!$A:$A)*($E68='Best Lifts'!$B:$B),0))</f>
        <v>265</v>
      </c>
      <c r="R68" s="164">
        <f t="array" ref="R68">INDEX('Best Lifts'!H$1:H$268,MATCH(1,($D68='Best Lifts'!$A:$A)*($E68='Best Lifts'!$B:$B),0))</f>
        <v>612.5</v>
      </c>
      <c r="S68" s="164" t="str">
        <f t="array" ref="S68">INDEX('Best Lifts'!I$1:I175,MATCH(1,($D68='Best Lifts'!$A:$A)*($E68='Best Lifts'!$B:$B),0))</f>
        <v>#N/A</v>
      </c>
      <c r="T68" s="164" t="str">
        <f t="array" ref="T68">INDEX('Best Lifts'!J$1:J$268,MATCH(1,($D68='Best Lifts'!$A:$A)*($E68='Best Lifts'!$B:$B),0))</f>
        <v/>
      </c>
      <c r="U68" s="164" t="str">
        <f t="array" ref="U68">INDEX('Best Lifts'!K$1:K$268,MATCH(1,($D68='Best Lifts'!$A:$A)*($E68='Best Lifts'!$B:$B),0))</f>
        <v/>
      </c>
      <c r="V68" s="164" t="str">
        <f t="array" ref="V68">INDEX('Best Lifts'!L$1:L$268,MATCH(1,($D68='Best Lifts'!$A:$A)*($E68='Best Lifts'!$B:$B),0))</f>
        <v/>
      </c>
      <c r="W68" s="164">
        <f t="shared" si="15"/>
        <v>0</v>
      </c>
      <c r="X68" s="164" t="str">
        <f t="array" ref="X68">INDEX('Best Lifts'!M$1:M$258,MATCH(1,($D68='Best Lifts'!$A:$A)*($E68='Best Lifts'!$B:$B),0))</f>
        <v/>
      </c>
    </row>
    <row r="69">
      <c r="A69" s="163">
        <f t="shared" si="13"/>
        <v>13</v>
      </c>
      <c r="B69" s="163" t="str">
        <f t="shared" si="14"/>
        <v>#NUM!</v>
      </c>
      <c r="C69" s="163">
        <v>0.0</v>
      </c>
      <c r="D69" s="163" t="str">
        <f>IFERROR(__xludf.DUMMYFUNCTION("""COMPUTED_VALUE"""),"Richard")</f>
        <v>Richard</v>
      </c>
      <c r="E69" s="163" t="str">
        <f>IFERROR(__xludf.DUMMYFUNCTION("""COMPUTED_VALUE"""),"Kashami")</f>
        <v>Kashami</v>
      </c>
      <c r="F69" s="163" t="str">
        <f>IFERROR(__xludf.DUMMYFUNCTION("""COMPUTED_VALUE"""),"3 - Sat")</f>
        <v>3 - Sat</v>
      </c>
      <c r="G69" s="163"/>
      <c r="H69" s="163"/>
      <c r="I69" s="163"/>
      <c r="J69" s="163" t="str">
        <f>IFERROR(__xludf.DUMMYFUNCTION("""COMPUTED_VALUE"""),"M")</f>
        <v>M</v>
      </c>
      <c r="K69" s="163" t="str">
        <f>IFERROR(__xludf.DUMMYFUNCTION("""COMPUTED_VALUE"""),"E")</f>
        <v>E</v>
      </c>
      <c r="L69" s="163">
        <f>IFERROR(__xludf.DUMMYFUNCTION("""COMPUTED_VALUE"""),82.5)</f>
        <v>82.5</v>
      </c>
      <c r="M69" s="163">
        <f>IFERROR(__xludf.DUMMYFUNCTION("""COMPUTED_VALUE"""),607.5)</f>
        <v>607.5</v>
      </c>
      <c r="N69" s="163"/>
      <c r="O69" s="164">
        <f t="array" ref="O69">INDEX('Best Lifts'!E$1:E$268,MATCH(1,($D69='Best Lifts'!$A:$A)*($E69='Best Lifts'!$B:$B),0))</f>
        <v>220</v>
      </c>
      <c r="P69" s="164">
        <f t="array" ref="P69">INDEX('Best Lifts'!F$1:F$268,MATCH(1,($D69='Best Lifts'!$A:$A)*($E69='Best Lifts'!$B:$B),0))</f>
        <v>135</v>
      </c>
      <c r="Q69" s="164">
        <f t="array" ref="Q69">INDEX('Best Lifts'!G$1:G$268,MATCH(1,($D69='Best Lifts'!$A:$A)*($E69='Best Lifts'!$B:$B),0))</f>
        <v>240</v>
      </c>
      <c r="R69" s="164">
        <f t="array" ref="R69">INDEX('Best Lifts'!H$1:H$268,MATCH(1,($D69='Best Lifts'!$A:$A)*($E69='Best Lifts'!$B:$B),0))</f>
        <v>587.5</v>
      </c>
      <c r="S69" s="164">
        <f t="array" ref="S69">INDEX('Best Lifts'!I$1:I175,MATCH(1,($D69='Best Lifts'!$A:$A)*($E69='Best Lifts'!$B:$B),0))</f>
        <v>225</v>
      </c>
      <c r="T69" s="164">
        <f t="array" ref="T69">INDEX('Best Lifts'!J$1:J$268,MATCH(1,($D69='Best Lifts'!$A:$A)*($E69='Best Lifts'!$B:$B),0))</f>
        <v>167.5</v>
      </c>
      <c r="U69" s="164">
        <f t="array" ref="U69">INDEX('Best Lifts'!K$1:K$268,MATCH(1,($D69='Best Lifts'!$A:$A)*($E69='Best Lifts'!$B:$B),0))</f>
        <v>215</v>
      </c>
      <c r="V69" s="164">
        <f t="array" ref="V69">INDEX('Best Lifts'!L$1:L$268,MATCH(1,($D69='Best Lifts'!$A:$A)*($E69='Best Lifts'!$B:$B),0))</f>
        <v>607.5</v>
      </c>
      <c r="W69" s="164">
        <f t="shared" si="15"/>
        <v>607.5</v>
      </c>
      <c r="X69" s="164" t="str">
        <f t="array" ref="X69">INDEX('Best Lifts'!M$1:M$258,MATCH(1,($D69='Best Lifts'!$A:$A)*($E69='Best Lifts'!$B:$B),0))</f>
        <v/>
      </c>
    </row>
    <row r="70">
      <c r="A70" s="163">
        <f t="shared" si="13"/>
        <v>14</v>
      </c>
      <c r="B70" s="163" t="str">
        <f t="shared" si="14"/>
        <v>#NUM!</v>
      </c>
      <c r="C70" s="163">
        <v>10.0</v>
      </c>
      <c r="D70" s="163" t="str">
        <f>IFERROR(__xludf.DUMMYFUNCTION("""COMPUTED_VALUE"""),"Trejo")</f>
        <v>Trejo</v>
      </c>
      <c r="E70" s="163" t="str">
        <f>IFERROR(__xludf.DUMMYFUNCTION("""COMPUTED_VALUE"""),"Jose")</f>
        <v>Jose</v>
      </c>
      <c r="F70" s="163" t="str">
        <f>IFERROR(__xludf.DUMMYFUNCTION("""COMPUTED_VALUE"""),"3 - Sat")</f>
        <v>3 - Sat</v>
      </c>
      <c r="G70" s="163"/>
      <c r="H70" s="163"/>
      <c r="I70" s="163"/>
      <c r="J70" s="163" t="str">
        <f>IFERROR(__xludf.DUMMYFUNCTION("""COMPUTED_VALUE"""),"M")</f>
        <v>M</v>
      </c>
      <c r="K70" s="163" t="str">
        <f>IFERROR(__xludf.DUMMYFUNCTION("""COMPUTED_VALUE"""),"E")</f>
        <v>E</v>
      </c>
      <c r="L70" s="163">
        <f>IFERROR(__xludf.DUMMYFUNCTION("""COMPUTED_VALUE"""),82.5)</f>
        <v>82.5</v>
      </c>
      <c r="M70" s="163">
        <f>IFERROR(__xludf.DUMMYFUNCTION("""COMPUTED_VALUE"""),592.5)</f>
        <v>592.5</v>
      </c>
      <c r="N70" s="163"/>
      <c r="O70" s="164">
        <f t="array" ref="O70">INDEX('Best Lifts'!E$1:E$268,MATCH(1,($D70='Best Lifts'!$A:$A)*($E70='Best Lifts'!$B:$B),0))</f>
        <v>195</v>
      </c>
      <c r="P70" s="164">
        <f t="array" ref="P70">INDEX('Best Lifts'!F$1:F$268,MATCH(1,($D70='Best Lifts'!$A:$A)*($E70='Best Lifts'!$B:$B),0))</f>
        <v>115</v>
      </c>
      <c r="Q70" s="164">
        <f t="array" ref="Q70">INDEX('Best Lifts'!G$1:G$268,MATCH(1,($D70='Best Lifts'!$A:$A)*($E70='Best Lifts'!$B:$B),0))</f>
        <v>215</v>
      </c>
      <c r="R70" s="164">
        <f t="array" ref="R70">INDEX('Best Lifts'!H$1:H$268,MATCH(1,($D70='Best Lifts'!$A:$A)*($E70='Best Lifts'!$B:$B),0))</f>
        <v>517.5</v>
      </c>
      <c r="S70" s="164">
        <f t="array" ref="S70">INDEX('Best Lifts'!I$1:I175,MATCH(1,($D70='Best Lifts'!$A:$A)*($E70='Best Lifts'!$B:$B),0))</f>
        <v>237.5</v>
      </c>
      <c r="T70" s="164">
        <f t="array" ref="T70">INDEX('Best Lifts'!J$1:J$268,MATCH(1,($D70='Best Lifts'!$A:$A)*($E70='Best Lifts'!$B:$B),0))</f>
        <v>300.5</v>
      </c>
      <c r="U70" s="164">
        <f t="array" ref="U70">INDEX('Best Lifts'!K$1:K$268,MATCH(1,($D70='Best Lifts'!$A:$A)*($E70='Best Lifts'!$B:$B),0))</f>
        <v>237.5</v>
      </c>
      <c r="V70" s="164">
        <f t="array" ref="V70">INDEX('Best Lifts'!L$1:L$268,MATCH(1,($D70='Best Lifts'!$A:$A)*($E70='Best Lifts'!$B:$B),0))</f>
        <v>592.5</v>
      </c>
      <c r="W70" s="164">
        <f t="shared" si="15"/>
        <v>775.5</v>
      </c>
      <c r="X70" s="164" t="str">
        <f t="array" ref="X70">INDEX('Best Lifts'!M$1:M$258,MATCH(1,($D70='Best Lifts'!$A:$A)*($E70='Best Lifts'!$B:$B),0))</f>
        <v/>
      </c>
    </row>
    <row r="71">
      <c r="A71" s="163">
        <f t="shared" si="13"/>
        <v>15</v>
      </c>
      <c r="B71" s="163" t="str">
        <f t="shared" si="14"/>
        <v>#NUM!</v>
      </c>
      <c r="C71" s="163">
        <v>5.0</v>
      </c>
      <c r="D71" s="163" t="str">
        <f>IFERROR(__xludf.DUMMYFUNCTION("""COMPUTED_VALUE"""),"Zuccarello")</f>
        <v>Zuccarello</v>
      </c>
      <c r="E71" s="163" t="str">
        <f>IFERROR(__xludf.DUMMYFUNCTION("""COMPUTED_VALUE"""),"Thomas")</f>
        <v>Thomas</v>
      </c>
      <c r="F71" s="163" t="str">
        <f>IFERROR(__xludf.DUMMYFUNCTION("""COMPUTED_VALUE"""),"3 - Sat")</f>
        <v>3 - Sat</v>
      </c>
      <c r="G71" s="163"/>
      <c r="H71" s="163"/>
      <c r="I71" s="163"/>
      <c r="J71" s="163" t="str">
        <f>IFERROR(__xludf.DUMMYFUNCTION("""COMPUTED_VALUE"""),"M")</f>
        <v>M</v>
      </c>
      <c r="K71" s="163" t="str">
        <f>IFERROR(__xludf.DUMMYFUNCTION("""COMPUTED_VALUE"""),"E")</f>
        <v>E</v>
      </c>
      <c r="L71" s="163">
        <f>IFERROR(__xludf.DUMMYFUNCTION("""COMPUTED_VALUE"""),82.5)</f>
        <v>82.5</v>
      </c>
      <c r="M71" s="163">
        <f>IFERROR(__xludf.DUMMYFUNCTION("""COMPUTED_VALUE"""),582.5)</f>
        <v>582.5</v>
      </c>
      <c r="N71" s="163"/>
      <c r="O71" s="164">
        <f t="array" ref="O71">INDEX('Best Lifts'!E$1:E$268,MATCH(1,($D71='Best Lifts'!$A:$A)*($E71='Best Lifts'!$B:$B),0))</f>
        <v>212.5</v>
      </c>
      <c r="P71" s="164">
        <f t="array" ref="P71">INDEX('Best Lifts'!F$1:F$268,MATCH(1,($D71='Best Lifts'!$A:$A)*($E71='Best Lifts'!$B:$B),0))</f>
        <v>152.5</v>
      </c>
      <c r="Q71" s="164">
        <f t="array" ref="Q71">INDEX('Best Lifts'!G$1:G$268,MATCH(1,($D71='Best Lifts'!$A:$A)*($E71='Best Lifts'!$B:$B),0))</f>
        <v>217.5</v>
      </c>
      <c r="R71" s="164">
        <f t="array" ref="R71">INDEX('Best Lifts'!H$1:H$268,MATCH(1,($D71='Best Lifts'!$A:$A)*($E71='Best Lifts'!$B:$B),0))</f>
        <v>582.5</v>
      </c>
      <c r="S71" s="164" t="str">
        <f t="array" ref="S71">INDEX('Best Lifts'!I$1:I175,MATCH(1,($D71='Best Lifts'!$A:$A)*($E71='Best Lifts'!$B:$B),0))</f>
        <v>#N/A</v>
      </c>
      <c r="T71" s="164" t="str">
        <f t="array" ref="T71">INDEX('Best Lifts'!J$1:J$268,MATCH(1,($D71='Best Lifts'!$A:$A)*($E71='Best Lifts'!$B:$B),0))</f>
        <v/>
      </c>
      <c r="U71" s="164" t="str">
        <f t="array" ref="U71">INDEX('Best Lifts'!K$1:K$268,MATCH(1,($D71='Best Lifts'!$A:$A)*($E71='Best Lifts'!$B:$B),0))</f>
        <v/>
      </c>
      <c r="V71" s="164" t="str">
        <f t="array" ref="V71">INDEX('Best Lifts'!L$1:L$268,MATCH(1,($D71='Best Lifts'!$A:$A)*($E71='Best Lifts'!$B:$B),0))</f>
        <v/>
      </c>
      <c r="W71" s="164">
        <f t="shared" si="15"/>
        <v>0</v>
      </c>
      <c r="X71" s="164" t="str">
        <f t="array" ref="X71">INDEX('Best Lifts'!M$1:M$258,MATCH(1,($D71='Best Lifts'!$A:$A)*($E71='Best Lifts'!$B:$B),0))</f>
        <v/>
      </c>
    </row>
    <row r="72">
      <c r="A72" s="163">
        <f t="shared" si="13"/>
        <v>16</v>
      </c>
      <c r="B72" s="163" t="str">
        <f t="shared" si="14"/>
        <v>#NUM!</v>
      </c>
      <c r="C72" s="163">
        <v>0.0</v>
      </c>
      <c r="D72" s="163" t="str">
        <f>IFERROR(__xludf.DUMMYFUNCTION("""COMPUTED_VALUE"""),"Garrett")</f>
        <v>Garrett</v>
      </c>
      <c r="E72" s="163" t="str">
        <f>IFERROR(__xludf.DUMMYFUNCTION("""COMPUTED_VALUE"""),"Elijah")</f>
        <v>Elijah</v>
      </c>
      <c r="F72" s="163" t="str">
        <f>IFERROR(__xludf.DUMMYFUNCTION("""COMPUTED_VALUE"""),"3 - Sat")</f>
        <v>3 - Sat</v>
      </c>
      <c r="G72" s="163"/>
      <c r="H72" s="163"/>
      <c r="I72" s="163"/>
      <c r="J72" s="163" t="str">
        <f>IFERROR(__xludf.DUMMYFUNCTION("""COMPUTED_VALUE"""),"M")</f>
        <v>M</v>
      </c>
      <c r="K72" s="163" t="str">
        <f>IFERROR(__xludf.DUMMYFUNCTION("""COMPUTED_VALUE"""),"E")</f>
        <v>E</v>
      </c>
      <c r="L72" s="163">
        <f>IFERROR(__xludf.DUMMYFUNCTION("""COMPUTED_VALUE"""),82.5)</f>
        <v>82.5</v>
      </c>
      <c r="M72" s="163">
        <f>IFERROR(__xludf.DUMMYFUNCTION("""COMPUTED_VALUE"""),562.5)</f>
        <v>562.5</v>
      </c>
      <c r="N72" s="163"/>
      <c r="O72" s="164">
        <f t="array" ref="O72">INDEX('Best Lifts'!E$1:E$268,MATCH(1,($D72='Best Lifts'!$A:$A)*($E72='Best Lifts'!$B:$B),0))</f>
        <v>150</v>
      </c>
      <c r="P72" s="164">
        <f t="array" ref="P72">INDEX('Best Lifts'!F$1:F$268,MATCH(1,($D72='Best Lifts'!$A:$A)*($E72='Best Lifts'!$B:$B),0))</f>
        <v>105</v>
      </c>
      <c r="Q72" s="164">
        <f t="array" ref="Q72">INDEX('Best Lifts'!G$1:G$268,MATCH(1,($D72='Best Lifts'!$A:$A)*($E72='Best Lifts'!$B:$B),0))</f>
        <v>182.5</v>
      </c>
      <c r="R72" s="164">
        <f t="array" ref="R72">INDEX('Best Lifts'!H$1:H$268,MATCH(1,($D72='Best Lifts'!$A:$A)*($E72='Best Lifts'!$B:$B),0))</f>
        <v>437.5</v>
      </c>
      <c r="S72" s="164">
        <f t="array" ref="S72">INDEX('Best Lifts'!I$1:I175,MATCH(1,($D72='Best Lifts'!$A:$A)*($E72='Best Lifts'!$B:$B),0))</f>
        <v>215</v>
      </c>
      <c r="T72" s="164">
        <f t="array" ref="T72">INDEX('Best Lifts'!J$1:J$268,MATCH(1,($D72='Best Lifts'!$A:$A)*($E72='Best Lifts'!$B:$B),0))</f>
        <v>137.5</v>
      </c>
      <c r="U72" s="164">
        <f t="array" ref="U72">INDEX('Best Lifts'!K$1:K$268,MATCH(1,($D72='Best Lifts'!$A:$A)*($E72='Best Lifts'!$B:$B),0))</f>
        <v>210</v>
      </c>
      <c r="V72" s="164">
        <f t="array" ref="V72">INDEX('Best Lifts'!L$1:L$268,MATCH(1,($D72='Best Lifts'!$A:$A)*($E72='Best Lifts'!$B:$B),0))</f>
        <v>562.5</v>
      </c>
      <c r="W72" s="164">
        <f t="shared" si="15"/>
        <v>562.5</v>
      </c>
      <c r="X72" s="164" t="str">
        <f t="array" ref="X72">INDEX('Best Lifts'!M$1:M$258,MATCH(1,($D72='Best Lifts'!$A:$A)*($E72='Best Lifts'!$B:$B),0))</f>
        <v/>
      </c>
    </row>
    <row r="73">
      <c r="A73" s="163">
        <f t="shared" si="13"/>
        <v>17</v>
      </c>
      <c r="B73" s="163" t="str">
        <f t="shared" si="14"/>
        <v>#NUM!</v>
      </c>
      <c r="C73" s="163">
        <v>15.0</v>
      </c>
      <c r="D73" s="163" t="str">
        <f>IFERROR(__xludf.DUMMYFUNCTION("""COMPUTED_VALUE"""),"Juarez")</f>
        <v>Juarez</v>
      </c>
      <c r="E73" s="163" t="str">
        <f>IFERROR(__xludf.DUMMYFUNCTION("""COMPUTED_VALUE"""),"Oliver")</f>
        <v>Oliver</v>
      </c>
      <c r="F73" s="163" t="str">
        <f>IFERROR(__xludf.DUMMYFUNCTION("""COMPUTED_VALUE"""),"3 - Sat")</f>
        <v>3 - Sat</v>
      </c>
      <c r="G73" s="163"/>
      <c r="H73" s="163"/>
      <c r="I73" s="163"/>
      <c r="J73" s="163" t="str">
        <f>IFERROR(__xludf.DUMMYFUNCTION("""COMPUTED_VALUE"""),"M")</f>
        <v>M</v>
      </c>
      <c r="K73" s="163" t="str">
        <f>IFERROR(__xludf.DUMMYFUNCTION("""COMPUTED_VALUE"""),"E")</f>
        <v>E</v>
      </c>
      <c r="L73" s="163">
        <f>IFERROR(__xludf.DUMMYFUNCTION("""COMPUTED_VALUE"""),82.5)</f>
        <v>82.5</v>
      </c>
      <c r="M73" s="163">
        <f>IFERROR(__xludf.DUMMYFUNCTION("""COMPUTED_VALUE"""),530.0)</f>
        <v>530</v>
      </c>
      <c r="N73" s="163"/>
      <c r="O73" s="164">
        <f t="array" ref="O73">INDEX('Best Lifts'!E$1:E$268,MATCH(1,($D73='Best Lifts'!$A:$A)*($E73='Best Lifts'!$B:$B),0))</f>
        <v>195</v>
      </c>
      <c r="P73" s="164">
        <f t="array" ref="P73">INDEX('Best Lifts'!F$1:F$268,MATCH(1,($D73='Best Lifts'!$A:$A)*($E73='Best Lifts'!$B:$B),0))</f>
        <v>112.5</v>
      </c>
      <c r="Q73" s="164">
        <f t="array" ref="Q73">INDEX('Best Lifts'!G$1:G$268,MATCH(1,($D73='Best Lifts'!$A:$A)*($E73='Best Lifts'!$B:$B),0))</f>
        <v>222.5</v>
      </c>
      <c r="R73" s="164">
        <f t="array" ref="R73">INDEX('Best Lifts'!H$1:H$268,MATCH(1,($D73='Best Lifts'!$A:$A)*($E73='Best Lifts'!$B:$B),0))</f>
        <v>530</v>
      </c>
      <c r="S73" s="164" t="str">
        <f t="array" ref="S73">INDEX('Best Lifts'!I$1:I175,MATCH(1,($D73='Best Lifts'!$A:$A)*($E73='Best Lifts'!$B:$B),0))</f>
        <v>#N/A</v>
      </c>
      <c r="T73" s="164" t="str">
        <f t="array" ref="T73">INDEX('Best Lifts'!J$1:J$268,MATCH(1,($D73='Best Lifts'!$A:$A)*($E73='Best Lifts'!$B:$B),0))</f>
        <v/>
      </c>
      <c r="U73" s="164" t="str">
        <f t="array" ref="U73">INDEX('Best Lifts'!K$1:K$268,MATCH(1,($D73='Best Lifts'!$A:$A)*($E73='Best Lifts'!$B:$B),0))</f>
        <v/>
      </c>
      <c r="V73" s="164" t="str">
        <f t="array" ref="V73">INDEX('Best Lifts'!L$1:L$268,MATCH(1,($D73='Best Lifts'!$A:$A)*($E73='Best Lifts'!$B:$B),0))</f>
        <v/>
      </c>
      <c r="W73" s="164">
        <f t="shared" si="15"/>
        <v>0</v>
      </c>
      <c r="X73" s="164" t="str">
        <f t="array" ref="X73">INDEX('Best Lifts'!M$1:M$258,MATCH(1,($D73='Best Lifts'!$A:$A)*($E73='Best Lifts'!$B:$B),0))</f>
        <v/>
      </c>
    </row>
    <row r="74">
      <c r="A74" s="163">
        <f t="shared" si="13"/>
        <v>18</v>
      </c>
      <c r="B74" s="163" t="str">
        <f t="shared" si="14"/>
        <v>#NUM!</v>
      </c>
      <c r="C74" s="163">
        <v>14.0</v>
      </c>
      <c r="D74" s="163" t="str">
        <f>IFERROR(__xludf.DUMMYFUNCTION("""COMPUTED_VALUE"""),"Saludo")</f>
        <v>Saludo</v>
      </c>
      <c r="E74" s="163" t="str">
        <f>IFERROR(__xludf.DUMMYFUNCTION("""COMPUTED_VALUE"""),"Marshall")</f>
        <v>Marshall</v>
      </c>
      <c r="F74" s="163" t="str">
        <f>IFERROR(__xludf.DUMMYFUNCTION("""COMPUTED_VALUE"""),"3 - Sat")</f>
        <v>3 - Sat</v>
      </c>
      <c r="G74" s="163"/>
      <c r="H74" s="163"/>
      <c r="I74" s="163"/>
      <c r="J74" s="163" t="str">
        <f>IFERROR(__xludf.DUMMYFUNCTION("""COMPUTED_VALUE"""),"M")</f>
        <v>M</v>
      </c>
      <c r="K74" s="163" t="str">
        <f>IFERROR(__xludf.DUMMYFUNCTION("""COMPUTED_VALUE"""),"E")</f>
        <v>E</v>
      </c>
      <c r="L74" s="163">
        <f>IFERROR(__xludf.DUMMYFUNCTION("""COMPUTED_VALUE"""),82.5)</f>
        <v>82.5</v>
      </c>
      <c r="M74" s="163">
        <f>IFERROR(__xludf.DUMMYFUNCTION("""COMPUTED_VALUE"""),500.0)</f>
        <v>500</v>
      </c>
      <c r="N74" s="163"/>
      <c r="O74" s="164">
        <f t="array" ref="O74">INDEX('Best Lifts'!E$1:E$268,MATCH(1,($D74='Best Lifts'!$A:$A)*($E74='Best Lifts'!$B:$B),0))</f>
        <v>215</v>
      </c>
      <c r="P74" s="164">
        <f t="array" ref="P74">INDEX('Best Lifts'!F$1:F$268,MATCH(1,($D74='Best Lifts'!$A:$A)*($E74='Best Lifts'!$B:$B),0))</f>
        <v>120</v>
      </c>
      <c r="Q74" s="164">
        <f t="array" ref="Q74">INDEX('Best Lifts'!G$1:G$268,MATCH(1,($D74='Best Lifts'!$A:$A)*($E74='Best Lifts'!$B:$B),0))</f>
        <v>230</v>
      </c>
      <c r="R74" s="164">
        <f t="array" ref="R74">INDEX('Best Lifts'!H$1:H$268,MATCH(1,($D74='Best Lifts'!$A:$A)*($E74='Best Lifts'!$B:$B),0))</f>
        <v>565</v>
      </c>
      <c r="S74" s="164" t="str">
        <f t="array" ref="S74">INDEX('Best Lifts'!I$1:I175,MATCH(1,($D74='Best Lifts'!$A:$A)*($E74='Best Lifts'!$B:$B),0))</f>
        <v>#N/A</v>
      </c>
      <c r="T74" s="164" t="str">
        <f t="array" ref="T74">INDEX('Best Lifts'!J$1:J$268,MATCH(1,($D74='Best Lifts'!$A:$A)*($E74='Best Lifts'!$B:$B),0))</f>
        <v/>
      </c>
      <c r="U74" s="164" t="str">
        <f t="array" ref="U74">INDEX('Best Lifts'!K$1:K$268,MATCH(1,($D74='Best Lifts'!$A:$A)*($E74='Best Lifts'!$B:$B),0))</f>
        <v/>
      </c>
      <c r="V74" s="164" t="str">
        <f t="array" ref="V74">INDEX('Best Lifts'!L$1:L$268,MATCH(1,($D74='Best Lifts'!$A:$A)*($E74='Best Lifts'!$B:$B),0))</f>
        <v/>
      </c>
      <c r="W74" s="164">
        <f t="shared" si="15"/>
        <v>0</v>
      </c>
      <c r="X74" s="164"/>
    </row>
    <row r="75">
      <c r="A75" s="163" t="str">
        <f t="shared" si="13"/>
        <v>#N/A</v>
      </c>
      <c r="B75" s="163" t="str">
        <f t="shared" si="14"/>
        <v>#NUM!</v>
      </c>
      <c r="C75" s="163">
        <v>13.0</v>
      </c>
      <c r="D75" s="163" t="str">
        <f>IFERROR(__xludf.DUMMYFUNCTION("""COMPUTED_VALUE"""),"Escalona")</f>
        <v>Escalona</v>
      </c>
      <c r="E75" s="163" t="str">
        <f>IFERROR(__xludf.DUMMYFUNCTION("""COMPUTED_VALUE"""),"Isaiah")</f>
        <v>Isaiah</v>
      </c>
      <c r="F75" s="163" t="str">
        <f>IFERROR(__xludf.DUMMYFUNCTION("""COMPUTED_VALUE"""),"3 - Sat")</f>
        <v>3 - Sat</v>
      </c>
      <c r="G75" s="163"/>
      <c r="H75" s="163"/>
      <c r="I75" s="163"/>
      <c r="J75" s="163" t="str">
        <f>IFERROR(__xludf.DUMMYFUNCTION("""COMPUTED_VALUE"""),"M")</f>
        <v>M</v>
      </c>
      <c r="K75" s="163" t="str">
        <f>IFERROR(__xludf.DUMMYFUNCTION("""COMPUTED_VALUE"""),"E")</f>
        <v>E</v>
      </c>
      <c r="L75" s="163">
        <f>IFERROR(__xludf.DUMMYFUNCTION("""COMPUTED_VALUE"""),82.5)</f>
        <v>82.5</v>
      </c>
      <c r="M75" s="163"/>
      <c r="N75" s="163"/>
      <c r="O75" s="164">
        <f t="array" ref="O75">INDEX('Best Lifts'!E$1:E$268,MATCH(1,($D75='Best Lifts'!$A:$A)*($E75='Best Lifts'!$B:$B),0))</f>
        <v>205</v>
      </c>
      <c r="P75" s="164">
        <f t="array" ref="P75">INDEX('Best Lifts'!F$1:F$268,MATCH(1,($D75='Best Lifts'!$A:$A)*($E75='Best Lifts'!$B:$B),0))</f>
        <v>95</v>
      </c>
      <c r="Q75" s="164">
        <f t="array" ref="Q75">INDEX('Best Lifts'!G$1:G$268,MATCH(1,($D75='Best Lifts'!$A:$A)*($E75='Best Lifts'!$B:$B),0))</f>
        <v>250</v>
      </c>
      <c r="R75" s="164">
        <f t="array" ref="R75">INDEX('Best Lifts'!H$1:H$268,MATCH(1,($D75='Best Lifts'!$A:$A)*($E75='Best Lifts'!$B:$B),0))</f>
        <v>550</v>
      </c>
      <c r="S75" s="164" t="str">
        <f t="array" ref="S75">INDEX('Best Lifts'!I$1:I175,MATCH(1,($D75='Best Lifts'!$A:$A)*($E75='Best Lifts'!$B:$B),0))</f>
        <v>#N/A</v>
      </c>
      <c r="T75" s="164" t="str">
        <f t="array" ref="T75">INDEX('Best Lifts'!J$1:J$268,MATCH(1,($D75='Best Lifts'!$A:$A)*($E75='Best Lifts'!$B:$B),0))</f>
        <v/>
      </c>
      <c r="U75" s="164" t="str">
        <f t="array" ref="U75">INDEX('Best Lifts'!K$1:K$268,MATCH(1,($D75='Best Lifts'!$A:$A)*($E75='Best Lifts'!$B:$B),0))</f>
        <v/>
      </c>
      <c r="V75" s="164" t="str">
        <f t="array" ref="V75">INDEX('Best Lifts'!L$1:L$268,MATCH(1,($D75='Best Lifts'!$A:$A)*($E75='Best Lifts'!$B:$B),0))</f>
        <v/>
      </c>
      <c r="W75" s="164">
        <f t="shared" si="15"/>
        <v>0</v>
      </c>
      <c r="X75" s="164"/>
    </row>
    <row r="76">
      <c r="A76" s="163" t="str">
        <f t="shared" si="13"/>
        <v>#N/A</v>
      </c>
      <c r="B76" s="163" t="str">
        <f t="shared" si="14"/>
        <v>#NUM!</v>
      </c>
      <c r="C76" s="163">
        <v>17.0</v>
      </c>
      <c r="D76" s="163" t="str">
        <f>IFERROR(__xludf.DUMMYFUNCTION("""COMPUTED_VALUE"""),"Weaver")</f>
        <v>Weaver</v>
      </c>
      <c r="E76" s="163" t="str">
        <f>IFERROR(__xludf.DUMMYFUNCTION("""COMPUTED_VALUE"""),"Christian")</f>
        <v>Christian</v>
      </c>
      <c r="F76" s="163" t="str">
        <f>IFERROR(__xludf.DUMMYFUNCTION("""COMPUTED_VALUE"""),"3 - Sat")</f>
        <v>3 - Sat</v>
      </c>
      <c r="G76" s="163"/>
      <c r="H76" s="163"/>
      <c r="I76" s="163"/>
      <c r="J76" s="163" t="str">
        <f>IFERROR(__xludf.DUMMYFUNCTION("""COMPUTED_VALUE"""),"M")</f>
        <v>M</v>
      </c>
      <c r="K76" s="163" t="str">
        <f>IFERROR(__xludf.DUMMYFUNCTION("""COMPUTED_VALUE"""),"E")</f>
        <v>E</v>
      </c>
      <c r="L76" s="163">
        <f>IFERROR(__xludf.DUMMYFUNCTION("""COMPUTED_VALUE"""),82.5)</f>
        <v>82.5</v>
      </c>
      <c r="M76" s="163"/>
      <c r="N76" s="163"/>
      <c r="O76" s="164" t="str">
        <f t="array" ref="O76">INDEX('Best Lifts'!E$1:E$268,MATCH(1,($D76='Best Lifts'!$A:$A)*($E76='Best Lifts'!$B:$B),0))</f>
        <v>#NUM!</v>
      </c>
      <c r="P76" s="164" t="str">
        <f t="array" ref="P76">INDEX('Best Lifts'!F$1:F$268,MATCH(1,($D76='Best Lifts'!$A:$A)*($E76='Best Lifts'!$B:$B),0))</f>
        <v>#NUM!</v>
      </c>
      <c r="Q76" s="164" t="str">
        <f t="array" ref="Q76">INDEX('Best Lifts'!G$1:G$268,MATCH(1,($D76='Best Lifts'!$A:$A)*($E76='Best Lifts'!$B:$B),0))</f>
        <v>#NUM!</v>
      </c>
      <c r="R76" s="164" t="str">
        <f t="array" ref="R76">INDEX('Best Lifts'!H$1:H$268,MATCH(1,($D76='Best Lifts'!$A:$A)*($E76='Best Lifts'!$B:$B),0))</f>
        <v>#NUM!</v>
      </c>
      <c r="S76" s="164">
        <f t="array" ref="S76">INDEX('Best Lifts'!I$1:I175,MATCH(1,($D76='Best Lifts'!$A:$A)*($E76='Best Lifts'!$B:$B),0))</f>
        <v>240</v>
      </c>
      <c r="T76" s="164" t="str">
        <f t="array" ref="T76">INDEX('Best Lifts'!J$1:J$268,MATCH(1,($D76='Best Lifts'!$A:$A)*($E76='Best Lifts'!$B:$B),0))</f>
        <v>#NUM!</v>
      </c>
      <c r="U76" s="164" t="str">
        <f t="array" ref="U76">INDEX('Best Lifts'!K$1:K$268,MATCH(1,($D76='Best Lifts'!$A:$A)*($E76='Best Lifts'!$B:$B),0))</f>
        <v>#NUM!</v>
      </c>
      <c r="V76" s="164" t="str">
        <f t="array" ref="V76">INDEX('Best Lifts'!L$1:L$268,MATCH(1,($D76='Best Lifts'!$A:$A)*($E76='Best Lifts'!$B:$B),0))</f>
        <v>#NUM!</v>
      </c>
      <c r="W76" s="164" t="str">
        <f t="shared" si="15"/>
        <v>#NUM!</v>
      </c>
      <c r="X76" s="164"/>
    </row>
    <row r="77">
      <c r="A77" s="154"/>
      <c r="B77" s="154"/>
      <c r="C77" s="154"/>
      <c r="D77" s="154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66"/>
      <c r="P77" s="66"/>
      <c r="Q77" s="66"/>
      <c r="R77" s="66"/>
      <c r="S77" s="160"/>
      <c r="T77" s="158"/>
      <c r="U77" s="158"/>
      <c r="V77" s="159"/>
      <c r="W77" s="159"/>
      <c r="X77" s="158"/>
    </row>
    <row r="78">
      <c r="A78" s="154"/>
      <c r="B78" s="154"/>
      <c r="C78" s="154"/>
      <c r="D78" s="155">
        <v>90.0</v>
      </c>
      <c r="E78" s="156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8"/>
      <c r="Q78" s="158"/>
      <c r="R78" s="159"/>
      <c r="S78" s="160"/>
      <c r="T78" s="158"/>
      <c r="U78" s="158"/>
      <c r="V78" s="159"/>
      <c r="W78" s="159"/>
      <c r="X78" s="158"/>
    </row>
    <row r="79">
      <c r="A79" s="161" t="s">
        <v>746</v>
      </c>
      <c r="B79" s="161" t="s">
        <v>747</v>
      </c>
      <c r="C79" s="161" t="s">
        <v>748</v>
      </c>
      <c r="D79" s="161" t="s">
        <v>253</v>
      </c>
      <c r="E79" s="161" t="s">
        <v>254</v>
      </c>
      <c r="F79" s="161" t="s">
        <v>31</v>
      </c>
      <c r="G79" s="161" t="s">
        <v>32</v>
      </c>
      <c r="H79" s="161" t="s">
        <v>33</v>
      </c>
      <c r="I79" s="161" t="s">
        <v>34</v>
      </c>
      <c r="J79" s="161" t="s">
        <v>749</v>
      </c>
      <c r="K79" s="161" t="s">
        <v>257</v>
      </c>
      <c r="L79" s="161" t="s">
        <v>750</v>
      </c>
      <c r="M79" s="161" t="s">
        <v>36</v>
      </c>
      <c r="N79" s="161" t="s">
        <v>261</v>
      </c>
      <c r="O79" s="161" t="s">
        <v>751</v>
      </c>
      <c r="P79" s="162" t="s">
        <v>752</v>
      </c>
      <c r="Q79" s="162" t="s">
        <v>753</v>
      </c>
      <c r="R79" s="162" t="s">
        <v>754</v>
      </c>
      <c r="S79" s="161" t="s">
        <v>755</v>
      </c>
      <c r="T79" s="162" t="s">
        <v>756</v>
      </c>
      <c r="U79" s="162" t="s">
        <v>757</v>
      </c>
      <c r="V79" s="162" t="s">
        <v>758</v>
      </c>
      <c r="W79" s="162" t="s">
        <v>759</v>
      </c>
      <c r="X79" s="209" t="s">
        <v>703</v>
      </c>
    </row>
    <row r="80">
      <c r="A80" s="163">
        <f t="shared" ref="A80:A102" si="16">RANK(M80,$M$80:$M$102)</f>
        <v>1</v>
      </c>
      <c r="B80" s="163" t="str">
        <f t="shared" ref="B80:B102" si="17">RANK(W80,$W$80:$W$99)</f>
        <v>Loading...</v>
      </c>
      <c r="C80" s="163"/>
      <c r="D80" s="163" t="str">
        <f>IFERROR(__xludf.DUMMYFUNCTION("FILTER(Roster!A$2:A175,Roster!$H$2:$H175=""M"",Roster!$J$2:$J175=$D78)"),"Juarez")</f>
        <v>Juarez</v>
      </c>
      <c r="E80" s="163" t="str">
        <f>IFERROR(__xludf.DUMMYFUNCTION("FILTER(Roster!B$2:B175,Roster!$H$2:$H175=""M"",Roster!$J$2:$J175=$D78)"),"Yovanni")</f>
        <v>Yovanni</v>
      </c>
      <c r="F80" s="163" t="str">
        <f>IFERROR(__xludf.DUMMYFUNCTION("FILTER(Roster!D$2:D175,Roster!$H$2:$H175=""M"",Roster!$J$2:$J175=$D78)"),"3 - Sat")</f>
        <v>3 - Sat</v>
      </c>
      <c r="G80" s="163" t="str">
        <f>IFERROR(__xludf.DUMMYFUNCTION("FILTER(Roster!E$2:E175,Roster!$H$2:$H175=""M"",Roster!$J$2:$J175=$D78)"),"")</f>
        <v/>
      </c>
      <c r="H80" s="163" t="str">
        <f>IFERROR(__xludf.DUMMYFUNCTION("FILTER(Roster!F$2:F175,Roster!$H$2:$H175=""M"",Roster!$J$2:$J175=$D78)"),"")</f>
        <v/>
      </c>
      <c r="I80" s="163" t="str">
        <f>IFERROR(__xludf.DUMMYFUNCTION("FILTER(Roster!G$2:G175,Roster!$H$2:$H175=""M"",Roster!$J$2:$J175=$D78)"),"")</f>
        <v/>
      </c>
      <c r="J80" s="163" t="str">
        <f>IFERROR(__xludf.DUMMYFUNCTION("FILTER(Roster!H$2:H175,Roster!$H$2:$H175=""M"",Roster!$J$2:$J175=$D78)"),"M")</f>
        <v>M</v>
      </c>
      <c r="K80" s="163" t="str">
        <f>IFERROR(__xludf.DUMMYFUNCTION("FILTER(Roster!I$2:I175,Roster!$H$2:$H175=""M"",Roster!$J$2:$J175=$D78)"),"E")</f>
        <v>E</v>
      </c>
      <c r="L80" s="163">
        <f>IFERROR(__xludf.DUMMYFUNCTION("FILTER(Roster!J$2:J175,Roster!$H$2:$H175=""M"",Roster!$J$2:$J175=$D78)"),90.0)</f>
        <v>90</v>
      </c>
      <c r="M80" s="163">
        <f>IFERROR(__xludf.DUMMYFUNCTION("FILTER(Roster!M$2:M175,Roster!$H$2:$H175=""M"",Roster!$J$2:$J175=$D78)"),790.0)</f>
        <v>790</v>
      </c>
      <c r="N80" s="163" t="str">
        <f>IFERROR(__xludf.DUMMYFUNCTION("FILTER(Roster!N$2:N175,Roster!$H$2:$H175=""M"",Roster!$J$2:$J175=$D78)"),"")</f>
        <v/>
      </c>
      <c r="O80" s="164">
        <f t="array" ref="O80">INDEX('Best Lifts'!E$1:E$268,MATCH(1,($D80='Best Lifts'!$A:$A)*($E80='Best Lifts'!$B:$B),0))</f>
        <v>255</v>
      </c>
      <c r="P80" s="164">
        <f t="array" ref="P80">INDEX('Best Lifts'!F$1:F$268,MATCH(1,($D80='Best Lifts'!$A:$A)*($E80='Best Lifts'!$B:$B),0))</f>
        <v>145</v>
      </c>
      <c r="Q80" s="164">
        <f t="array" ref="Q80">INDEX('Best Lifts'!G$1:G$268,MATCH(1,($D80='Best Lifts'!$A:$A)*($E80='Best Lifts'!$B:$B),0))</f>
        <v>250</v>
      </c>
      <c r="R80" s="164">
        <f t="array" ref="R80">INDEX('Best Lifts'!H$1:H$268,MATCH(1,($D80='Best Lifts'!$A:$A)*($E80='Best Lifts'!$B:$B),0))</f>
        <v>650</v>
      </c>
      <c r="S80" s="164">
        <f t="array" ref="S80">INDEX('Best Lifts'!I$1:I175,MATCH(1,($D80='Best Lifts'!$A:$A)*($E80='Best Lifts'!$B:$B),0))</f>
        <v>351.5</v>
      </c>
      <c r="T80" s="164">
        <f t="array" ref="T80">INDEX('Best Lifts'!J$1:J$268,MATCH(1,($D80='Best Lifts'!$A:$A)*($E80='Best Lifts'!$B:$B),0))</f>
        <v>249.4</v>
      </c>
      <c r="U80" s="164">
        <f t="array" ref="U80">INDEX('Best Lifts'!K$1:K$268,MATCH(1,($D80='Best Lifts'!$A:$A)*($E80='Best Lifts'!$B:$B),0))</f>
        <v>272.1</v>
      </c>
      <c r="V80" s="164">
        <f t="array" ref="V80">INDEX('Best Lifts'!L$1:L$268,MATCH(1,($D80='Best Lifts'!$A:$A)*($E80='Best Lifts'!$B:$B),0))</f>
        <v>861.8</v>
      </c>
      <c r="W80" s="164">
        <f t="shared" ref="W80:W99" si="18">IF(ISNA(SUM(S80:U80)),0,SUM(S80:U80))</f>
        <v>873</v>
      </c>
      <c r="X80" s="164" t="str">
        <f t="array" ref="X80">INDEX('Best Lifts'!M$1:M$258,MATCH(1,($D80='Best Lifts'!$A:$A)*($E80='Best Lifts'!$B:$B),0))</f>
        <v/>
      </c>
    </row>
    <row r="81">
      <c r="A81" s="163">
        <f t="shared" si="16"/>
        <v>2</v>
      </c>
      <c r="B81" s="163" t="str">
        <f t="shared" si="17"/>
        <v>Loading...</v>
      </c>
      <c r="C81" s="163"/>
      <c r="D81" s="163" t="str">
        <f>IFERROR(__xludf.DUMMYFUNCTION("""COMPUTED_VALUE"""),"Hernandez")</f>
        <v>Hernandez</v>
      </c>
      <c r="E81" s="163" t="str">
        <f>IFERROR(__xludf.DUMMYFUNCTION("""COMPUTED_VALUE"""),"Obed")</f>
        <v>Obed</v>
      </c>
      <c r="F81" s="163" t="str">
        <f>IFERROR(__xludf.DUMMYFUNCTION("""COMPUTED_VALUE"""),"3 - Sat")</f>
        <v>3 - Sat</v>
      </c>
      <c r="G81" s="163"/>
      <c r="H81" s="163"/>
      <c r="I81" s="163"/>
      <c r="J81" s="163" t="str">
        <f>IFERROR(__xludf.DUMMYFUNCTION("""COMPUTED_VALUE"""),"M")</f>
        <v>M</v>
      </c>
      <c r="K81" s="163" t="str">
        <f>IFERROR(__xludf.DUMMYFUNCTION("""COMPUTED_VALUE"""),"E")</f>
        <v>E</v>
      </c>
      <c r="L81" s="163">
        <f>IFERROR(__xludf.DUMMYFUNCTION("""COMPUTED_VALUE"""),90.0)</f>
        <v>90</v>
      </c>
      <c r="M81" s="163">
        <f>IFERROR(__xludf.DUMMYFUNCTION("""COMPUTED_VALUE"""),750.0)</f>
        <v>750</v>
      </c>
      <c r="N81" s="163"/>
      <c r="O81" s="164">
        <f t="array" ref="O81">INDEX('Best Lifts'!E$1:E$268,MATCH(1,($D81='Best Lifts'!$A:$A)*($E81='Best Lifts'!$B:$B),0))</f>
        <v>260</v>
      </c>
      <c r="P81" s="164">
        <f t="array" ref="P81">INDEX('Best Lifts'!F$1:F$268,MATCH(1,($D81='Best Lifts'!$A:$A)*($E81='Best Lifts'!$B:$B),0))</f>
        <v>167.5</v>
      </c>
      <c r="Q81" s="164">
        <f t="array" ref="Q81">INDEX('Best Lifts'!G$1:G$268,MATCH(1,($D81='Best Lifts'!$A:$A)*($E81='Best Lifts'!$B:$B),0))</f>
        <v>265</v>
      </c>
      <c r="R81" s="164">
        <f t="array" ref="R81">INDEX('Best Lifts'!H$1:H$268,MATCH(1,($D81='Best Lifts'!$A:$A)*($E81='Best Lifts'!$B:$B),0))</f>
        <v>692.5</v>
      </c>
      <c r="S81" s="164">
        <f t="array" ref="S81">INDEX('Best Lifts'!I$1:I175,MATCH(1,($D81='Best Lifts'!$A:$A)*($E81='Best Lifts'!$B:$B),0))</f>
        <v>345</v>
      </c>
      <c r="T81" s="164">
        <f t="array" ref="T81">INDEX('Best Lifts'!J$1:J$268,MATCH(1,($D81='Best Lifts'!$A:$A)*($E81='Best Lifts'!$B:$B),0))</f>
        <v>235</v>
      </c>
      <c r="U81" s="164">
        <f t="array" ref="U81">INDEX('Best Lifts'!K$1:K$268,MATCH(1,($D81='Best Lifts'!$A:$A)*($E81='Best Lifts'!$B:$B),0))</f>
        <v>287.5</v>
      </c>
      <c r="V81" s="164">
        <f t="array" ref="V81">INDEX('Best Lifts'!L$1:L$268,MATCH(1,($D81='Best Lifts'!$A:$A)*($E81='Best Lifts'!$B:$B),0))</f>
        <v>865</v>
      </c>
      <c r="W81" s="164">
        <f t="shared" si="18"/>
        <v>867.5</v>
      </c>
      <c r="X81" s="164" t="str">
        <f t="array" ref="X81">INDEX('Best Lifts'!M$1:M$258,MATCH(1,($D81='Best Lifts'!$A:$A)*($E81='Best Lifts'!$B:$B),0))</f>
        <v/>
      </c>
    </row>
    <row r="82">
      <c r="A82" s="163">
        <f t="shared" si="16"/>
        <v>3</v>
      </c>
      <c r="B82" s="163" t="str">
        <f t="shared" si="17"/>
        <v>Loading...</v>
      </c>
      <c r="C82" s="163"/>
      <c r="D82" s="163" t="str">
        <f>IFERROR(__xludf.DUMMYFUNCTION("""COMPUTED_VALUE"""),"Metzger")</f>
        <v>Metzger</v>
      </c>
      <c r="E82" s="163" t="str">
        <f>IFERROR(__xludf.DUMMYFUNCTION("""COMPUTED_VALUE"""),"Hunter")</f>
        <v>Hunter</v>
      </c>
      <c r="F82" s="163" t="str">
        <f>IFERROR(__xludf.DUMMYFUNCTION("""COMPUTED_VALUE"""),"3 - Sat")</f>
        <v>3 - Sat</v>
      </c>
      <c r="G82" s="163"/>
      <c r="H82" s="163"/>
      <c r="I82" s="163"/>
      <c r="J82" s="163" t="str">
        <f>IFERROR(__xludf.DUMMYFUNCTION("""COMPUTED_VALUE"""),"M")</f>
        <v>M</v>
      </c>
      <c r="K82" s="163" t="str">
        <f>IFERROR(__xludf.DUMMYFUNCTION("""COMPUTED_VALUE"""),"E")</f>
        <v>E</v>
      </c>
      <c r="L82" s="163">
        <f>IFERROR(__xludf.DUMMYFUNCTION("""COMPUTED_VALUE"""),90.0)</f>
        <v>90</v>
      </c>
      <c r="M82" s="163">
        <f>IFERROR(__xludf.DUMMYFUNCTION("""COMPUTED_VALUE"""),742.5)</f>
        <v>742.5</v>
      </c>
      <c r="N82" s="163"/>
      <c r="O82" s="164">
        <f t="array" ref="O82">INDEX('Best Lifts'!E$1:E$268,MATCH(1,($D82='Best Lifts'!$A:$A)*($E82='Best Lifts'!$B:$B),0))</f>
        <v>252.5</v>
      </c>
      <c r="P82" s="164">
        <f t="array" ref="P82">INDEX('Best Lifts'!F$1:F$268,MATCH(1,($D82='Best Lifts'!$A:$A)*($E82='Best Lifts'!$B:$B),0))</f>
        <v>157.5</v>
      </c>
      <c r="Q82" s="164">
        <f t="array" ref="Q82">INDEX('Best Lifts'!G$1:G$268,MATCH(1,($D82='Best Lifts'!$A:$A)*($E82='Best Lifts'!$B:$B),0))</f>
        <v>282.5</v>
      </c>
      <c r="R82" s="164">
        <f t="array" ref="R82">INDEX('Best Lifts'!H$1:H$268,MATCH(1,($D82='Best Lifts'!$A:$A)*($E82='Best Lifts'!$B:$B),0))</f>
        <v>692.5</v>
      </c>
      <c r="S82" s="164">
        <f t="array" ref="S82">INDEX('Best Lifts'!I$1:I175,MATCH(1,($D82='Best Lifts'!$A:$A)*($E82='Best Lifts'!$B:$B),0))</f>
        <v>317.5</v>
      </c>
      <c r="T82" s="164">
        <f t="array" ref="T82">INDEX('Best Lifts'!J$1:J$268,MATCH(1,($D82='Best Lifts'!$A:$A)*($E82='Best Lifts'!$B:$B),0))</f>
        <v>170</v>
      </c>
      <c r="U82" s="164">
        <f t="array" ref="U82">INDEX('Best Lifts'!K$1:K$268,MATCH(1,($D82='Best Lifts'!$A:$A)*($E82='Best Lifts'!$B:$B),0))</f>
        <v>275</v>
      </c>
      <c r="V82" s="164">
        <f t="array" ref="V82">INDEX('Best Lifts'!L$1:L$268,MATCH(1,($D82='Best Lifts'!$A:$A)*($E82='Best Lifts'!$B:$B),0))</f>
        <v>755</v>
      </c>
      <c r="W82" s="164">
        <f t="shared" si="18"/>
        <v>762.5</v>
      </c>
      <c r="X82" s="164" t="str">
        <f t="array" ref="X82">INDEX('Best Lifts'!M$1:M$258,MATCH(1,($D82='Best Lifts'!$A:$A)*($E82='Best Lifts'!$B:$B),0))</f>
        <v/>
      </c>
    </row>
    <row r="83">
      <c r="A83" s="163">
        <f t="shared" si="16"/>
        <v>3</v>
      </c>
      <c r="B83" s="163" t="str">
        <f t="shared" si="17"/>
        <v>Loading...</v>
      </c>
      <c r="C83" s="163"/>
      <c r="D83" s="163" t="str">
        <f>IFERROR(__xludf.DUMMYFUNCTION("""COMPUTED_VALUE"""),"Strickland")</f>
        <v>Strickland</v>
      </c>
      <c r="E83" s="163" t="str">
        <f>IFERROR(__xludf.DUMMYFUNCTION("""COMPUTED_VALUE"""),"Larry")</f>
        <v>Larry</v>
      </c>
      <c r="F83" s="163" t="str">
        <f>IFERROR(__xludf.DUMMYFUNCTION("""COMPUTED_VALUE"""),"3 - Sat")</f>
        <v>3 - Sat</v>
      </c>
      <c r="G83" s="163"/>
      <c r="H83" s="163"/>
      <c r="I83" s="163"/>
      <c r="J83" s="163" t="str">
        <f>IFERROR(__xludf.DUMMYFUNCTION("""COMPUTED_VALUE"""),"M")</f>
        <v>M</v>
      </c>
      <c r="K83" s="163" t="str">
        <f>IFERROR(__xludf.DUMMYFUNCTION("""COMPUTED_VALUE"""),"E")</f>
        <v>E</v>
      </c>
      <c r="L83" s="163">
        <f>IFERROR(__xludf.DUMMYFUNCTION("""COMPUTED_VALUE"""),90.0)</f>
        <v>90</v>
      </c>
      <c r="M83" s="163">
        <f>IFERROR(__xludf.DUMMYFUNCTION("""COMPUTED_VALUE"""),742.5)</f>
        <v>742.5</v>
      </c>
      <c r="N83" s="163"/>
      <c r="O83" s="164" t="str">
        <f t="array" ref="O83">INDEX('Best Lifts'!E$1:E$268,MATCH(1,($D83='Best Lifts'!$A:$A)*($E83='Best Lifts'!$B:$B),0))</f>
        <v>#N/A</v>
      </c>
      <c r="P83" s="164" t="str">
        <f t="array" ref="P83">INDEX('Best Lifts'!F$1:F$268,MATCH(1,($D83='Best Lifts'!$A:$A)*($E83='Best Lifts'!$B:$B),0))</f>
        <v/>
      </c>
      <c r="Q83" s="164" t="str">
        <f t="array" ref="Q83">INDEX('Best Lifts'!G$1:G$268,MATCH(1,($D83='Best Lifts'!$A:$A)*($E83='Best Lifts'!$B:$B),0))</f>
        <v/>
      </c>
      <c r="R83" s="164" t="str">
        <f t="array" ref="R83">INDEX('Best Lifts'!H$1:H$268,MATCH(1,($D83='Best Lifts'!$A:$A)*($E83='Best Lifts'!$B:$B),0))</f>
        <v/>
      </c>
      <c r="S83" s="164">
        <f t="array" ref="S83">INDEX('Best Lifts'!I$1:I175,MATCH(1,($D83='Best Lifts'!$A:$A)*($E83='Best Lifts'!$B:$B),0))</f>
        <v>328.8</v>
      </c>
      <c r="T83" s="164">
        <f t="array" ref="T83">INDEX('Best Lifts'!J$1:J$268,MATCH(1,($D83='Best Lifts'!$A:$A)*($E83='Best Lifts'!$B:$B),0))</f>
        <v>158.7</v>
      </c>
      <c r="U83" s="164">
        <f t="array" ref="U83">INDEX('Best Lifts'!K$1:K$268,MATCH(1,($D83='Best Lifts'!$A:$A)*($E83='Best Lifts'!$B:$B),0))</f>
        <v>297.5</v>
      </c>
      <c r="V83" s="164">
        <f t="array" ref="V83">INDEX('Best Lifts'!L$1:L$268,MATCH(1,($D83='Best Lifts'!$A:$A)*($E83='Best Lifts'!$B:$B),0))</f>
        <v>759.7</v>
      </c>
      <c r="W83" s="164">
        <f t="shared" si="18"/>
        <v>785</v>
      </c>
      <c r="X83" s="164" t="str">
        <f t="array" ref="X83">INDEX('Best Lifts'!M$1:M$258,MATCH(1,($D83='Best Lifts'!$A:$A)*($E83='Best Lifts'!$B:$B),0))</f>
        <v/>
      </c>
    </row>
    <row r="84">
      <c r="A84" s="163">
        <f t="shared" si="16"/>
        <v>5</v>
      </c>
      <c r="B84" s="163" t="str">
        <f t="shared" si="17"/>
        <v>Loading...</v>
      </c>
      <c r="C84" s="163"/>
      <c r="D84" s="163" t="str">
        <f>IFERROR(__xludf.DUMMYFUNCTION("""COMPUTED_VALUE"""),"Pellegrin")</f>
        <v>Pellegrin</v>
      </c>
      <c r="E84" s="163" t="str">
        <f>IFERROR(__xludf.DUMMYFUNCTION("""COMPUTED_VALUE"""),"Jayce")</f>
        <v>Jayce</v>
      </c>
      <c r="F84" s="163" t="str">
        <f>IFERROR(__xludf.DUMMYFUNCTION("""COMPUTED_VALUE"""),"3 - Sat")</f>
        <v>3 - Sat</v>
      </c>
      <c r="G84" s="163"/>
      <c r="H84" s="163"/>
      <c r="I84" s="163"/>
      <c r="J84" s="163" t="str">
        <f>IFERROR(__xludf.DUMMYFUNCTION("""COMPUTED_VALUE"""),"M")</f>
        <v>M</v>
      </c>
      <c r="K84" s="163" t="str">
        <f>IFERROR(__xludf.DUMMYFUNCTION("""COMPUTED_VALUE"""),"E")</f>
        <v>E</v>
      </c>
      <c r="L84" s="163">
        <f>IFERROR(__xludf.DUMMYFUNCTION("""COMPUTED_VALUE"""),90.0)</f>
        <v>90</v>
      </c>
      <c r="M84" s="163">
        <f>IFERROR(__xludf.DUMMYFUNCTION("""COMPUTED_VALUE"""),722.5)</f>
        <v>722.5</v>
      </c>
      <c r="N84" s="163"/>
      <c r="O84" s="164">
        <f t="array" ref="O84">INDEX('Best Lifts'!E$1:E$268,MATCH(1,($D84='Best Lifts'!$A:$A)*($E84='Best Lifts'!$B:$B),0))</f>
        <v>192.5</v>
      </c>
      <c r="P84" s="164">
        <f t="array" ref="P84">INDEX('Best Lifts'!F$1:F$268,MATCH(1,($D84='Best Lifts'!$A:$A)*($E84='Best Lifts'!$B:$B),0))</f>
        <v>132.5</v>
      </c>
      <c r="Q84" s="164">
        <f t="array" ref="Q84">INDEX('Best Lifts'!G$1:G$268,MATCH(1,($D84='Best Lifts'!$A:$A)*($E84='Best Lifts'!$B:$B),0))</f>
        <v>222.5</v>
      </c>
      <c r="R84" s="164">
        <f t="array" ref="R84">INDEX('Best Lifts'!H$1:H$268,MATCH(1,($D84='Best Lifts'!$A:$A)*($E84='Best Lifts'!$B:$B),0))</f>
        <v>547.5</v>
      </c>
      <c r="S84" s="164">
        <f t="array" ref="S84">INDEX('Best Lifts'!I$1:I175,MATCH(1,($D84='Best Lifts'!$A:$A)*($E84='Best Lifts'!$B:$B),0))</f>
        <v>280</v>
      </c>
      <c r="T84" s="164">
        <f t="array" ref="T84">INDEX('Best Lifts'!J$1:J$268,MATCH(1,($D84='Best Lifts'!$A:$A)*($E84='Best Lifts'!$B:$B),0))</f>
        <v>182.5</v>
      </c>
      <c r="U84" s="164">
        <f t="array" ref="U84">INDEX('Best Lifts'!K$1:K$268,MATCH(1,($D84='Best Lifts'!$A:$A)*($E84='Best Lifts'!$B:$B),0))</f>
        <v>262.5</v>
      </c>
      <c r="V84" s="164">
        <f t="array" ref="V84">INDEX('Best Lifts'!L$1:L$268,MATCH(1,($D84='Best Lifts'!$A:$A)*($E84='Best Lifts'!$B:$B),0))</f>
        <v>722.5</v>
      </c>
      <c r="W84" s="164">
        <f t="shared" si="18"/>
        <v>725</v>
      </c>
      <c r="X84" s="164" t="str">
        <f t="array" ref="X84">INDEX('Best Lifts'!M$1:M$258,MATCH(1,($D84='Best Lifts'!$A:$A)*($E84='Best Lifts'!$B:$B),0))</f>
        <v/>
      </c>
    </row>
    <row r="85">
      <c r="A85" s="163">
        <f t="shared" si="16"/>
        <v>6</v>
      </c>
      <c r="B85" s="163" t="str">
        <f t="shared" si="17"/>
        <v>Loading...</v>
      </c>
      <c r="C85" s="163"/>
      <c r="D85" s="163" t="str">
        <f>IFERROR(__xludf.DUMMYFUNCTION("""COMPUTED_VALUE"""),"Gaspard")</f>
        <v>Gaspard</v>
      </c>
      <c r="E85" s="163" t="str">
        <f>IFERROR(__xludf.DUMMYFUNCTION("""COMPUTED_VALUE"""),"Addison")</f>
        <v>Addison</v>
      </c>
      <c r="F85" s="163" t="str">
        <f>IFERROR(__xludf.DUMMYFUNCTION("""COMPUTED_VALUE"""),"3 - Sat")</f>
        <v>3 - Sat</v>
      </c>
      <c r="G85" s="163"/>
      <c r="H85" s="163"/>
      <c r="I85" s="163"/>
      <c r="J85" s="163" t="str">
        <f>IFERROR(__xludf.DUMMYFUNCTION("""COMPUTED_VALUE"""),"M")</f>
        <v>M</v>
      </c>
      <c r="K85" s="163" t="str">
        <f>IFERROR(__xludf.DUMMYFUNCTION("""COMPUTED_VALUE"""),"E")</f>
        <v>E</v>
      </c>
      <c r="L85" s="163">
        <f>IFERROR(__xludf.DUMMYFUNCTION("""COMPUTED_VALUE"""),90.0)</f>
        <v>90</v>
      </c>
      <c r="M85" s="163">
        <f>IFERROR(__xludf.DUMMYFUNCTION("""COMPUTED_VALUE"""),712.5)</f>
        <v>712.5</v>
      </c>
      <c r="N85" s="163"/>
      <c r="O85" s="164">
        <f t="array" ref="O85">INDEX('Best Lifts'!E$1:E$268,MATCH(1,($D85='Best Lifts'!$A:$A)*($E85='Best Lifts'!$B:$B),0))</f>
        <v>210</v>
      </c>
      <c r="P85" s="164">
        <f t="array" ref="P85">INDEX('Best Lifts'!F$1:F$268,MATCH(1,($D85='Best Lifts'!$A:$A)*($E85='Best Lifts'!$B:$B),0))</f>
        <v>125</v>
      </c>
      <c r="Q85" s="164">
        <f t="array" ref="Q85">INDEX('Best Lifts'!G$1:G$268,MATCH(1,($D85='Best Lifts'!$A:$A)*($E85='Best Lifts'!$B:$B),0))</f>
        <v>252.5</v>
      </c>
      <c r="R85" s="164">
        <f t="array" ref="R85">INDEX('Best Lifts'!H$1:H$268,MATCH(1,($D85='Best Lifts'!$A:$A)*($E85='Best Lifts'!$B:$B),0))</f>
        <v>577.5</v>
      </c>
      <c r="S85" s="164">
        <f t="array" ref="S85">INDEX('Best Lifts'!I$1:I175,MATCH(1,($D85='Best Lifts'!$A:$A)*($E85='Best Lifts'!$B:$B),0))</f>
        <v>280</v>
      </c>
      <c r="T85" s="164">
        <f t="array" ref="T85">INDEX('Best Lifts'!J$1:J$268,MATCH(1,($D85='Best Lifts'!$A:$A)*($E85='Best Lifts'!$B:$B),0))</f>
        <v>182.5</v>
      </c>
      <c r="U85" s="164">
        <f t="array" ref="U85">INDEX('Best Lifts'!K$1:K$268,MATCH(1,($D85='Best Lifts'!$A:$A)*($E85='Best Lifts'!$B:$B),0))</f>
        <v>272.5</v>
      </c>
      <c r="V85" s="164">
        <f t="array" ref="V85">INDEX('Best Lifts'!L$1:L$268,MATCH(1,($D85='Best Lifts'!$A:$A)*($E85='Best Lifts'!$B:$B),0))</f>
        <v>712.5</v>
      </c>
      <c r="W85" s="164">
        <f t="shared" si="18"/>
        <v>735</v>
      </c>
      <c r="X85" s="164" t="str">
        <f t="array" ref="X85">INDEX('Best Lifts'!M$1:M$258,MATCH(1,($D85='Best Lifts'!$A:$A)*($E85='Best Lifts'!$B:$B),0))</f>
        <v/>
      </c>
    </row>
    <row r="86">
      <c r="A86" s="163">
        <f t="shared" si="16"/>
        <v>7</v>
      </c>
      <c r="B86" s="163" t="str">
        <f t="shared" si="17"/>
        <v>Loading...</v>
      </c>
      <c r="C86" s="163"/>
      <c r="D86" s="163" t="str">
        <f>IFERROR(__xludf.DUMMYFUNCTION("""COMPUTED_VALUE"""),"Pellegrin")</f>
        <v>Pellegrin</v>
      </c>
      <c r="E86" s="163" t="str">
        <f>IFERROR(__xludf.DUMMYFUNCTION("""COMPUTED_VALUE"""),"Keegan")</f>
        <v>Keegan</v>
      </c>
      <c r="F86" s="163" t="str">
        <f>IFERROR(__xludf.DUMMYFUNCTION("""COMPUTED_VALUE"""),"3 - Sat")</f>
        <v>3 - Sat</v>
      </c>
      <c r="G86" s="163"/>
      <c r="H86" s="163"/>
      <c r="I86" s="163"/>
      <c r="J86" s="163" t="str">
        <f>IFERROR(__xludf.DUMMYFUNCTION("""COMPUTED_VALUE"""),"M")</f>
        <v>M</v>
      </c>
      <c r="K86" s="163" t="str">
        <f>IFERROR(__xludf.DUMMYFUNCTION("""COMPUTED_VALUE"""),"E")</f>
        <v>E</v>
      </c>
      <c r="L86" s="163">
        <f>IFERROR(__xludf.DUMMYFUNCTION("""COMPUTED_VALUE"""),90.0)</f>
        <v>90</v>
      </c>
      <c r="M86" s="163">
        <f>IFERROR(__xludf.DUMMYFUNCTION("""COMPUTED_VALUE"""),685.0)</f>
        <v>685</v>
      </c>
      <c r="N86" s="163"/>
      <c r="O86" s="164">
        <f t="array" ref="O86">INDEX('Best Lifts'!E$1:E$268,MATCH(1,($D86='Best Lifts'!$A:$A)*($E86='Best Lifts'!$B:$B),0))</f>
        <v>185</v>
      </c>
      <c r="P86" s="164">
        <f t="array" ref="P86">INDEX('Best Lifts'!F$1:F$268,MATCH(1,($D86='Best Lifts'!$A:$A)*($E86='Best Lifts'!$B:$B),0))</f>
        <v>115</v>
      </c>
      <c r="Q86" s="164">
        <f t="array" ref="Q86">INDEX('Best Lifts'!G$1:G$268,MATCH(1,($D86='Best Lifts'!$A:$A)*($E86='Best Lifts'!$B:$B),0))</f>
        <v>197.5</v>
      </c>
      <c r="R86" s="164">
        <f t="array" ref="R86">INDEX('Best Lifts'!H$1:H$268,MATCH(1,($D86='Best Lifts'!$A:$A)*($E86='Best Lifts'!$B:$B),0))</f>
        <v>497.5</v>
      </c>
      <c r="S86" s="164">
        <f t="array" ref="S86">INDEX('Best Lifts'!I$1:I175,MATCH(1,($D86='Best Lifts'!$A:$A)*($E86='Best Lifts'!$B:$B),0))</f>
        <v>272.5</v>
      </c>
      <c r="T86" s="164">
        <f t="array" ref="T86">INDEX('Best Lifts'!J$1:J$268,MATCH(1,($D86='Best Lifts'!$A:$A)*($E86='Best Lifts'!$B:$B),0))</f>
        <v>147.5</v>
      </c>
      <c r="U86" s="164">
        <f t="array" ref="U86">INDEX('Best Lifts'!K$1:K$268,MATCH(1,($D86='Best Lifts'!$A:$A)*($E86='Best Lifts'!$B:$B),0))</f>
        <v>267.5</v>
      </c>
      <c r="V86" s="164">
        <f t="array" ref="V86">INDEX('Best Lifts'!L$1:L$268,MATCH(1,($D86='Best Lifts'!$A:$A)*($E86='Best Lifts'!$B:$B),0))</f>
        <v>685</v>
      </c>
      <c r="W86" s="164">
        <f t="shared" si="18"/>
        <v>687.5</v>
      </c>
      <c r="X86" s="164" t="str">
        <f t="array" ref="X86">INDEX('Best Lifts'!M$1:M$258,MATCH(1,($D86='Best Lifts'!$A:$A)*($E86='Best Lifts'!$B:$B),0))</f>
        <v/>
      </c>
    </row>
    <row r="87">
      <c r="A87" s="163">
        <f t="shared" si="16"/>
        <v>8</v>
      </c>
      <c r="B87" s="163" t="str">
        <f t="shared" si="17"/>
        <v>Loading...</v>
      </c>
      <c r="C87" s="163"/>
      <c r="D87" s="163" t="str">
        <f>IFERROR(__xludf.DUMMYFUNCTION("""COMPUTED_VALUE"""),"Rees")</f>
        <v>Rees</v>
      </c>
      <c r="E87" s="163" t="str">
        <f>IFERROR(__xludf.DUMMYFUNCTION("""COMPUTED_VALUE"""),"Mitchell")</f>
        <v>Mitchell</v>
      </c>
      <c r="F87" s="163" t="str">
        <f>IFERROR(__xludf.DUMMYFUNCTION("""COMPUTED_VALUE"""),"3 - Sat")</f>
        <v>3 - Sat</v>
      </c>
      <c r="G87" s="163"/>
      <c r="H87" s="163"/>
      <c r="I87" s="163"/>
      <c r="J87" s="163" t="str">
        <f>IFERROR(__xludf.DUMMYFUNCTION("""COMPUTED_VALUE"""),"M")</f>
        <v>M</v>
      </c>
      <c r="K87" s="163" t="str">
        <f>IFERROR(__xludf.DUMMYFUNCTION("""COMPUTED_VALUE"""),"E")</f>
        <v>E</v>
      </c>
      <c r="L87" s="163">
        <f>IFERROR(__xludf.DUMMYFUNCTION("""COMPUTED_VALUE"""),90.0)</f>
        <v>90</v>
      </c>
      <c r="M87" s="163">
        <f>IFERROR(__xludf.DUMMYFUNCTION("""COMPUTED_VALUE"""),680.0)</f>
        <v>680</v>
      </c>
      <c r="N87" s="163"/>
      <c r="O87" s="164">
        <f t="array" ref="O87">INDEX('Best Lifts'!E$1:E$268,MATCH(1,($D87='Best Lifts'!$A:$A)*($E87='Best Lifts'!$B:$B),0))</f>
        <v>277.5</v>
      </c>
      <c r="P87" s="164">
        <f t="array" ref="P87">INDEX('Best Lifts'!F$1:F$268,MATCH(1,($D87='Best Lifts'!$A:$A)*($E87='Best Lifts'!$B:$B),0))</f>
        <v>162.5</v>
      </c>
      <c r="Q87" s="164">
        <f t="array" ref="Q87">INDEX('Best Lifts'!G$1:G$268,MATCH(1,($D87='Best Lifts'!$A:$A)*($E87='Best Lifts'!$B:$B),0))</f>
        <v>272.5</v>
      </c>
      <c r="R87" s="164">
        <f t="array" ref="R87">INDEX('Best Lifts'!H$1:H$268,MATCH(1,($D87='Best Lifts'!$A:$A)*($E87='Best Lifts'!$B:$B),0))</f>
        <v>687.5</v>
      </c>
      <c r="S87" s="164">
        <f t="array" ref="S87">INDEX('Best Lifts'!I$1:I175,MATCH(1,($D87='Best Lifts'!$A:$A)*($E87='Best Lifts'!$B:$B),0))</f>
        <v>330</v>
      </c>
      <c r="T87" s="164">
        <f t="array" ref="T87">INDEX('Best Lifts'!J$1:J$268,MATCH(1,($D87='Best Lifts'!$A:$A)*($E87='Best Lifts'!$B:$B),0))</f>
        <v>202.5</v>
      </c>
      <c r="U87" s="164">
        <f t="array" ref="U87">INDEX('Best Lifts'!K$1:K$268,MATCH(1,($D87='Best Lifts'!$A:$A)*($E87='Best Lifts'!$B:$B),0))</f>
        <v>300</v>
      </c>
      <c r="V87" s="164">
        <f t="array" ref="V87">INDEX('Best Lifts'!L$1:L$268,MATCH(1,($D87='Best Lifts'!$A:$A)*($E87='Best Lifts'!$B:$B),0))</f>
        <v>832.5</v>
      </c>
      <c r="W87" s="164">
        <f t="shared" si="18"/>
        <v>832.5</v>
      </c>
      <c r="X87" s="164" t="str">
        <f t="array" ref="X87">INDEX('Best Lifts'!M$1:M$258,MATCH(1,($D87='Best Lifts'!$A:$A)*($E87='Best Lifts'!$B:$B),0))</f>
        <v/>
      </c>
    </row>
    <row r="88">
      <c r="A88" s="163">
        <f t="shared" si="16"/>
        <v>9</v>
      </c>
      <c r="B88" s="163" t="str">
        <f t="shared" si="17"/>
        <v>Loading...</v>
      </c>
      <c r="C88" s="163"/>
      <c r="D88" s="163" t="str">
        <f>IFERROR(__xludf.DUMMYFUNCTION("""COMPUTED_VALUE"""),"Harris")</f>
        <v>Harris</v>
      </c>
      <c r="E88" s="163" t="str">
        <f>IFERROR(__xludf.DUMMYFUNCTION("""COMPUTED_VALUE"""),"Elijah")</f>
        <v>Elijah</v>
      </c>
      <c r="F88" s="163" t="str">
        <f>IFERROR(__xludf.DUMMYFUNCTION("""COMPUTED_VALUE"""),"3 - Sat")</f>
        <v>3 - Sat</v>
      </c>
      <c r="G88" s="163"/>
      <c r="H88" s="163"/>
      <c r="I88" s="163"/>
      <c r="J88" s="163" t="str">
        <f>IFERROR(__xludf.DUMMYFUNCTION("""COMPUTED_VALUE"""),"M")</f>
        <v>M</v>
      </c>
      <c r="K88" s="163" t="str">
        <f>IFERROR(__xludf.DUMMYFUNCTION("""COMPUTED_VALUE"""),"E")</f>
        <v>E</v>
      </c>
      <c r="L88" s="163">
        <f>IFERROR(__xludf.DUMMYFUNCTION("""COMPUTED_VALUE"""),90.0)</f>
        <v>90</v>
      </c>
      <c r="M88" s="163">
        <f>IFERROR(__xludf.DUMMYFUNCTION("""COMPUTED_VALUE"""),667.5)</f>
        <v>667.5</v>
      </c>
      <c r="N88" s="163"/>
      <c r="O88" s="164">
        <f t="array" ref="O88">INDEX('Best Lifts'!E$1:E$268,MATCH(1,($D88='Best Lifts'!$A:$A)*($E88='Best Lifts'!$B:$B),0))</f>
        <v>127.5</v>
      </c>
      <c r="P88" s="164">
        <f t="array" ref="P88">INDEX('Best Lifts'!F$1:F$268,MATCH(1,($D88='Best Lifts'!$A:$A)*($E88='Best Lifts'!$B:$B),0))</f>
        <v>70</v>
      </c>
      <c r="Q88" s="164">
        <f t="array" ref="Q88">INDEX('Best Lifts'!G$1:G$268,MATCH(1,($D88='Best Lifts'!$A:$A)*($E88='Best Lifts'!$B:$B),0))</f>
        <v>145</v>
      </c>
      <c r="R88" s="164">
        <f t="array" ref="R88">INDEX('Best Lifts'!H$1:H$268,MATCH(1,($D88='Best Lifts'!$A:$A)*($E88='Best Lifts'!$B:$B),0))</f>
        <v>342.5</v>
      </c>
      <c r="S88" s="164" t="str">
        <f t="array" ref="S88">INDEX('Best Lifts'!I$1:I175,MATCH(1,($D88='Best Lifts'!$A:$A)*($E88='Best Lifts'!$B:$B),0))</f>
        <v>Loading...</v>
      </c>
      <c r="T88" s="164" t="str">
        <f t="array" ref="T88">INDEX('Best Lifts'!J$1:J$268,MATCH(1,($D88='Best Lifts'!$A:$A)*($E88='Best Lifts'!$B:$B),0))</f>
        <v/>
      </c>
      <c r="U88" s="164" t="str">
        <f t="array" ref="U88">INDEX('Best Lifts'!K$1:K$268,MATCH(1,($D88='Best Lifts'!$A:$A)*($E88='Best Lifts'!$B:$B),0))</f>
        <v/>
      </c>
      <c r="V88" s="164" t="str">
        <f t="array" ref="V88">INDEX('Best Lifts'!L$1:L$268,MATCH(1,($D88='Best Lifts'!$A:$A)*($E88='Best Lifts'!$B:$B),0))</f>
        <v/>
      </c>
      <c r="W88" s="164" t="str">
        <f t="shared" si="18"/>
        <v>Loading...</v>
      </c>
      <c r="X88" s="164" t="str">
        <f t="array" ref="X88">INDEX('Best Lifts'!M$1:M$258,MATCH(1,($D88='Best Lifts'!$A:$A)*($E88='Best Lifts'!$B:$B),0))</f>
        <v/>
      </c>
    </row>
    <row r="89">
      <c r="A89" s="163">
        <f t="shared" si="16"/>
        <v>10</v>
      </c>
      <c r="B89" s="163" t="str">
        <f t="shared" si="17"/>
        <v>Loading...</v>
      </c>
      <c r="C89" s="163"/>
      <c r="D89" s="163" t="str">
        <f>IFERROR(__xludf.DUMMYFUNCTION("""COMPUTED_VALUE"""),"Witts")</f>
        <v>Witts</v>
      </c>
      <c r="E89" s="163" t="str">
        <f>IFERROR(__xludf.DUMMYFUNCTION("""COMPUTED_VALUE"""),"Brendan")</f>
        <v>Brendan</v>
      </c>
      <c r="F89" s="163" t="str">
        <f>IFERROR(__xludf.DUMMYFUNCTION("""COMPUTED_VALUE"""),"3 - Sat")</f>
        <v>3 - Sat</v>
      </c>
      <c r="G89" s="163"/>
      <c r="H89" s="163"/>
      <c r="I89" s="163"/>
      <c r="J89" s="163" t="str">
        <f>IFERROR(__xludf.DUMMYFUNCTION("""COMPUTED_VALUE"""),"M")</f>
        <v>M</v>
      </c>
      <c r="K89" s="163" t="str">
        <f>IFERROR(__xludf.DUMMYFUNCTION("""COMPUTED_VALUE"""),"E")</f>
        <v>E</v>
      </c>
      <c r="L89" s="163">
        <f>IFERROR(__xludf.DUMMYFUNCTION("""COMPUTED_VALUE"""),90.0)</f>
        <v>90</v>
      </c>
      <c r="M89" s="163">
        <f>IFERROR(__xludf.DUMMYFUNCTION("""COMPUTED_VALUE"""),657.5)</f>
        <v>657.5</v>
      </c>
      <c r="N89" s="163"/>
      <c r="O89" s="164">
        <f t="array" ref="O89">INDEX('Best Lifts'!E$1:E$268,MATCH(1,($D89='Best Lifts'!$A:$A)*($E89='Best Lifts'!$B:$B),0))</f>
        <v>200</v>
      </c>
      <c r="P89" s="164">
        <f t="array" ref="P89">INDEX('Best Lifts'!F$1:F$268,MATCH(1,($D89='Best Lifts'!$A:$A)*($E89='Best Lifts'!$B:$B),0))</f>
        <v>130</v>
      </c>
      <c r="Q89" s="164">
        <f t="array" ref="Q89">INDEX('Best Lifts'!G$1:G$268,MATCH(1,($D89='Best Lifts'!$A:$A)*($E89='Best Lifts'!$B:$B),0))</f>
        <v>272.5</v>
      </c>
      <c r="R89" s="164">
        <f t="array" ref="R89">INDEX('Best Lifts'!H$1:H$268,MATCH(1,($D89='Best Lifts'!$A:$A)*($E89='Best Lifts'!$B:$B),0))</f>
        <v>602.5</v>
      </c>
      <c r="S89" s="164">
        <f t="array" ref="S89">INDEX('Best Lifts'!I$1:I175,MATCH(1,($D89='Best Lifts'!$A:$A)*($E89='Best Lifts'!$B:$B),0))</f>
        <v>237.5</v>
      </c>
      <c r="T89" s="164">
        <f t="array" ref="T89">INDEX('Best Lifts'!J$1:J$268,MATCH(1,($D89='Best Lifts'!$A:$A)*($E89='Best Lifts'!$B:$B),0))</f>
        <v>150</v>
      </c>
      <c r="U89" s="164">
        <f t="array" ref="U89">INDEX('Best Lifts'!K$1:K$268,MATCH(1,($D89='Best Lifts'!$A:$A)*($E89='Best Lifts'!$B:$B),0))</f>
        <v>277.5</v>
      </c>
      <c r="V89" s="164">
        <f t="array" ref="V89">INDEX('Best Lifts'!L$1:L$268,MATCH(1,($D89='Best Lifts'!$A:$A)*($E89='Best Lifts'!$B:$B),0))</f>
        <v>657.5</v>
      </c>
      <c r="W89" s="164">
        <f t="shared" si="18"/>
        <v>665</v>
      </c>
      <c r="X89" s="164" t="str">
        <f t="array" ref="X89">INDEX('Best Lifts'!M$1:M$258,MATCH(1,($D89='Best Lifts'!$A:$A)*($E89='Best Lifts'!$B:$B),0))</f>
        <v/>
      </c>
    </row>
    <row r="90">
      <c r="A90" s="163">
        <f t="shared" si="16"/>
        <v>11</v>
      </c>
      <c r="B90" s="163" t="str">
        <f t="shared" si="17"/>
        <v>Loading...</v>
      </c>
      <c r="C90" s="163"/>
      <c r="D90" s="163" t="str">
        <f>IFERROR(__xludf.DUMMYFUNCTION("""COMPUTED_VALUE"""),"Mensinger")</f>
        <v>Mensinger</v>
      </c>
      <c r="E90" s="163" t="str">
        <f>IFERROR(__xludf.DUMMYFUNCTION("""COMPUTED_VALUE"""),"Kim")</f>
        <v>Kim</v>
      </c>
      <c r="F90" s="163" t="str">
        <f>IFERROR(__xludf.DUMMYFUNCTION("""COMPUTED_VALUE"""),"3 - Sat")</f>
        <v>3 - Sat</v>
      </c>
      <c r="G90" s="163"/>
      <c r="H90" s="163"/>
      <c r="I90" s="163"/>
      <c r="J90" s="163" t="str">
        <f>IFERROR(__xludf.DUMMYFUNCTION("""COMPUTED_VALUE"""),"M")</f>
        <v>M</v>
      </c>
      <c r="K90" s="163" t="str">
        <f>IFERROR(__xludf.DUMMYFUNCTION("""COMPUTED_VALUE"""),"E")</f>
        <v>E</v>
      </c>
      <c r="L90" s="163">
        <f>IFERROR(__xludf.DUMMYFUNCTION("""COMPUTED_VALUE"""),90.0)</f>
        <v>90</v>
      </c>
      <c r="M90" s="163">
        <f>IFERROR(__xludf.DUMMYFUNCTION("""COMPUTED_VALUE"""),640.0)</f>
        <v>640</v>
      </c>
      <c r="N90" s="163"/>
      <c r="O90" s="164">
        <f t="array" ref="O90">INDEX('Best Lifts'!E$1:E$268,MATCH(1,($D90='Best Lifts'!$A:$A)*($E90='Best Lifts'!$B:$B),0))</f>
        <v>245</v>
      </c>
      <c r="P90" s="164">
        <f t="array" ref="P90">INDEX('Best Lifts'!F$1:F$268,MATCH(1,($D90='Best Lifts'!$A:$A)*($E90='Best Lifts'!$B:$B),0))</f>
        <v>160</v>
      </c>
      <c r="Q90" s="164">
        <f t="array" ref="Q90">INDEX('Best Lifts'!G$1:G$268,MATCH(1,($D90='Best Lifts'!$A:$A)*($E90='Best Lifts'!$B:$B),0))</f>
        <v>235</v>
      </c>
      <c r="R90" s="164">
        <f t="array" ref="R90">INDEX('Best Lifts'!H$1:H$268,MATCH(1,($D90='Best Lifts'!$A:$A)*($E90='Best Lifts'!$B:$B),0))</f>
        <v>640</v>
      </c>
      <c r="S90" s="164" t="str">
        <f t="array" ref="S90">INDEX('Best Lifts'!I$1:I175,MATCH(1,($D90='Best Lifts'!$A:$A)*($E90='Best Lifts'!$B:$B),0))</f>
        <v>#N/A</v>
      </c>
      <c r="T90" s="164" t="str">
        <f t="array" ref="T90">INDEX('Best Lifts'!J$1:J$268,MATCH(1,($D90='Best Lifts'!$A:$A)*($E90='Best Lifts'!$B:$B),0))</f>
        <v/>
      </c>
      <c r="U90" s="164" t="str">
        <f t="array" ref="U90">INDEX('Best Lifts'!K$1:K$268,MATCH(1,($D90='Best Lifts'!$A:$A)*($E90='Best Lifts'!$B:$B),0))</f>
        <v/>
      </c>
      <c r="V90" s="164" t="str">
        <f t="array" ref="V90">INDEX('Best Lifts'!L$1:L$268,MATCH(1,($D90='Best Lifts'!$A:$A)*($E90='Best Lifts'!$B:$B),0))</f>
        <v/>
      </c>
      <c r="W90" s="164">
        <f t="shared" si="18"/>
        <v>0</v>
      </c>
      <c r="X90" s="164" t="str">
        <f t="array" ref="X90">INDEX('Best Lifts'!M$1:M$258,MATCH(1,($D90='Best Lifts'!$A:$A)*($E90='Best Lifts'!$B:$B),0))</f>
        <v/>
      </c>
    </row>
    <row r="91">
      <c r="A91" s="163">
        <f t="shared" si="16"/>
        <v>12</v>
      </c>
      <c r="B91" s="163" t="str">
        <f t="shared" si="17"/>
        <v>Loading...</v>
      </c>
      <c r="C91" s="163"/>
      <c r="D91" s="163" t="str">
        <f>IFERROR(__xludf.DUMMYFUNCTION("""COMPUTED_VALUE"""),"Griffin")</f>
        <v>Griffin</v>
      </c>
      <c r="E91" s="163" t="str">
        <f>IFERROR(__xludf.DUMMYFUNCTION("""COMPUTED_VALUE"""),"Drew")</f>
        <v>Drew</v>
      </c>
      <c r="F91" s="163" t="str">
        <f>IFERROR(__xludf.DUMMYFUNCTION("""COMPUTED_VALUE"""),"3 - Sat")</f>
        <v>3 - Sat</v>
      </c>
      <c r="G91" s="163"/>
      <c r="H91" s="163"/>
      <c r="I91" s="163"/>
      <c r="J91" s="163" t="str">
        <f>IFERROR(__xludf.DUMMYFUNCTION("""COMPUTED_VALUE"""),"M")</f>
        <v>M</v>
      </c>
      <c r="K91" s="163" t="str">
        <f>IFERROR(__xludf.DUMMYFUNCTION("""COMPUTED_VALUE"""),"E")</f>
        <v>E</v>
      </c>
      <c r="L91" s="163">
        <f>IFERROR(__xludf.DUMMYFUNCTION("""COMPUTED_VALUE"""),90.0)</f>
        <v>90</v>
      </c>
      <c r="M91" s="163">
        <f>IFERROR(__xludf.DUMMYFUNCTION("""COMPUTED_VALUE"""),630.0)</f>
        <v>630</v>
      </c>
      <c r="N91" s="163"/>
      <c r="O91" s="164" t="str">
        <f t="array" ref="O91">INDEX('Best Lifts'!E$1:E$268,MATCH(1,($D91='Best Lifts'!$A:$A)*($E91='Best Lifts'!$B:$B),0))</f>
        <v>#N/A</v>
      </c>
      <c r="P91" s="164" t="str">
        <f t="array" ref="P91">INDEX('Best Lifts'!F$1:F$268,MATCH(1,($D91='Best Lifts'!$A:$A)*($E91='Best Lifts'!$B:$B),0))</f>
        <v/>
      </c>
      <c r="Q91" s="164" t="str">
        <f t="array" ref="Q91">INDEX('Best Lifts'!G$1:G$268,MATCH(1,($D91='Best Lifts'!$A:$A)*($E91='Best Lifts'!$B:$B),0))</f>
        <v/>
      </c>
      <c r="R91" s="164" t="str">
        <f t="array" ref="R91">INDEX('Best Lifts'!H$1:H$268,MATCH(1,($D91='Best Lifts'!$A:$A)*($E91='Best Lifts'!$B:$B),0))</f>
        <v/>
      </c>
      <c r="S91" s="164">
        <f t="array" ref="S91">INDEX('Best Lifts'!I$1:I175,MATCH(1,($D91='Best Lifts'!$A:$A)*($E91='Best Lifts'!$B:$B),0))</f>
        <v>250</v>
      </c>
      <c r="T91" s="164">
        <f t="array" ref="T91">INDEX('Best Lifts'!J$1:J$268,MATCH(1,($D91='Best Lifts'!$A:$A)*($E91='Best Lifts'!$B:$B),0))</f>
        <v>130</v>
      </c>
      <c r="U91" s="164">
        <f t="array" ref="U91">INDEX('Best Lifts'!K$1:K$268,MATCH(1,($D91='Best Lifts'!$A:$A)*($E91='Best Lifts'!$B:$B),0))</f>
        <v>250</v>
      </c>
      <c r="V91" s="164">
        <f t="array" ref="V91">INDEX('Best Lifts'!L$1:L$268,MATCH(1,($D91='Best Lifts'!$A:$A)*($E91='Best Lifts'!$B:$B),0))</f>
        <v>630</v>
      </c>
      <c r="W91" s="164">
        <f t="shared" si="18"/>
        <v>630</v>
      </c>
      <c r="X91" s="164" t="str">
        <f t="array" ref="X91">INDEX('Best Lifts'!M$1:M$258,MATCH(1,($D91='Best Lifts'!$A:$A)*($E91='Best Lifts'!$B:$B),0))</f>
        <v/>
      </c>
    </row>
    <row r="92">
      <c r="A92" s="163">
        <f t="shared" si="16"/>
        <v>13</v>
      </c>
      <c r="B92" s="163" t="str">
        <f t="shared" si="17"/>
        <v>Loading...</v>
      </c>
      <c r="C92" s="163"/>
      <c r="D92" s="163" t="str">
        <f>IFERROR(__xludf.DUMMYFUNCTION("""COMPUTED_VALUE"""),"Hathaway")</f>
        <v>Hathaway</v>
      </c>
      <c r="E92" s="163" t="str">
        <f>IFERROR(__xludf.DUMMYFUNCTION("""COMPUTED_VALUE"""),"William")</f>
        <v>William</v>
      </c>
      <c r="F92" s="163" t="str">
        <f>IFERROR(__xludf.DUMMYFUNCTION("""COMPUTED_VALUE"""),"3 - Sat")</f>
        <v>3 - Sat</v>
      </c>
      <c r="G92" s="163"/>
      <c r="H92" s="163"/>
      <c r="I92" s="163"/>
      <c r="J92" s="163" t="str">
        <f>IFERROR(__xludf.DUMMYFUNCTION("""COMPUTED_VALUE"""),"M")</f>
        <v>M</v>
      </c>
      <c r="K92" s="163" t="str">
        <f>IFERROR(__xludf.DUMMYFUNCTION("""COMPUTED_VALUE"""),"E")</f>
        <v>E</v>
      </c>
      <c r="L92" s="163">
        <f>IFERROR(__xludf.DUMMYFUNCTION("""COMPUTED_VALUE"""),90.0)</f>
        <v>90</v>
      </c>
      <c r="M92" s="163">
        <f>IFERROR(__xludf.DUMMYFUNCTION("""COMPUTED_VALUE"""),625.0)</f>
        <v>625</v>
      </c>
      <c r="N92" s="163"/>
      <c r="O92" s="164">
        <f t="array" ref="O92">INDEX('Best Lifts'!E$1:E$268,MATCH(1,($D92='Best Lifts'!$A:$A)*($E92='Best Lifts'!$B:$B),0))</f>
        <v>177.5</v>
      </c>
      <c r="P92" s="164">
        <f t="array" ref="P92">INDEX('Best Lifts'!F$1:F$268,MATCH(1,($D92='Best Lifts'!$A:$A)*($E92='Best Lifts'!$B:$B),0))</f>
        <v>115</v>
      </c>
      <c r="Q92" s="164">
        <f t="array" ref="Q92">INDEX('Best Lifts'!G$1:G$268,MATCH(1,($D92='Best Lifts'!$A:$A)*($E92='Best Lifts'!$B:$B),0))</f>
        <v>187.5</v>
      </c>
      <c r="R92" s="164">
        <f t="array" ref="R92">INDEX('Best Lifts'!H$1:H$268,MATCH(1,($D92='Best Lifts'!$A:$A)*($E92='Best Lifts'!$B:$B),0))</f>
        <v>480</v>
      </c>
      <c r="S92" s="164">
        <f t="array" ref="S92">INDEX('Best Lifts'!I$1:I175,MATCH(1,($D92='Best Lifts'!$A:$A)*($E92='Best Lifts'!$B:$B),0))</f>
        <v>272.5</v>
      </c>
      <c r="T92" s="164">
        <f t="array" ref="T92">INDEX('Best Lifts'!J$1:J$268,MATCH(1,($D92='Best Lifts'!$A:$A)*($E92='Best Lifts'!$B:$B),0))</f>
        <v>165</v>
      </c>
      <c r="U92" s="164">
        <f t="array" ref="U92">INDEX('Best Lifts'!K$1:K$268,MATCH(1,($D92='Best Lifts'!$A:$A)*($E92='Best Lifts'!$B:$B),0))</f>
        <v>247.5</v>
      </c>
      <c r="V92" s="164">
        <f t="array" ref="V92">INDEX('Best Lifts'!L$1:L$268,MATCH(1,($D92='Best Lifts'!$A:$A)*($E92='Best Lifts'!$B:$B),0))</f>
        <v>680</v>
      </c>
      <c r="W92" s="164">
        <f t="shared" si="18"/>
        <v>685</v>
      </c>
      <c r="X92" s="164" t="str">
        <f t="array" ref="X92">INDEX('Best Lifts'!M$1:M$258,MATCH(1,($D92='Best Lifts'!$A:$A)*($E92='Best Lifts'!$B:$B),0))</f>
        <v/>
      </c>
    </row>
    <row r="93">
      <c r="A93" s="163">
        <f t="shared" si="16"/>
        <v>14</v>
      </c>
      <c r="B93" s="163" t="str">
        <f t="shared" si="17"/>
        <v>Loading...</v>
      </c>
      <c r="C93" s="163"/>
      <c r="D93" s="163" t="str">
        <f>IFERROR(__xludf.DUMMYFUNCTION("""COMPUTED_VALUE"""),"Fowler")</f>
        <v>Fowler</v>
      </c>
      <c r="E93" s="163" t="str">
        <f>IFERROR(__xludf.DUMMYFUNCTION("""COMPUTED_VALUE"""),"Zachary")</f>
        <v>Zachary</v>
      </c>
      <c r="F93" s="163" t="str">
        <f>IFERROR(__xludf.DUMMYFUNCTION("""COMPUTED_VALUE"""),"3 - Sat")</f>
        <v>3 - Sat</v>
      </c>
      <c r="G93" s="163"/>
      <c r="H93" s="163"/>
      <c r="I93" s="163"/>
      <c r="J93" s="163" t="str">
        <f>IFERROR(__xludf.DUMMYFUNCTION("""COMPUTED_VALUE"""),"M")</f>
        <v>M</v>
      </c>
      <c r="K93" s="163" t="str">
        <f>IFERROR(__xludf.DUMMYFUNCTION("""COMPUTED_VALUE"""),"E")</f>
        <v>E</v>
      </c>
      <c r="L93" s="163">
        <f>IFERROR(__xludf.DUMMYFUNCTION("""COMPUTED_VALUE"""),90.0)</f>
        <v>90</v>
      </c>
      <c r="M93" s="163">
        <f>IFERROR(__xludf.DUMMYFUNCTION("""COMPUTED_VALUE"""),615.0)</f>
        <v>615</v>
      </c>
      <c r="N93" s="163"/>
      <c r="O93" s="164">
        <f t="array" ref="O93">INDEX('Best Lifts'!E$1:E$268,MATCH(1,($D93='Best Lifts'!$A:$A)*($E93='Best Lifts'!$B:$B),0))</f>
        <v>227.5</v>
      </c>
      <c r="P93" s="164">
        <f t="array" ref="P93">INDEX('Best Lifts'!F$1:F$268,MATCH(1,($D93='Best Lifts'!$A:$A)*($E93='Best Lifts'!$B:$B),0))</f>
        <v>130</v>
      </c>
      <c r="Q93" s="164">
        <f t="array" ref="Q93">INDEX('Best Lifts'!G$1:G$268,MATCH(1,($D93='Best Lifts'!$A:$A)*($E93='Best Lifts'!$B:$B),0))</f>
        <v>255</v>
      </c>
      <c r="R93" s="164">
        <f t="array" ref="R93">INDEX('Best Lifts'!H$1:H$268,MATCH(1,($D93='Best Lifts'!$A:$A)*($E93='Best Lifts'!$B:$B),0))</f>
        <v>612.5</v>
      </c>
      <c r="S93" s="164">
        <f t="array" ref="S93">INDEX('Best Lifts'!I$1:I175,MATCH(1,($D93='Best Lifts'!$A:$A)*($E93='Best Lifts'!$B:$B),0))</f>
        <v>242.5</v>
      </c>
      <c r="T93" s="164">
        <f t="array" ref="T93">INDEX('Best Lifts'!J$1:J$268,MATCH(1,($D93='Best Lifts'!$A:$A)*($E93='Best Lifts'!$B:$B),0))</f>
        <v>130</v>
      </c>
      <c r="U93" s="164">
        <f t="array" ref="U93">INDEX('Best Lifts'!K$1:K$268,MATCH(1,($D93='Best Lifts'!$A:$A)*($E93='Best Lifts'!$B:$B),0))</f>
        <v>247.5</v>
      </c>
      <c r="V93" s="164">
        <f t="array" ref="V93">INDEX('Best Lifts'!L$1:L$268,MATCH(1,($D93='Best Lifts'!$A:$A)*($E93='Best Lifts'!$B:$B),0))</f>
        <v>615</v>
      </c>
      <c r="W93" s="164">
        <f t="shared" si="18"/>
        <v>620</v>
      </c>
      <c r="X93" s="164" t="str">
        <f t="array" ref="X93">INDEX('Best Lifts'!M$1:M$258,MATCH(1,($D93='Best Lifts'!$A:$A)*($E93='Best Lifts'!$B:$B),0))</f>
        <v/>
      </c>
    </row>
    <row r="94">
      <c r="A94" s="163">
        <f t="shared" si="16"/>
        <v>14</v>
      </c>
      <c r="B94" s="163" t="str">
        <f t="shared" si="17"/>
        <v>Loading...</v>
      </c>
      <c r="C94" s="163"/>
      <c r="D94" s="163" t="str">
        <f>IFERROR(__xludf.DUMMYFUNCTION("""COMPUTED_VALUE"""),"Sumers")</f>
        <v>Sumers</v>
      </c>
      <c r="E94" s="163" t="str">
        <f>IFERROR(__xludf.DUMMYFUNCTION("""COMPUTED_VALUE"""),"Trent")</f>
        <v>Trent</v>
      </c>
      <c r="F94" s="163" t="str">
        <f>IFERROR(__xludf.DUMMYFUNCTION("""COMPUTED_VALUE"""),"3 - Sat")</f>
        <v>3 - Sat</v>
      </c>
      <c r="G94" s="163"/>
      <c r="H94" s="163"/>
      <c r="I94" s="163"/>
      <c r="J94" s="163" t="str">
        <f>IFERROR(__xludf.DUMMYFUNCTION("""COMPUTED_VALUE"""),"M")</f>
        <v>M</v>
      </c>
      <c r="K94" s="163" t="str">
        <f>IFERROR(__xludf.DUMMYFUNCTION("""COMPUTED_VALUE"""),"E")</f>
        <v>E</v>
      </c>
      <c r="L94" s="163">
        <f>IFERROR(__xludf.DUMMYFUNCTION("""COMPUTED_VALUE"""),90.0)</f>
        <v>90</v>
      </c>
      <c r="M94" s="163">
        <f>IFERROR(__xludf.DUMMYFUNCTION("""COMPUTED_VALUE"""),615.0)</f>
        <v>615</v>
      </c>
      <c r="N94" s="163"/>
      <c r="O94" s="164">
        <f t="array" ref="O94">INDEX('Best Lifts'!E$1:E$268,MATCH(1,($D94='Best Lifts'!$A:$A)*($E94='Best Lifts'!$B:$B),0))</f>
        <v>220</v>
      </c>
      <c r="P94" s="164">
        <f t="array" ref="P94">INDEX('Best Lifts'!F$1:F$268,MATCH(1,($D94='Best Lifts'!$A:$A)*($E94='Best Lifts'!$B:$B),0))</f>
        <v>157.5</v>
      </c>
      <c r="Q94" s="164">
        <f t="array" ref="Q94">INDEX('Best Lifts'!G$1:G$268,MATCH(1,($D94='Best Lifts'!$A:$A)*($E94='Best Lifts'!$B:$B),0))</f>
        <v>237.5</v>
      </c>
      <c r="R94" s="164">
        <f t="array" ref="R94">INDEX('Best Lifts'!H$1:H$268,MATCH(1,($D94='Best Lifts'!$A:$A)*($E94='Best Lifts'!$B:$B),0))</f>
        <v>615</v>
      </c>
      <c r="S94" s="164" t="str">
        <f t="array" ref="S94">INDEX('Best Lifts'!I$1:I175,MATCH(1,($D94='Best Lifts'!$A:$A)*($E94='Best Lifts'!$B:$B),0))</f>
        <v>#N/A</v>
      </c>
      <c r="T94" s="164" t="str">
        <f t="array" ref="T94">INDEX('Best Lifts'!J$1:J$268,MATCH(1,($D94='Best Lifts'!$A:$A)*($E94='Best Lifts'!$B:$B),0))</f>
        <v/>
      </c>
      <c r="U94" s="164" t="str">
        <f t="array" ref="U94">INDEX('Best Lifts'!K$1:K$268,MATCH(1,($D94='Best Lifts'!$A:$A)*($E94='Best Lifts'!$B:$B),0))</f>
        <v/>
      </c>
      <c r="V94" s="164" t="str">
        <f t="array" ref="V94">INDEX('Best Lifts'!L$1:L$268,MATCH(1,($D94='Best Lifts'!$A:$A)*($E94='Best Lifts'!$B:$B),0))</f>
        <v/>
      </c>
      <c r="W94" s="164">
        <f t="shared" si="18"/>
        <v>0</v>
      </c>
      <c r="X94" s="164" t="str">
        <f t="array" ref="X94">INDEX('Best Lifts'!M$1:M$258,MATCH(1,($D94='Best Lifts'!$A:$A)*($E94='Best Lifts'!$B:$B),0))</f>
        <v/>
      </c>
    </row>
    <row r="95">
      <c r="A95" s="163">
        <f t="shared" si="16"/>
        <v>16</v>
      </c>
      <c r="B95" s="163" t="str">
        <f t="shared" si="17"/>
        <v>Loading...</v>
      </c>
      <c r="C95" s="163"/>
      <c r="D95" s="163" t="str">
        <f>IFERROR(__xludf.DUMMYFUNCTION("""COMPUTED_VALUE"""),"Hamilton")</f>
        <v>Hamilton</v>
      </c>
      <c r="E95" s="163" t="str">
        <f>IFERROR(__xludf.DUMMYFUNCTION("""COMPUTED_VALUE"""),"Joshua")</f>
        <v>Joshua</v>
      </c>
      <c r="F95" s="163" t="str">
        <f>IFERROR(__xludf.DUMMYFUNCTION("""COMPUTED_VALUE"""),"3 - Sat")</f>
        <v>3 - Sat</v>
      </c>
      <c r="G95" s="163"/>
      <c r="H95" s="163"/>
      <c r="I95" s="163"/>
      <c r="J95" s="163" t="str">
        <f>IFERROR(__xludf.DUMMYFUNCTION("""COMPUTED_VALUE"""),"M")</f>
        <v>M</v>
      </c>
      <c r="K95" s="163" t="str">
        <f>IFERROR(__xludf.DUMMYFUNCTION("""COMPUTED_VALUE"""),"E")</f>
        <v>E</v>
      </c>
      <c r="L95" s="163">
        <f>IFERROR(__xludf.DUMMYFUNCTION("""COMPUTED_VALUE"""),90.0)</f>
        <v>90</v>
      </c>
      <c r="M95" s="163">
        <f>IFERROR(__xludf.DUMMYFUNCTION("""COMPUTED_VALUE"""),595.0)</f>
        <v>595</v>
      </c>
      <c r="N95" s="163"/>
      <c r="O95" s="164">
        <f t="array" ref="O95">INDEX('Best Lifts'!E$1:E$268,MATCH(1,($D95='Best Lifts'!$A:$A)*($E95='Best Lifts'!$B:$B),0))</f>
        <v>230</v>
      </c>
      <c r="P95" s="164">
        <f t="array" ref="P95">INDEX('Best Lifts'!F$1:F$268,MATCH(1,($D95='Best Lifts'!$A:$A)*($E95='Best Lifts'!$B:$B),0))</f>
        <v>150</v>
      </c>
      <c r="Q95" s="164">
        <f t="array" ref="Q95">INDEX('Best Lifts'!G$1:G$268,MATCH(1,($D95='Best Lifts'!$A:$A)*($E95='Best Lifts'!$B:$B),0))</f>
        <v>215</v>
      </c>
      <c r="R95" s="164">
        <f t="array" ref="R95">INDEX('Best Lifts'!H$1:H$268,MATCH(1,($D95='Best Lifts'!$A:$A)*($E95='Best Lifts'!$B:$B),0))</f>
        <v>595</v>
      </c>
      <c r="S95" s="164" t="str">
        <f t="array" ref="S95">INDEX('Best Lifts'!I$1:I175,MATCH(1,($D95='Best Lifts'!$A:$A)*($E95='Best Lifts'!$B:$B),0))</f>
        <v>#N/A</v>
      </c>
      <c r="T95" s="164" t="str">
        <f t="array" ref="T95">INDEX('Best Lifts'!J$1:J$268,MATCH(1,($D95='Best Lifts'!$A:$A)*($E95='Best Lifts'!$B:$B),0))</f>
        <v/>
      </c>
      <c r="U95" s="164" t="str">
        <f t="array" ref="U95">INDEX('Best Lifts'!K$1:K$268,MATCH(1,($D95='Best Lifts'!$A:$A)*($E95='Best Lifts'!$B:$B),0))</f>
        <v/>
      </c>
      <c r="V95" s="164" t="str">
        <f t="array" ref="V95">INDEX('Best Lifts'!L$1:L$268,MATCH(1,($D95='Best Lifts'!$A:$A)*($E95='Best Lifts'!$B:$B),0))</f>
        <v/>
      </c>
      <c r="W95" s="164">
        <f t="shared" si="18"/>
        <v>0</v>
      </c>
      <c r="X95" s="164" t="str">
        <f t="array" ref="X95">INDEX('Best Lifts'!M$1:M$258,MATCH(1,($D95='Best Lifts'!$A:$A)*($E95='Best Lifts'!$B:$B),0))</f>
        <v/>
      </c>
    </row>
    <row r="96">
      <c r="A96" s="163">
        <f t="shared" si="16"/>
        <v>17</v>
      </c>
      <c r="B96" s="163" t="str">
        <f t="shared" si="17"/>
        <v>Loading...</v>
      </c>
      <c r="C96" s="163"/>
      <c r="D96" s="163" t="str">
        <f>IFERROR(__xludf.DUMMYFUNCTION("""COMPUTED_VALUE"""),"Portier")</f>
        <v>Portier</v>
      </c>
      <c r="E96" s="163" t="str">
        <f>IFERROR(__xludf.DUMMYFUNCTION("""COMPUTED_VALUE"""),"Jacob")</f>
        <v>Jacob</v>
      </c>
      <c r="F96" s="163" t="str">
        <f>IFERROR(__xludf.DUMMYFUNCTION("""COMPUTED_VALUE"""),"3 - Sat")</f>
        <v>3 - Sat</v>
      </c>
      <c r="G96" s="163"/>
      <c r="H96" s="163"/>
      <c r="I96" s="163"/>
      <c r="J96" s="163" t="str">
        <f>IFERROR(__xludf.DUMMYFUNCTION("""COMPUTED_VALUE"""),"M")</f>
        <v>M</v>
      </c>
      <c r="K96" s="163" t="str">
        <f>IFERROR(__xludf.DUMMYFUNCTION("""COMPUTED_VALUE"""),"E")</f>
        <v>E</v>
      </c>
      <c r="L96" s="163">
        <f>IFERROR(__xludf.DUMMYFUNCTION("""COMPUTED_VALUE"""),90.0)</f>
        <v>90</v>
      </c>
      <c r="M96" s="163">
        <f>IFERROR(__xludf.DUMMYFUNCTION("""COMPUTED_VALUE"""),575.0)</f>
        <v>575</v>
      </c>
      <c r="N96" s="163"/>
      <c r="O96" s="164" t="str">
        <f t="array" ref="O96">INDEX('Best Lifts'!E$1:E$268,MATCH(1,($D96='Best Lifts'!$A:$A)*($E96='Best Lifts'!$B:$B),0))</f>
        <v>#N/A</v>
      </c>
      <c r="P96" s="164" t="str">
        <f t="array" ref="P96">INDEX('Best Lifts'!F$1:F$268,MATCH(1,($D96='Best Lifts'!$A:$A)*($E96='Best Lifts'!$B:$B),0))</f>
        <v/>
      </c>
      <c r="Q96" s="164" t="str">
        <f t="array" ref="Q96">INDEX('Best Lifts'!G$1:G$268,MATCH(1,($D96='Best Lifts'!$A:$A)*($E96='Best Lifts'!$B:$B),0))</f>
        <v/>
      </c>
      <c r="R96" s="164" t="str">
        <f t="array" ref="R96">INDEX('Best Lifts'!H$1:H$268,MATCH(1,($D96='Best Lifts'!$A:$A)*($E96='Best Lifts'!$B:$B),0))</f>
        <v/>
      </c>
      <c r="S96" s="164">
        <f t="array" ref="S96">INDEX('Best Lifts'!I$1:I175,MATCH(1,($D96='Best Lifts'!$A:$A)*($E96='Best Lifts'!$B:$B),0))</f>
        <v>225</v>
      </c>
      <c r="T96" s="164">
        <f t="array" ref="T96">INDEX('Best Lifts'!J$1:J$268,MATCH(1,($D96='Best Lifts'!$A:$A)*($E96='Best Lifts'!$B:$B),0))</f>
        <v>120</v>
      </c>
      <c r="U96" s="164">
        <f t="array" ref="U96">INDEX('Best Lifts'!K$1:K$268,MATCH(1,($D96='Best Lifts'!$A:$A)*($E96='Best Lifts'!$B:$B),0))</f>
        <v>230</v>
      </c>
      <c r="V96" s="164">
        <f t="array" ref="V96">INDEX('Best Lifts'!L$1:L$268,MATCH(1,($D96='Best Lifts'!$A:$A)*($E96='Best Lifts'!$B:$B),0))</f>
        <v>575</v>
      </c>
      <c r="W96" s="164">
        <f t="shared" si="18"/>
        <v>575</v>
      </c>
      <c r="X96" s="164" t="str">
        <f t="array" ref="X96">INDEX('Best Lifts'!M$1:M$258,MATCH(1,($D96='Best Lifts'!$A:$A)*($E96='Best Lifts'!$B:$B),0))</f>
        <v/>
      </c>
    </row>
    <row r="97">
      <c r="A97" s="163">
        <f t="shared" si="16"/>
        <v>18</v>
      </c>
      <c r="B97" s="163" t="str">
        <f t="shared" si="17"/>
        <v>Loading...</v>
      </c>
      <c r="C97" s="163"/>
      <c r="D97" s="163" t="str">
        <f>IFERROR(__xludf.DUMMYFUNCTION("""COMPUTED_VALUE"""),"Delgado")</f>
        <v>Delgado</v>
      </c>
      <c r="E97" s="163" t="str">
        <f>IFERROR(__xludf.DUMMYFUNCTION("""COMPUTED_VALUE"""),"Jose")</f>
        <v>Jose</v>
      </c>
      <c r="F97" s="163" t="str">
        <f>IFERROR(__xludf.DUMMYFUNCTION("""COMPUTED_VALUE"""),"3 - Sat")</f>
        <v>3 - Sat</v>
      </c>
      <c r="G97" s="163"/>
      <c r="H97" s="163"/>
      <c r="I97" s="163"/>
      <c r="J97" s="163" t="str">
        <f>IFERROR(__xludf.DUMMYFUNCTION("""COMPUTED_VALUE"""),"M")</f>
        <v>M</v>
      </c>
      <c r="K97" s="163" t="str">
        <f>IFERROR(__xludf.DUMMYFUNCTION("""COMPUTED_VALUE"""),"E")</f>
        <v>E</v>
      </c>
      <c r="L97" s="163">
        <f>IFERROR(__xludf.DUMMYFUNCTION("""COMPUTED_VALUE"""),90.0)</f>
        <v>90</v>
      </c>
      <c r="M97" s="163">
        <f>IFERROR(__xludf.DUMMYFUNCTION("""COMPUTED_VALUE"""),550.0)</f>
        <v>550</v>
      </c>
      <c r="N97" s="163"/>
      <c r="O97" s="164">
        <f t="array" ref="O97">INDEX('Best Lifts'!E$1:E$268,MATCH(1,($D97='Best Lifts'!$A:$A)*($E97='Best Lifts'!$B:$B),0))</f>
        <v>205</v>
      </c>
      <c r="P97" s="164">
        <f t="array" ref="P97">INDEX('Best Lifts'!F$1:F$268,MATCH(1,($D97='Best Lifts'!$A:$A)*($E97='Best Lifts'!$B:$B),0))</f>
        <v>125</v>
      </c>
      <c r="Q97" s="164">
        <f t="array" ref="Q97">INDEX('Best Lifts'!G$1:G$268,MATCH(1,($D97='Best Lifts'!$A:$A)*($E97='Best Lifts'!$B:$B),0))</f>
        <v>220</v>
      </c>
      <c r="R97" s="164">
        <f t="array" ref="R97">INDEX('Best Lifts'!H$1:H$268,MATCH(1,($D97='Best Lifts'!$A:$A)*($E97='Best Lifts'!$B:$B),0))</f>
        <v>550</v>
      </c>
      <c r="S97" s="164">
        <f t="array" ref="S97">INDEX('Best Lifts'!I$1:I175,MATCH(1,($D97='Best Lifts'!$A:$A)*($E97='Best Lifts'!$B:$B),0))</f>
        <v>160</v>
      </c>
      <c r="T97" s="164">
        <f t="array" ref="T97">INDEX('Best Lifts'!J$1:J$268,MATCH(1,($D97='Best Lifts'!$A:$A)*($E97='Best Lifts'!$B:$B),0))</f>
        <v>90</v>
      </c>
      <c r="U97" s="164">
        <f t="array" ref="U97">INDEX('Best Lifts'!K$1:K$268,MATCH(1,($D97='Best Lifts'!$A:$A)*($E97='Best Lifts'!$B:$B),0))</f>
        <v>170</v>
      </c>
      <c r="V97" s="164">
        <f t="array" ref="V97">INDEX('Best Lifts'!L$1:L$268,MATCH(1,($D97='Best Lifts'!$A:$A)*($E97='Best Lifts'!$B:$B),0))</f>
        <v>420</v>
      </c>
      <c r="W97" s="164">
        <f t="shared" si="18"/>
        <v>420</v>
      </c>
      <c r="X97" s="164" t="str">
        <f t="array" ref="X97">INDEX('Best Lifts'!M$1:M$258,MATCH(1,($D97='Best Lifts'!$A:$A)*($E97='Best Lifts'!$B:$B),0))</f>
        <v/>
      </c>
    </row>
    <row r="98">
      <c r="A98" s="163">
        <f t="shared" si="16"/>
        <v>19</v>
      </c>
      <c r="B98" s="163" t="str">
        <f t="shared" si="17"/>
        <v>Loading...</v>
      </c>
      <c r="C98" s="163"/>
      <c r="D98" s="163" t="str">
        <f>IFERROR(__xludf.DUMMYFUNCTION("""COMPUTED_VALUE"""),"Gorczyca")</f>
        <v>Gorczyca</v>
      </c>
      <c r="E98" s="163" t="str">
        <f>IFERROR(__xludf.DUMMYFUNCTION("""COMPUTED_VALUE"""),"Alexander")</f>
        <v>Alexander</v>
      </c>
      <c r="F98" s="163" t="str">
        <f>IFERROR(__xludf.DUMMYFUNCTION("""COMPUTED_VALUE"""),"3 - Sat")</f>
        <v>3 - Sat</v>
      </c>
      <c r="G98" s="163"/>
      <c r="H98" s="163"/>
      <c r="I98" s="163"/>
      <c r="J98" s="163" t="str">
        <f>IFERROR(__xludf.DUMMYFUNCTION("""COMPUTED_VALUE"""),"M")</f>
        <v>M</v>
      </c>
      <c r="K98" s="163" t="str">
        <f>IFERROR(__xludf.DUMMYFUNCTION("""COMPUTED_VALUE"""),"E")</f>
        <v>E</v>
      </c>
      <c r="L98" s="163">
        <f>IFERROR(__xludf.DUMMYFUNCTION("""COMPUTED_VALUE"""),90.0)</f>
        <v>90</v>
      </c>
      <c r="M98" s="163">
        <f>IFERROR(__xludf.DUMMYFUNCTION("""COMPUTED_VALUE"""),545.0)</f>
        <v>545</v>
      </c>
      <c r="N98" s="163"/>
      <c r="O98" s="164">
        <f t="array" ref="O98">INDEX('Best Lifts'!E$1:E$268,MATCH(1,($D98='Best Lifts'!$A:$A)*($E98='Best Lifts'!$B:$B),0))</f>
        <v>185</v>
      </c>
      <c r="P98" s="164">
        <f t="array" ref="P98">INDEX('Best Lifts'!F$1:F$268,MATCH(1,($D98='Best Lifts'!$A:$A)*($E98='Best Lifts'!$B:$B),0))</f>
        <v>115</v>
      </c>
      <c r="Q98" s="164">
        <f t="array" ref="Q98">INDEX('Best Lifts'!G$1:G$268,MATCH(1,($D98='Best Lifts'!$A:$A)*($E98='Best Lifts'!$B:$B),0))</f>
        <v>245</v>
      </c>
      <c r="R98" s="164">
        <f t="array" ref="R98">INDEX('Best Lifts'!H$1:H$268,MATCH(1,($D98='Best Lifts'!$A:$A)*($E98='Best Lifts'!$B:$B),0))</f>
        <v>545</v>
      </c>
      <c r="S98" s="164">
        <f t="array" ref="S98">INDEX('Best Lifts'!I$1:I175,MATCH(1,($D98='Best Lifts'!$A:$A)*($E98='Best Lifts'!$B:$B),0))</f>
        <v>195</v>
      </c>
      <c r="T98" s="164">
        <f t="array" ref="T98">INDEX('Best Lifts'!J$1:J$268,MATCH(1,($D98='Best Lifts'!$A:$A)*($E98='Best Lifts'!$B:$B),0))</f>
        <v>102.5</v>
      </c>
      <c r="U98" s="164">
        <f t="array" ref="U98">INDEX('Best Lifts'!K$1:K$268,MATCH(1,($D98='Best Lifts'!$A:$A)*($E98='Best Lifts'!$B:$B),0))</f>
        <v>192.5</v>
      </c>
      <c r="V98" s="164">
        <f t="array" ref="V98">INDEX('Best Lifts'!L$1:L$268,MATCH(1,($D98='Best Lifts'!$A:$A)*($E98='Best Lifts'!$B:$B),0))</f>
        <v>490</v>
      </c>
      <c r="W98" s="164">
        <f t="shared" si="18"/>
        <v>490</v>
      </c>
      <c r="X98" s="164" t="str">
        <f t="array" ref="X98">INDEX('Best Lifts'!M$1:M$258,MATCH(1,($D98='Best Lifts'!$A:$A)*($E98='Best Lifts'!$B:$B),0))</f>
        <v/>
      </c>
    </row>
    <row r="99">
      <c r="A99" s="163" t="str">
        <f t="shared" si="16"/>
        <v>#N/A</v>
      </c>
      <c r="B99" s="163" t="str">
        <f t="shared" si="17"/>
        <v>Loading...</v>
      </c>
      <c r="C99" s="163"/>
      <c r="D99" s="163" t="str">
        <f>IFERROR(__xludf.DUMMYFUNCTION("""COMPUTED_VALUE"""),"Bourque")</f>
        <v>Bourque</v>
      </c>
      <c r="E99" s="163" t="str">
        <f>IFERROR(__xludf.DUMMYFUNCTION("""COMPUTED_VALUE"""),"Jonah")</f>
        <v>Jonah</v>
      </c>
      <c r="F99" s="163" t="str">
        <f>IFERROR(__xludf.DUMMYFUNCTION("""COMPUTED_VALUE"""),"3 - Sat")</f>
        <v>3 - Sat</v>
      </c>
      <c r="G99" s="163"/>
      <c r="H99" s="163"/>
      <c r="I99" s="163"/>
      <c r="J99" s="163" t="str">
        <f>IFERROR(__xludf.DUMMYFUNCTION("""COMPUTED_VALUE"""),"M")</f>
        <v>M</v>
      </c>
      <c r="K99" s="163" t="str">
        <f>IFERROR(__xludf.DUMMYFUNCTION("""COMPUTED_VALUE"""),"E")</f>
        <v>E</v>
      </c>
      <c r="L99" s="163">
        <f>IFERROR(__xludf.DUMMYFUNCTION("""COMPUTED_VALUE"""),90.0)</f>
        <v>90</v>
      </c>
      <c r="M99" s="163"/>
      <c r="N99" s="163"/>
      <c r="O99" s="164"/>
      <c r="P99" s="164"/>
      <c r="Q99" s="164"/>
      <c r="R99" s="164"/>
      <c r="S99" s="164" t="str">
        <f t="array" ref="S99">INDEX('Best Lifts'!I$1:I175,MATCH(1,($D99='Best Lifts'!$A:$A)*($E99='Best Lifts'!$B:$B),0))</f>
        <v>#N/A</v>
      </c>
      <c r="T99" s="164" t="str">
        <f t="array" ref="T99">INDEX('Best Lifts'!J$1:J$268,MATCH(1,($D99='Best Lifts'!$A:$A)*($E99='Best Lifts'!$B:$B),0))</f>
        <v/>
      </c>
      <c r="U99" s="164" t="str">
        <f t="array" ref="U99">INDEX('Best Lifts'!K$1:K$268,MATCH(1,($D99='Best Lifts'!$A:$A)*($E99='Best Lifts'!$B:$B),0))</f>
        <v/>
      </c>
      <c r="V99" s="164" t="str">
        <f t="array" ref="V99">INDEX('Best Lifts'!L$1:L$268,MATCH(1,($D99='Best Lifts'!$A:$A)*($E99='Best Lifts'!$B:$B),0))</f>
        <v/>
      </c>
      <c r="W99" s="164">
        <f t="shared" si="18"/>
        <v>0</v>
      </c>
      <c r="X99" s="164" t="str">
        <f t="array" ref="X99">INDEX('Best Lifts'!M$1:M$258,MATCH(1,($D99='Best Lifts'!$A:$A)*($E99='Best Lifts'!$B:$B),0))</f>
        <v>#NUM!</v>
      </c>
    </row>
    <row r="100">
      <c r="A100" s="163" t="str">
        <f t="shared" si="16"/>
        <v>#N/A</v>
      </c>
      <c r="B100" s="163" t="str">
        <f t="shared" si="17"/>
        <v>Loading...</v>
      </c>
      <c r="C100" s="163"/>
      <c r="D100" s="163" t="str">
        <f>IFERROR(__xludf.DUMMYFUNCTION("""COMPUTED_VALUE"""),"Davison")</f>
        <v>Davison</v>
      </c>
      <c r="E100" s="163" t="str">
        <f>IFERROR(__xludf.DUMMYFUNCTION("""COMPUTED_VALUE"""),"Christopher")</f>
        <v>Christopher</v>
      </c>
      <c r="F100" s="163" t="str">
        <f>IFERROR(__xludf.DUMMYFUNCTION("""COMPUTED_VALUE"""),"3 - Sat")</f>
        <v>3 - Sat</v>
      </c>
      <c r="G100" s="163"/>
      <c r="H100" s="163"/>
      <c r="I100" s="163"/>
      <c r="J100" s="163" t="str">
        <f>IFERROR(__xludf.DUMMYFUNCTION("""COMPUTED_VALUE"""),"M")</f>
        <v>M</v>
      </c>
      <c r="K100" s="163" t="str">
        <f>IFERROR(__xludf.DUMMYFUNCTION("""COMPUTED_VALUE"""),"E")</f>
        <v>E</v>
      </c>
      <c r="L100" s="163">
        <f>IFERROR(__xludf.DUMMYFUNCTION("""COMPUTED_VALUE"""),90.0)</f>
        <v>90</v>
      </c>
      <c r="M100" s="163"/>
      <c r="N100" s="163"/>
      <c r="O100" s="164"/>
      <c r="P100" s="164"/>
      <c r="Q100" s="164"/>
      <c r="R100" s="164"/>
      <c r="S100" s="164" t="str">
        <f t="array" ref="S100">INDEX('Best Lifts'!I$1:I175,MATCH(1,($D100='Best Lifts'!$A:$A)*($E100='Best Lifts'!$B:$B),0))</f>
        <v>Loading...</v>
      </c>
      <c r="T100" s="164"/>
      <c r="U100" s="164"/>
      <c r="V100" s="164"/>
      <c r="W100" s="164"/>
      <c r="X100" s="164"/>
    </row>
    <row r="101">
      <c r="A101" s="163" t="str">
        <f t="shared" si="16"/>
        <v>#N/A</v>
      </c>
      <c r="B101" s="163" t="str">
        <f t="shared" si="17"/>
        <v>Loading...</v>
      </c>
      <c r="C101" s="163"/>
      <c r="D101" s="163" t="str">
        <f>IFERROR(__xludf.DUMMYFUNCTION("""COMPUTED_VALUE"""),"Riklan")</f>
        <v>Riklan</v>
      </c>
      <c r="E101" s="163" t="str">
        <f>IFERROR(__xludf.DUMMYFUNCTION("""COMPUTED_VALUE"""),"Jonathan")</f>
        <v>Jonathan</v>
      </c>
      <c r="F101" s="163" t="str">
        <f>IFERROR(__xludf.DUMMYFUNCTION("""COMPUTED_VALUE"""),"3 - Sat")</f>
        <v>3 - Sat</v>
      </c>
      <c r="G101" s="163"/>
      <c r="H101" s="163"/>
      <c r="I101" s="163"/>
      <c r="J101" s="163" t="str">
        <f>IFERROR(__xludf.DUMMYFUNCTION("""COMPUTED_VALUE"""),"M")</f>
        <v>M</v>
      </c>
      <c r="K101" s="163" t="str">
        <f>IFERROR(__xludf.DUMMYFUNCTION("""COMPUTED_VALUE"""),"E")</f>
        <v>E</v>
      </c>
      <c r="L101" s="163">
        <f>IFERROR(__xludf.DUMMYFUNCTION("""COMPUTED_VALUE"""),90.0)</f>
        <v>90</v>
      </c>
      <c r="M101" s="163"/>
      <c r="N101" s="163"/>
      <c r="O101" s="164"/>
      <c r="P101" s="164"/>
      <c r="Q101" s="164"/>
      <c r="R101" s="164"/>
      <c r="S101" s="164" t="str">
        <f t="array" ref="S101">INDEX('Best Lifts'!I$1:I175,MATCH(1,($D101='Best Lifts'!$A:$A)*($E101='Best Lifts'!$B:$B),0))</f>
        <v>#N/A</v>
      </c>
      <c r="T101" s="164"/>
      <c r="U101" s="164"/>
      <c r="V101" s="164"/>
      <c r="W101" s="164"/>
      <c r="X101" s="164"/>
    </row>
    <row r="102">
      <c r="A102" s="163" t="str">
        <f t="shared" si="16"/>
        <v>#N/A</v>
      </c>
      <c r="B102" s="163" t="str">
        <f t="shared" si="17"/>
        <v>Loading...</v>
      </c>
      <c r="C102" s="163"/>
      <c r="D102" s="163" t="str">
        <f>IFERROR(__xludf.DUMMYFUNCTION("""COMPUTED_VALUE"""),"Serna")</f>
        <v>Serna</v>
      </c>
      <c r="E102" s="163" t="str">
        <f>IFERROR(__xludf.DUMMYFUNCTION("""COMPUTED_VALUE"""),"Nicholas")</f>
        <v>Nicholas</v>
      </c>
      <c r="F102" s="163" t="str">
        <f>IFERROR(__xludf.DUMMYFUNCTION("""COMPUTED_VALUE"""),"3 - Sat")</f>
        <v>3 - Sat</v>
      </c>
      <c r="G102" s="163"/>
      <c r="H102" s="163"/>
      <c r="I102" s="163"/>
      <c r="J102" s="163" t="str">
        <f>IFERROR(__xludf.DUMMYFUNCTION("""COMPUTED_VALUE"""),"M")</f>
        <v>M</v>
      </c>
      <c r="K102" s="163" t="str">
        <f>IFERROR(__xludf.DUMMYFUNCTION("""COMPUTED_VALUE"""),"E")</f>
        <v>E</v>
      </c>
      <c r="L102" s="163">
        <f>IFERROR(__xludf.DUMMYFUNCTION("""COMPUTED_VALUE"""),90.0)</f>
        <v>90</v>
      </c>
      <c r="M102" s="163"/>
      <c r="N102" s="163"/>
      <c r="O102" s="164"/>
      <c r="P102" s="164"/>
      <c r="Q102" s="164"/>
      <c r="R102" s="164"/>
      <c r="S102" s="164" t="str">
        <f t="array" ref="S102">INDEX('Best Lifts'!I$1:I175,MATCH(1,($D102='Best Lifts'!$A:$A)*($E102='Best Lifts'!$B:$B),0))</f>
        <v>#N/A</v>
      </c>
      <c r="T102" s="164"/>
      <c r="U102" s="164"/>
      <c r="V102" s="164"/>
      <c r="W102" s="164"/>
      <c r="X102" s="164"/>
    </row>
    <row r="103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</row>
    <row r="104">
      <c r="A104" s="154"/>
      <c r="B104" s="154"/>
      <c r="C104" s="154"/>
      <c r="D104" s="155">
        <v>100.0</v>
      </c>
      <c r="E104" s="156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8"/>
      <c r="Q104" s="158"/>
      <c r="R104" s="159"/>
      <c r="S104" s="160"/>
      <c r="T104" s="158"/>
      <c r="U104" s="158"/>
      <c r="V104" s="159"/>
      <c r="W104" s="159"/>
      <c r="X104" s="158"/>
    </row>
    <row r="105">
      <c r="A105" s="161" t="s">
        <v>746</v>
      </c>
      <c r="B105" s="161" t="s">
        <v>747</v>
      </c>
      <c r="C105" s="161" t="s">
        <v>748</v>
      </c>
      <c r="D105" s="161" t="s">
        <v>253</v>
      </c>
      <c r="E105" s="161" t="s">
        <v>254</v>
      </c>
      <c r="F105" s="161" t="s">
        <v>31</v>
      </c>
      <c r="G105" s="161" t="s">
        <v>32</v>
      </c>
      <c r="H105" s="161" t="s">
        <v>33</v>
      </c>
      <c r="I105" s="161" t="s">
        <v>34</v>
      </c>
      <c r="J105" s="161" t="s">
        <v>749</v>
      </c>
      <c r="K105" s="161" t="s">
        <v>257</v>
      </c>
      <c r="L105" s="161" t="s">
        <v>750</v>
      </c>
      <c r="M105" s="161" t="s">
        <v>36</v>
      </c>
      <c r="N105" s="161" t="s">
        <v>261</v>
      </c>
      <c r="O105" s="161" t="s">
        <v>751</v>
      </c>
      <c r="P105" s="162" t="s">
        <v>752</v>
      </c>
      <c r="Q105" s="162" t="s">
        <v>753</v>
      </c>
      <c r="R105" s="162" t="s">
        <v>754</v>
      </c>
      <c r="S105" s="161" t="s">
        <v>755</v>
      </c>
      <c r="T105" s="162" t="s">
        <v>756</v>
      </c>
      <c r="U105" s="162" t="s">
        <v>757</v>
      </c>
      <c r="V105" s="162" t="s">
        <v>758</v>
      </c>
      <c r="W105" s="162" t="s">
        <v>759</v>
      </c>
      <c r="X105" s="209" t="s">
        <v>703</v>
      </c>
    </row>
    <row r="106">
      <c r="A106" s="163">
        <f t="shared" ref="A106:A127" si="19">RANK(M106,$M$106:$M$127)</f>
        <v>1</v>
      </c>
      <c r="B106" s="163" t="str">
        <f t="shared" ref="B106:B127" si="20">RANK(W106,$W$106:$W$120)</f>
        <v>Loading...</v>
      </c>
      <c r="C106" s="163"/>
      <c r="D106" s="163" t="str">
        <f>IFERROR(__xludf.DUMMYFUNCTION("FILTER(Roster!A$2:A175,Roster!$H$2:$H175=""M"",Roster!$J$2:$J175=$D104)"),"Mitties")</f>
        <v>Mitties</v>
      </c>
      <c r="E106" s="163" t="str">
        <f>IFERROR(__xludf.DUMMYFUNCTION("FILTER(Roster!B$2:B175,Roster!$H$2:$H175=""M"",Roster!$J$2:$J175=$D104)"),"Peyton")</f>
        <v>Peyton</v>
      </c>
      <c r="F106" s="163" t="str">
        <f>IFERROR(__xludf.DUMMYFUNCTION("FILTER(Roster!D$2:D175,Roster!$H$2:$H175=""M"",Roster!$J$2:$J175=$D104)"),"3 - Sat")</f>
        <v>3 - Sat</v>
      </c>
      <c r="G106" s="163" t="str">
        <f>IFERROR(__xludf.DUMMYFUNCTION("FILTER(Roster!E$2:E175,Roster!$H$2:$H175=""M"",Roster!$J$2:$J175=$D104)"),"")</f>
        <v/>
      </c>
      <c r="H106" s="163" t="str">
        <f>IFERROR(__xludf.DUMMYFUNCTION("FILTER(Roster!F$2:F175,Roster!$H$2:$H175=""M"",Roster!$J$2:$J175=$D104)"),"")</f>
        <v/>
      </c>
      <c r="I106" s="163" t="str">
        <f>IFERROR(__xludf.DUMMYFUNCTION("FILTER(Roster!G$2:G175,Roster!$H$2:$H175=""M"",Roster!$J$2:$J175=$D104)"),"")</f>
        <v/>
      </c>
      <c r="J106" s="163" t="str">
        <f>IFERROR(__xludf.DUMMYFUNCTION("FILTER(Roster!H$2:H175,Roster!$H$2:$H175=""M"",Roster!$J$2:$J175=$D104)"),"M")</f>
        <v>M</v>
      </c>
      <c r="K106" s="163" t="str">
        <f>IFERROR(__xludf.DUMMYFUNCTION("FILTER(Roster!I$2:I175,Roster!$H$2:$H175=""M"",Roster!$J$2:$J175=$D104)"),"E")</f>
        <v>E</v>
      </c>
      <c r="L106" s="163">
        <f>IFERROR(__xludf.DUMMYFUNCTION("FILTER(Roster!J$2:J175,Roster!$H$2:$H175=""M"",Roster!$J$2:$J175=$D104)"),100.0)</f>
        <v>100</v>
      </c>
      <c r="M106" s="163">
        <f>IFERROR(__xludf.DUMMYFUNCTION("FILTER(Roster!M$2:M175,Roster!$H$2:$H175=""M"",Roster!$J$2:$J175=$D104)"),777.5)</f>
        <v>777.5</v>
      </c>
      <c r="N106" s="163" t="str">
        <f>IFERROR(__xludf.DUMMYFUNCTION("FILTER(Roster!N$2:N175,Roster!$H$2:$H175=""M"",Roster!$J$2:$J175=$D104)"),"")</f>
        <v/>
      </c>
      <c r="O106" s="164">
        <f t="array" ref="O106">INDEX('Best Lifts'!E$1:E$268,MATCH(1,($D106='Best Lifts'!$A:$A)*($E106='Best Lifts'!$B:$B),0))</f>
        <v>265</v>
      </c>
      <c r="P106" s="164">
        <f t="array" ref="P106">INDEX('Best Lifts'!F$1:F$268,MATCH(1,($D106='Best Lifts'!$A:$A)*($E106='Best Lifts'!$B:$B),0))</f>
        <v>152.5</v>
      </c>
      <c r="Q106" s="164">
        <f t="array" ref="Q106">INDEX('Best Lifts'!G$1:G$268,MATCH(1,($D106='Best Lifts'!$A:$A)*($E106='Best Lifts'!$B:$B),0))</f>
        <v>290</v>
      </c>
      <c r="R106" s="164">
        <f t="array" ref="R106">INDEX('Best Lifts'!H$1:H$268,MATCH(1,($D106='Best Lifts'!$A:$A)*($E106='Best Lifts'!$B:$B),0))</f>
        <v>707.5</v>
      </c>
      <c r="S106" s="164">
        <f t="array" ref="S106">INDEX('Best Lifts'!I$1:I175,MATCH(1,($D106='Best Lifts'!$A:$A)*($E106='Best Lifts'!$B:$B),0))</f>
        <v>320</v>
      </c>
      <c r="T106" s="164">
        <f t="array" ref="T106">INDEX('Best Lifts'!J$1:J$268,MATCH(1,($D106='Best Lifts'!$A:$A)*($E106='Best Lifts'!$B:$B),0))</f>
        <v>165</v>
      </c>
      <c r="U106" s="164">
        <f t="array" ref="U106">INDEX('Best Lifts'!K$1:K$268,MATCH(1,($D106='Best Lifts'!$A:$A)*($E106='Best Lifts'!$B:$B),0))</f>
        <v>292.5</v>
      </c>
      <c r="V106" s="164">
        <f t="array" ref="V106">INDEX('Best Lifts'!L$1:L$268,MATCH(1,($D106='Best Lifts'!$A:$A)*($E106='Best Lifts'!$B:$B),0))</f>
        <v>777.5</v>
      </c>
      <c r="W106" s="164">
        <f t="shared" ref="W106:W120" si="21">IF(ISNA(SUM(S106:U106)),0,SUM(S106:U106))</f>
        <v>777.5</v>
      </c>
      <c r="X106" s="164" t="str">
        <f t="array" ref="X106">INDEX('Best Lifts'!M$1:M$258,MATCH(1,($D106='Best Lifts'!$A:$A)*($E106='Best Lifts'!$B:$B),0))</f>
        <v/>
      </c>
    </row>
    <row r="107">
      <c r="A107" s="163">
        <f t="shared" si="19"/>
        <v>2</v>
      </c>
      <c r="B107" s="163" t="str">
        <f t="shared" si="20"/>
        <v>Loading...</v>
      </c>
      <c r="C107" s="163"/>
      <c r="D107" s="163" t="str">
        <f>IFERROR(__xludf.DUMMYFUNCTION("""COMPUTED_VALUE"""),"Quinn")</f>
        <v>Quinn</v>
      </c>
      <c r="E107" s="163" t="str">
        <f>IFERROR(__xludf.DUMMYFUNCTION("""COMPUTED_VALUE"""),"Sam")</f>
        <v>Sam</v>
      </c>
      <c r="F107" s="163" t="str">
        <f>IFERROR(__xludf.DUMMYFUNCTION("""COMPUTED_VALUE"""),"3 - Sat")</f>
        <v>3 - Sat</v>
      </c>
      <c r="G107" s="163"/>
      <c r="H107" s="163"/>
      <c r="I107" s="163"/>
      <c r="J107" s="163" t="str">
        <f>IFERROR(__xludf.DUMMYFUNCTION("""COMPUTED_VALUE"""),"M")</f>
        <v>M</v>
      </c>
      <c r="K107" s="163" t="str">
        <f>IFERROR(__xludf.DUMMYFUNCTION("""COMPUTED_VALUE"""),"E")</f>
        <v>E</v>
      </c>
      <c r="L107" s="163">
        <f>IFERROR(__xludf.DUMMYFUNCTION("""COMPUTED_VALUE"""),100.0)</f>
        <v>100</v>
      </c>
      <c r="M107" s="163">
        <f>IFERROR(__xludf.DUMMYFUNCTION("""COMPUTED_VALUE"""),760.0)</f>
        <v>760</v>
      </c>
      <c r="N107" s="163"/>
      <c r="O107" s="164">
        <f t="array" ref="O107">INDEX('Best Lifts'!E$1:E$268,MATCH(1,($D107='Best Lifts'!$A:$A)*($E107='Best Lifts'!$B:$B),0))</f>
        <v>265</v>
      </c>
      <c r="P107" s="164">
        <f t="array" ref="P107">INDEX('Best Lifts'!F$1:F$268,MATCH(1,($D107='Best Lifts'!$A:$A)*($E107='Best Lifts'!$B:$B),0))</f>
        <v>147.5</v>
      </c>
      <c r="Q107" s="164">
        <f t="array" ref="Q107">INDEX('Best Lifts'!G$1:G$268,MATCH(1,($D107='Best Lifts'!$A:$A)*($E107='Best Lifts'!$B:$B),0))</f>
        <v>285</v>
      </c>
      <c r="R107" s="164">
        <f t="array" ref="R107">INDEX('Best Lifts'!H$1:H$268,MATCH(1,($D107='Best Lifts'!$A:$A)*($E107='Best Lifts'!$B:$B),0))</f>
        <v>692.5</v>
      </c>
      <c r="S107" s="164">
        <f t="array" ref="S107">INDEX('Best Lifts'!I$1:I175,MATCH(1,($D107='Best Lifts'!$A:$A)*($E107='Best Lifts'!$B:$B),0))</f>
        <v>312.5</v>
      </c>
      <c r="T107" s="164">
        <f t="array" ref="T107">INDEX('Best Lifts'!J$1:J$268,MATCH(1,($D107='Best Lifts'!$A:$A)*($E107='Best Lifts'!$B:$B),0))</f>
        <v>170</v>
      </c>
      <c r="U107" s="164">
        <f t="array" ref="U107">INDEX('Best Lifts'!K$1:K$268,MATCH(1,($D107='Best Lifts'!$A:$A)*($E107='Best Lifts'!$B:$B),0))</f>
        <v>292.5</v>
      </c>
      <c r="V107" s="164">
        <f t="array" ref="V107">INDEX('Best Lifts'!L$1:L$268,MATCH(1,($D107='Best Lifts'!$A:$A)*($E107='Best Lifts'!$B:$B),0))</f>
        <v>760</v>
      </c>
      <c r="W107" s="164">
        <f t="shared" si="21"/>
        <v>775</v>
      </c>
      <c r="X107" s="164" t="str">
        <f t="array" ref="X107">INDEX('Best Lifts'!M$1:M$258,MATCH(1,($D107='Best Lifts'!$A:$A)*($E107='Best Lifts'!$B:$B),0))</f>
        <v/>
      </c>
    </row>
    <row r="108">
      <c r="A108" s="163">
        <f t="shared" si="19"/>
        <v>3</v>
      </c>
      <c r="B108" s="163" t="str">
        <f t="shared" si="20"/>
        <v>Loading...</v>
      </c>
      <c r="C108" s="163"/>
      <c r="D108" s="163" t="str">
        <f>IFERROR(__xludf.DUMMYFUNCTION("""COMPUTED_VALUE"""),"Saunders")</f>
        <v>Saunders</v>
      </c>
      <c r="E108" s="163" t="str">
        <f>IFERROR(__xludf.DUMMYFUNCTION("""COMPUTED_VALUE"""),"David")</f>
        <v>David</v>
      </c>
      <c r="F108" s="163" t="str">
        <f>IFERROR(__xludf.DUMMYFUNCTION("""COMPUTED_VALUE"""),"3 - Sat")</f>
        <v>3 - Sat</v>
      </c>
      <c r="G108" s="163"/>
      <c r="H108" s="163"/>
      <c r="I108" s="163"/>
      <c r="J108" s="163" t="str">
        <f>IFERROR(__xludf.DUMMYFUNCTION("""COMPUTED_VALUE"""),"M")</f>
        <v>M</v>
      </c>
      <c r="K108" s="163" t="str">
        <f>IFERROR(__xludf.DUMMYFUNCTION("""COMPUTED_VALUE"""),"E")</f>
        <v>E</v>
      </c>
      <c r="L108" s="163">
        <f>IFERROR(__xludf.DUMMYFUNCTION("""COMPUTED_VALUE"""),100.0)</f>
        <v>100</v>
      </c>
      <c r="M108" s="163">
        <f>IFERROR(__xludf.DUMMYFUNCTION("""COMPUTED_VALUE"""),740.0)</f>
        <v>740</v>
      </c>
      <c r="N108" s="163"/>
      <c r="O108" s="164">
        <f t="array" ref="O108">INDEX('Best Lifts'!E$1:E$268,MATCH(1,($D108='Best Lifts'!$A:$A)*($E108='Best Lifts'!$B:$B),0))</f>
        <v>250</v>
      </c>
      <c r="P108" s="164">
        <f t="array" ref="P108">INDEX('Best Lifts'!F$1:F$268,MATCH(1,($D108='Best Lifts'!$A:$A)*($E108='Best Lifts'!$B:$B),0))</f>
        <v>165</v>
      </c>
      <c r="Q108" s="164">
        <f t="array" ref="Q108">INDEX('Best Lifts'!G$1:G$268,MATCH(1,($D108='Best Lifts'!$A:$A)*($E108='Best Lifts'!$B:$B),0))</f>
        <v>305</v>
      </c>
      <c r="R108" s="164">
        <f t="array" ref="R108">INDEX('Best Lifts'!H$1:H$268,MATCH(1,($D108='Best Lifts'!$A:$A)*($E108='Best Lifts'!$B:$B),0))</f>
        <v>720</v>
      </c>
      <c r="S108" s="164" t="str">
        <f t="array" ref="S108">INDEX('Best Lifts'!I$1:I175,MATCH(1,($D108='Best Lifts'!$A:$A)*($E108='Best Lifts'!$B:$B),0))</f>
        <v>Loading...</v>
      </c>
      <c r="T108" s="164" t="str">
        <f t="array" ref="T108">INDEX('Best Lifts'!J$1:J$268,MATCH(1,($D108='Best Lifts'!$A:$A)*($E108='Best Lifts'!$B:$B),0))</f>
        <v/>
      </c>
      <c r="U108" s="164" t="str">
        <f t="array" ref="U108">INDEX('Best Lifts'!K$1:K$268,MATCH(1,($D108='Best Lifts'!$A:$A)*($E108='Best Lifts'!$B:$B),0))</f>
        <v/>
      </c>
      <c r="V108" s="164" t="str">
        <f t="array" ref="V108">INDEX('Best Lifts'!L$1:L$268,MATCH(1,($D108='Best Lifts'!$A:$A)*($E108='Best Lifts'!$B:$B),0))</f>
        <v/>
      </c>
      <c r="W108" s="164" t="str">
        <f t="shared" si="21"/>
        <v>Loading...</v>
      </c>
      <c r="X108" s="164" t="str">
        <f t="array" ref="X108">INDEX('Best Lifts'!M$1:M$258,MATCH(1,($D108='Best Lifts'!$A:$A)*($E108='Best Lifts'!$B:$B),0))</f>
        <v/>
      </c>
    </row>
    <row r="109">
      <c r="A109" s="163">
        <f t="shared" si="19"/>
        <v>4</v>
      </c>
      <c r="B109" s="163" t="str">
        <f t="shared" si="20"/>
        <v>Loading...</v>
      </c>
      <c r="C109" s="163"/>
      <c r="D109" s="163" t="str">
        <f>IFERROR(__xludf.DUMMYFUNCTION("""COMPUTED_VALUE"""),"Hodge")</f>
        <v>Hodge</v>
      </c>
      <c r="E109" s="163" t="str">
        <f>IFERROR(__xludf.DUMMYFUNCTION("""COMPUTED_VALUE"""),"John")</f>
        <v>John</v>
      </c>
      <c r="F109" s="163" t="str">
        <f>IFERROR(__xludf.DUMMYFUNCTION("""COMPUTED_VALUE"""),"3 - Sat")</f>
        <v>3 - Sat</v>
      </c>
      <c r="G109" s="163"/>
      <c r="H109" s="163"/>
      <c r="I109" s="163"/>
      <c r="J109" s="163" t="str">
        <f>IFERROR(__xludf.DUMMYFUNCTION("""COMPUTED_VALUE"""),"M")</f>
        <v>M</v>
      </c>
      <c r="K109" s="163" t="str">
        <f>IFERROR(__xludf.DUMMYFUNCTION("""COMPUTED_VALUE"""),"E")</f>
        <v>E</v>
      </c>
      <c r="L109" s="163">
        <f>IFERROR(__xludf.DUMMYFUNCTION("""COMPUTED_VALUE"""),100.0)</f>
        <v>100</v>
      </c>
      <c r="M109" s="163">
        <f>IFERROR(__xludf.DUMMYFUNCTION("""COMPUTED_VALUE"""),727.5)</f>
        <v>727.5</v>
      </c>
      <c r="N109" s="163"/>
      <c r="O109" s="164">
        <f t="array" ref="O109">INDEX('Best Lifts'!E$1:E$268,MATCH(1,($D109='Best Lifts'!$A:$A)*($E109='Best Lifts'!$B:$B),0))</f>
        <v>245</v>
      </c>
      <c r="P109" s="164">
        <f t="array" ref="P109">INDEX('Best Lifts'!F$1:F$268,MATCH(1,($D109='Best Lifts'!$A:$A)*($E109='Best Lifts'!$B:$B),0))</f>
        <v>157.5</v>
      </c>
      <c r="Q109" s="164">
        <f t="array" ref="Q109">INDEX('Best Lifts'!G$1:G$268,MATCH(1,($D109='Best Lifts'!$A:$A)*($E109='Best Lifts'!$B:$B),0))</f>
        <v>255</v>
      </c>
      <c r="R109" s="164">
        <f t="array" ref="R109">INDEX('Best Lifts'!H$1:H$268,MATCH(1,($D109='Best Lifts'!$A:$A)*($E109='Best Lifts'!$B:$B),0))</f>
        <v>650</v>
      </c>
      <c r="S109" s="164">
        <f t="array" ref="S109">INDEX('Best Lifts'!I$1:I175,MATCH(1,($D109='Best Lifts'!$A:$A)*($E109='Best Lifts'!$B:$B),0))</f>
        <v>325</v>
      </c>
      <c r="T109" s="164">
        <f t="array" ref="T109">INDEX('Best Lifts'!J$1:J$268,MATCH(1,($D109='Best Lifts'!$A:$A)*($E109='Best Lifts'!$B:$B),0))</f>
        <v>170</v>
      </c>
      <c r="U109" s="164">
        <f t="array" ref="U109">INDEX('Best Lifts'!K$1:K$268,MATCH(1,($D109='Best Lifts'!$A:$A)*($E109='Best Lifts'!$B:$B),0))</f>
        <v>262.5</v>
      </c>
      <c r="V109" s="164">
        <f t="array" ref="V109">INDEX('Best Lifts'!L$1:L$268,MATCH(1,($D109='Best Lifts'!$A:$A)*($E109='Best Lifts'!$B:$B),0))</f>
        <v>727.5</v>
      </c>
      <c r="W109" s="164">
        <f t="shared" si="21"/>
        <v>757.5</v>
      </c>
      <c r="X109" s="164" t="str">
        <f t="array" ref="X109">INDEX('Best Lifts'!M$1:M$258,MATCH(1,($D109='Best Lifts'!$A:$A)*($E109='Best Lifts'!$B:$B),0))</f>
        <v/>
      </c>
    </row>
    <row r="110">
      <c r="A110" s="163">
        <f t="shared" si="19"/>
        <v>5</v>
      </c>
      <c r="B110" s="163" t="str">
        <f t="shared" si="20"/>
        <v>Loading...</v>
      </c>
      <c r="C110" s="163"/>
      <c r="D110" s="163" t="str">
        <f>IFERROR(__xludf.DUMMYFUNCTION("""COMPUTED_VALUE"""),"Galvan")</f>
        <v>Galvan</v>
      </c>
      <c r="E110" s="163" t="str">
        <f>IFERROR(__xludf.DUMMYFUNCTION("""COMPUTED_VALUE"""),"Roan")</f>
        <v>Roan</v>
      </c>
      <c r="F110" s="163" t="str">
        <f>IFERROR(__xludf.DUMMYFUNCTION("""COMPUTED_VALUE"""),"3 - Sat")</f>
        <v>3 - Sat</v>
      </c>
      <c r="G110" s="163"/>
      <c r="H110" s="163"/>
      <c r="I110" s="163"/>
      <c r="J110" s="163" t="str">
        <f>IFERROR(__xludf.DUMMYFUNCTION("""COMPUTED_VALUE"""),"M")</f>
        <v>M</v>
      </c>
      <c r="K110" s="163" t="str">
        <f>IFERROR(__xludf.DUMMYFUNCTION("""COMPUTED_VALUE"""),"E")</f>
        <v>E</v>
      </c>
      <c r="L110" s="163">
        <f>IFERROR(__xludf.DUMMYFUNCTION("""COMPUTED_VALUE"""),100.0)</f>
        <v>100</v>
      </c>
      <c r="M110" s="163">
        <f>IFERROR(__xludf.DUMMYFUNCTION("""COMPUTED_VALUE"""),712.5)</f>
        <v>712.5</v>
      </c>
      <c r="N110" s="163"/>
      <c r="O110" s="164" t="str">
        <f t="array" ref="O110">INDEX('Best Lifts'!E$1:E$268,MATCH(1,($D110='Best Lifts'!$A:$A)*($E110='Best Lifts'!$B:$B),0))</f>
        <v>#N/A</v>
      </c>
      <c r="P110" s="164" t="str">
        <f t="array" ref="P110">INDEX('Best Lifts'!F$1:F$268,MATCH(1,($D110='Best Lifts'!$A:$A)*($E110='Best Lifts'!$B:$B),0))</f>
        <v/>
      </c>
      <c r="Q110" s="164" t="str">
        <f t="array" ref="Q110">INDEX('Best Lifts'!G$1:G$268,MATCH(1,($D110='Best Lifts'!$A:$A)*($E110='Best Lifts'!$B:$B),0))</f>
        <v/>
      </c>
      <c r="R110" s="164" t="str">
        <f t="array" ref="R110">INDEX('Best Lifts'!H$1:H$268,MATCH(1,($D110='Best Lifts'!$A:$A)*($E110='Best Lifts'!$B:$B),0))</f>
        <v/>
      </c>
      <c r="S110" s="164">
        <f t="array" ref="S110">INDEX('Best Lifts'!I$1:I175,MATCH(1,($D110='Best Lifts'!$A:$A)*($E110='Best Lifts'!$B:$B),0))</f>
        <v>319.7</v>
      </c>
      <c r="T110" s="164">
        <f t="array" ref="T110">INDEX('Best Lifts'!J$1:J$268,MATCH(1,($D110='Best Lifts'!$A:$A)*($E110='Best Lifts'!$B:$B),0))</f>
        <v>190.5</v>
      </c>
      <c r="U110" s="164">
        <f t="array" ref="U110">INDEX('Best Lifts'!K$1:K$268,MATCH(1,($D110='Best Lifts'!$A:$A)*($E110='Best Lifts'!$B:$B),0))</f>
        <v>256.2</v>
      </c>
      <c r="V110" s="164">
        <f t="array" ref="V110">INDEX('Best Lifts'!L$1:L$268,MATCH(1,($D110='Best Lifts'!$A:$A)*($E110='Best Lifts'!$B:$B),0))</f>
        <v>762</v>
      </c>
      <c r="W110" s="164">
        <f t="shared" si="21"/>
        <v>766.4</v>
      </c>
      <c r="X110" s="164" t="str">
        <f t="array" ref="X110">INDEX('Best Lifts'!M$1:M$258,MATCH(1,($D110='Best Lifts'!$A:$A)*($E110='Best Lifts'!$B:$B),0))</f>
        <v/>
      </c>
    </row>
    <row r="111">
      <c r="A111" s="163">
        <f t="shared" si="19"/>
        <v>6</v>
      </c>
      <c r="B111" s="163" t="str">
        <f t="shared" si="20"/>
        <v>Loading...</v>
      </c>
      <c r="C111" s="163"/>
      <c r="D111" s="163" t="str">
        <f>IFERROR(__xludf.DUMMYFUNCTION("""COMPUTED_VALUE"""),"Hartner")</f>
        <v>Hartner</v>
      </c>
      <c r="E111" s="163" t="str">
        <f>IFERROR(__xludf.DUMMYFUNCTION("""COMPUTED_VALUE"""),"Tillman")</f>
        <v>Tillman</v>
      </c>
      <c r="F111" s="163" t="str">
        <f>IFERROR(__xludf.DUMMYFUNCTION("""COMPUTED_VALUE"""),"3 - Sat")</f>
        <v>3 - Sat</v>
      </c>
      <c r="G111" s="163"/>
      <c r="H111" s="163"/>
      <c r="I111" s="163"/>
      <c r="J111" s="163" t="str">
        <f>IFERROR(__xludf.DUMMYFUNCTION("""COMPUTED_VALUE"""),"M")</f>
        <v>M</v>
      </c>
      <c r="K111" s="163" t="str">
        <f>IFERROR(__xludf.DUMMYFUNCTION("""COMPUTED_VALUE"""),"E")</f>
        <v>E</v>
      </c>
      <c r="L111" s="163">
        <f>IFERROR(__xludf.DUMMYFUNCTION("""COMPUTED_VALUE"""),100.0)</f>
        <v>100</v>
      </c>
      <c r="M111" s="163">
        <f>IFERROR(__xludf.DUMMYFUNCTION("""COMPUTED_VALUE"""),707.5)</f>
        <v>707.5</v>
      </c>
      <c r="N111" s="163"/>
      <c r="O111" s="164" t="str">
        <f t="array" ref="O111">INDEX('Best Lifts'!E$1:E$268,MATCH(1,($D111='Best Lifts'!$A:$A)*($E111='Best Lifts'!$B:$B),0))</f>
        <v>#N/A</v>
      </c>
      <c r="P111" s="164" t="str">
        <f t="array" ref="P111">INDEX('Best Lifts'!F$1:F$268,MATCH(1,($D111='Best Lifts'!$A:$A)*($E111='Best Lifts'!$B:$B),0))</f>
        <v/>
      </c>
      <c r="Q111" s="164" t="str">
        <f t="array" ref="Q111">INDEX('Best Lifts'!G$1:G$268,MATCH(1,($D111='Best Lifts'!$A:$A)*($E111='Best Lifts'!$B:$B),0))</f>
        <v/>
      </c>
      <c r="R111" s="164" t="str">
        <f t="array" ref="R111">INDEX('Best Lifts'!H$1:H$268,MATCH(1,($D111='Best Lifts'!$A:$A)*($E111='Best Lifts'!$B:$B),0))</f>
        <v/>
      </c>
      <c r="S111" s="164">
        <f t="array" ref="S111">INDEX('Best Lifts'!I$1:I175,MATCH(1,($D111='Best Lifts'!$A:$A)*($E111='Best Lifts'!$B:$B),0))</f>
        <v>292.5</v>
      </c>
      <c r="T111" s="164">
        <f t="array" ref="T111">INDEX('Best Lifts'!J$1:J$268,MATCH(1,($D111='Best Lifts'!$A:$A)*($E111='Best Lifts'!$B:$B),0))</f>
        <v>150</v>
      </c>
      <c r="U111" s="164">
        <f t="array" ref="U111">INDEX('Best Lifts'!K$1:K$268,MATCH(1,($D111='Best Lifts'!$A:$A)*($E111='Best Lifts'!$B:$B),0))</f>
        <v>265</v>
      </c>
      <c r="V111" s="164">
        <f t="array" ref="V111">INDEX('Best Lifts'!L$1:L$268,MATCH(1,($D111='Best Lifts'!$A:$A)*($E111='Best Lifts'!$B:$B),0))</f>
        <v>707.5</v>
      </c>
      <c r="W111" s="164">
        <f t="shared" si="21"/>
        <v>707.5</v>
      </c>
      <c r="X111" s="164" t="str">
        <f t="array" ref="X111">INDEX('Best Lifts'!M$1:M$258,MATCH(1,($D111='Best Lifts'!$A:$A)*($E111='Best Lifts'!$B:$B),0))</f>
        <v/>
      </c>
    </row>
    <row r="112">
      <c r="A112" s="163">
        <f t="shared" si="19"/>
        <v>7</v>
      </c>
      <c r="B112" s="163" t="str">
        <f t="shared" si="20"/>
        <v>Loading...</v>
      </c>
      <c r="C112" s="163"/>
      <c r="D112" s="163" t="str">
        <f>IFERROR(__xludf.DUMMYFUNCTION("""COMPUTED_VALUE"""),"Licata")</f>
        <v>Licata</v>
      </c>
      <c r="E112" s="163" t="str">
        <f>IFERROR(__xludf.DUMMYFUNCTION("""COMPUTED_VALUE"""),"John")</f>
        <v>John</v>
      </c>
      <c r="F112" s="163" t="str">
        <f>IFERROR(__xludf.DUMMYFUNCTION("""COMPUTED_VALUE"""),"3 - Sat")</f>
        <v>3 - Sat</v>
      </c>
      <c r="G112" s="163"/>
      <c r="H112" s="163"/>
      <c r="I112" s="163"/>
      <c r="J112" s="163" t="str">
        <f>IFERROR(__xludf.DUMMYFUNCTION("""COMPUTED_VALUE"""),"M")</f>
        <v>M</v>
      </c>
      <c r="K112" s="163" t="str">
        <f>IFERROR(__xludf.DUMMYFUNCTION("""COMPUTED_VALUE"""),"E")</f>
        <v>E</v>
      </c>
      <c r="L112" s="163">
        <f>IFERROR(__xludf.DUMMYFUNCTION("""COMPUTED_VALUE"""),100.0)</f>
        <v>100</v>
      </c>
      <c r="M112" s="163">
        <f>IFERROR(__xludf.DUMMYFUNCTION("""COMPUTED_VALUE"""),702.5)</f>
        <v>702.5</v>
      </c>
      <c r="N112" s="163"/>
      <c r="O112" s="164">
        <f t="array" ref="O112">INDEX('Best Lifts'!E$1:E$268,MATCH(1,($D112='Best Lifts'!$A:$A)*($E112='Best Lifts'!$B:$B),0))</f>
        <v>230</v>
      </c>
      <c r="P112" s="164">
        <f t="array" ref="P112">INDEX('Best Lifts'!F$1:F$268,MATCH(1,($D112='Best Lifts'!$A:$A)*($E112='Best Lifts'!$B:$B),0))</f>
        <v>157.5</v>
      </c>
      <c r="Q112" s="164">
        <f t="array" ref="Q112">INDEX('Best Lifts'!G$1:G$268,MATCH(1,($D112='Best Lifts'!$A:$A)*($E112='Best Lifts'!$B:$B),0))</f>
        <v>247.5</v>
      </c>
      <c r="R112" s="164">
        <f t="array" ref="R112">INDEX('Best Lifts'!H$1:H$268,MATCH(1,($D112='Best Lifts'!$A:$A)*($E112='Best Lifts'!$B:$B),0))</f>
        <v>635</v>
      </c>
      <c r="S112" s="164">
        <f t="array" ref="S112">INDEX('Best Lifts'!I$1:I175,MATCH(1,($D112='Best Lifts'!$A:$A)*($E112='Best Lifts'!$B:$B),0))</f>
        <v>285</v>
      </c>
      <c r="T112" s="164">
        <f t="array" ref="T112">INDEX('Best Lifts'!J$1:J$268,MATCH(1,($D112='Best Lifts'!$A:$A)*($E112='Best Lifts'!$B:$B),0))</f>
        <v>175</v>
      </c>
      <c r="U112" s="164">
        <f t="array" ref="U112">INDEX('Best Lifts'!K$1:K$268,MATCH(1,($D112='Best Lifts'!$A:$A)*($E112='Best Lifts'!$B:$B),0))</f>
        <v>242.5</v>
      </c>
      <c r="V112" s="164">
        <f t="array" ref="V112">INDEX('Best Lifts'!L$1:L$268,MATCH(1,($D112='Best Lifts'!$A:$A)*($E112='Best Lifts'!$B:$B),0))</f>
        <v>702.5</v>
      </c>
      <c r="W112" s="164">
        <f t="shared" si="21"/>
        <v>702.5</v>
      </c>
      <c r="X112" s="164" t="str">
        <f t="array" ref="X112">INDEX('Best Lifts'!M$1:M$258,MATCH(1,($D112='Best Lifts'!$A:$A)*($E112='Best Lifts'!$B:$B),0))</f>
        <v/>
      </c>
    </row>
    <row r="113">
      <c r="A113" s="163">
        <f t="shared" si="19"/>
        <v>8</v>
      </c>
      <c r="B113" s="163" t="str">
        <f t="shared" si="20"/>
        <v>Loading...</v>
      </c>
      <c r="C113" s="163"/>
      <c r="D113" s="163" t="str">
        <f>IFERROR(__xludf.DUMMYFUNCTION("""COMPUTED_VALUE"""),"McIntyre")</f>
        <v>McIntyre</v>
      </c>
      <c r="E113" s="163" t="str">
        <f>IFERROR(__xludf.DUMMYFUNCTION("""COMPUTED_VALUE"""),"Hadyn")</f>
        <v>Hadyn</v>
      </c>
      <c r="F113" s="163" t="str">
        <f>IFERROR(__xludf.DUMMYFUNCTION("""COMPUTED_VALUE"""),"3 - Sat")</f>
        <v>3 - Sat</v>
      </c>
      <c r="G113" s="163"/>
      <c r="H113" s="163"/>
      <c r="I113" s="163"/>
      <c r="J113" s="163" t="str">
        <f>IFERROR(__xludf.DUMMYFUNCTION("""COMPUTED_VALUE"""),"M")</f>
        <v>M</v>
      </c>
      <c r="K113" s="163" t="str">
        <f>IFERROR(__xludf.DUMMYFUNCTION("""COMPUTED_VALUE"""),"E")</f>
        <v>E</v>
      </c>
      <c r="L113" s="163">
        <f>IFERROR(__xludf.DUMMYFUNCTION("""COMPUTED_VALUE"""),100.0)</f>
        <v>100</v>
      </c>
      <c r="M113" s="163">
        <f>IFERROR(__xludf.DUMMYFUNCTION("""COMPUTED_VALUE"""),682.5)</f>
        <v>682.5</v>
      </c>
      <c r="N113" s="163"/>
      <c r="O113" s="164">
        <f t="array" ref="O113">INDEX('Best Lifts'!E$1:E$268,MATCH(1,($D113='Best Lifts'!$A:$A)*($E113='Best Lifts'!$B:$B),0))</f>
        <v>207.5</v>
      </c>
      <c r="P113" s="164">
        <f t="array" ref="P113">INDEX('Best Lifts'!F$1:F$268,MATCH(1,($D113='Best Lifts'!$A:$A)*($E113='Best Lifts'!$B:$B),0))</f>
        <v>125</v>
      </c>
      <c r="Q113" s="164">
        <f t="array" ref="Q113">INDEX('Best Lifts'!G$1:G$268,MATCH(1,($D113='Best Lifts'!$A:$A)*($E113='Best Lifts'!$B:$B),0))</f>
        <v>220</v>
      </c>
      <c r="R113" s="164">
        <f t="array" ref="R113">INDEX('Best Lifts'!H$1:H$268,MATCH(1,($D113='Best Lifts'!$A:$A)*($E113='Best Lifts'!$B:$B),0))</f>
        <v>552.5</v>
      </c>
      <c r="S113" s="164">
        <f t="array" ref="S113">INDEX('Best Lifts'!I$1:I175,MATCH(1,($D113='Best Lifts'!$A:$A)*($E113='Best Lifts'!$B:$B),0))</f>
        <v>262.5</v>
      </c>
      <c r="T113" s="164">
        <f t="array" ref="T113">INDEX('Best Lifts'!J$1:J$268,MATCH(1,($D113='Best Lifts'!$A:$A)*($E113='Best Lifts'!$B:$B),0))</f>
        <v>170</v>
      </c>
      <c r="U113" s="164">
        <f t="array" ref="U113">INDEX('Best Lifts'!K$1:K$268,MATCH(1,($D113='Best Lifts'!$A:$A)*($E113='Best Lifts'!$B:$B),0))</f>
        <v>250</v>
      </c>
      <c r="V113" s="164">
        <f t="array" ref="V113">INDEX('Best Lifts'!L$1:L$268,MATCH(1,($D113='Best Lifts'!$A:$A)*($E113='Best Lifts'!$B:$B),0))</f>
        <v>682.5</v>
      </c>
      <c r="W113" s="164">
        <f t="shared" si="21"/>
        <v>682.5</v>
      </c>
      <c r="X113" s="164" t="str">
        <f t="array" ref="X113">INDEX('Best Lifts'!M$1:M$258,MATCH(1,($D113='Best Lifts'!$A:$A)*($E113='Best Lifts'!$B:$B),0))</f>
        <v/>
      </c>
    </row>
    <row r="114">
      <c r="A114" s="163">
        <f t="shared" si="19"/>
        <v>9</v>
      </c>
      <c r="B114" s="163" t="str">
        <f t="shared" si="20"/>
        <v>Loading...</v>
      </c>
      <c r="C114" s="163"/>
      <c r="D114" s="163" t="str">
        <f>IFERROR(__xludf.DUMMYFUNCTION("""COMPUTED_VALUE"""),"Montanez")</f>
        <v>Montanez</v>
      </c>
      <c r="E114" s="163" t="str">
        <f>IFERROR(__xludf.DUMMYFUNCTION("""COMPUTED_VALUE"""),"Leo")</f>
        <v>Leo</v>
      </c>
      <c r="F114" s="163" t="str">
        <f>IFERROR(__xludf.DUMMYFUNCTION("""COMPUTED_VALUE"""),"3 - Sat")</f>
        <v>3 - Sat</v>
      </c>
      <c r="G114" s="163"/>
      <c r="H114" s="163"/>
      <c r="I114" s="163"/>
      <c r="J114" s="163" t="str">
        <f>IFERROR(__xludf.DUMMYFUNCTION("""COMPUTED_VALUE"""),"M")</f>
        <v>M</v>
      </c>
      <c r="K114" s="163" t="str">
        <f>IFERROR(__xludf.DUMMYFUNCTION("""COMPUTED_VALUE"""),"E")</f>
        <v>E</v>
      </c>
      <c r="L114" s="163">
        <f>IFERROR(__xludf.DUMMYFUNCTION("""COMPUTED_VALUE"""),100.0)</f>
        <v>100</v>
      </c>
      <c r="M114" s="163">
        <f>IFERROR(__xludf.DUMMYFUNCTION("""COMPUTED_VALUE"""),680.0)</f>
        <v>680</v>
      </c>
      <c r="N114" s="163"/>
      <c r="O114" s="164">
        <f t="array" ref="O114">INDEX('Best Lifts'!E$1:E$268,MATCH(1,($D114='Best Lifts'!$A:$A)*($E114='Best Lifts'!$B:$B),0))</f>
        <v>220</v>
      </c>
      <c r="P114" s="164">
        <f t="array" ref="P114">INDEX('Best Lifts'!F$1:F$268,MATCH(1,($D114='Best Lifts'!$A:$A)*($E114='Best Lifts'!$B:$B),0))</f>
        <v>160</v>
      </c>
      <c r="Q114" s="164">
        <f t="array" ref="Q114">INDEX('Best Lifts'!G$1:G$268,MATCH(1,($D114='Best Lifts'!$A:$A)*($E114='Best Lifts'!$B:$B),0))</f>
        <v>250</v>
      </c>
      <c r="R114" s="164">
        <f t="array" ref="R114">INDEX('Best Lifts'!H$1:H$268,MATCH(1,($D114='Best Lifts'!$A:$A)*($E114='Best Lifts'!$B:$B),0))</f>
        <v>630</v>
      </c>
      <c r="S114" s="164">
        <f t="array" ref="S114">INDEX('Best Lifts'!I$1:I175,MATCH(1,($D114='Best Lifts'!$A:$A)*($E114='Best Lifts'!$B:$B),0))</f>
        <v>260</v>
      </c>
      <c r="T114" s="164">
        <f t="array" ref="T114">INDEX('Best Lifts'!J$1:J$268,MATCH(1,($D114='Best Lifts'!$A:$A)*($E114='Best Lifts'!$B:$B),0))</f>
        <v>180</v>
      </c>
      <c r="U114" s="164">
        <f t="array" ref="U114">INDEX('Best Lifts'!K$1:K$268,MATCH(1,($D114='Best Lifts'!$A:$A)*($E114='Best Lifts'!$B:$B),0))</f>
        <v>265</v>
      </c>
      <c r="V114" s="164">
        <f t="array" ref="V114">INDEX('Best Lifts'!L$1:L$268,MATCH(1,($D114='Best Lifts'!$A:$A)*($E114='Best Lifts'!$B:$B),0))</f>
        <v>705</v>
      </c>
      <c r="W114" s="164">
        <f t="shared" si="21"/>
        <v>705</v>
      </c>
      <c r="X114" s="164" t="str">
        <f t="array" ref="X114">INDEX('Best Lifts'!M$1:M$258,MATCH(1,($D114='Best Lifts'!$A:$A)*($E114='Best Lifts'!$B:$B),0))</f>
        <v/>
      </c>
    </row>
    <row r="115">
      <c r="A115" s="163">
        <f t="shared" si="19"/>
        <v>10</v>
      </c>
      <c r="B115" s="163" t="str">
        <f t="shared" si="20"/>
        <v>Loading...</v>
      </c>
      <c r="C115" s="163"/>
      <c r="D115" s="163" t="str">
        <f>IFERROR(__xludf.DUMMYFUNCTION("""COMPUTED_VALUE"""),"Jackson")</f>
        <v>Jackson</v>
      </c>
      <c r="E115" s="163" t="str">
        <f>IFERROR(__xludf.DUMMYFUNCTION("""COMPUTED_VALUE"""),"Tyrell")</f>
        <v>Tyrell</v>
      </c>
      <c r="F115" s="163" t="str">
        <f>IFERROR(__xludf.DUMMYFUNCTION("""COMPUTED_VALUE"""),"3 - Sat")</f>
        <v>3 - Sat</v>
      </c>
      <c r="G115" s="163"/>
      <c r="H115" s="163"/>
      <c r="I115" s="163"/>
      <c r="J115" s="163" t="str">
        <f>IFERROR(__xludf.DUMMYFUNCTION("""COMPUTED_VALUE"""),"M")</f>
        <v>M</v>
      </c>
      <c r="K115" s="163" t="str">
        <f>IFERROR(__xludf.DUMMYFUNCTION("""COMPUTED_VALUE"""),"E")</f>
        <v>E</v>
      </c>
      <c r="L115" s="163">
        <f>IFERROR(__xludf.DUMMYFUNCTION("""COMPUTED_VALUE"""),100.0)</f>
        <v>100</v>
      </c>
      <c r="M115" s="163">
        <f>IFERROR(__xludf.DUMMYFUNCTION("""COMPUTED_VALUE"""),672.5)</f>
        <v>672.5</v>
      </c>
      <c r="N115" s="163"/>
      <c r="O115" s="164">
        <f t="array" ref="O115">INDEX('Best Lifts'!E$1:E$268,MATCH(1,($D115='Best Lifts'!$A:$A)*($E115='Best Lifts'!$B:$B),0))</f>
        <v>227.5</v>
      </c>
      <c r="P115" s="164">
        <f t="array" ref="P115">INDEX('Best Lifts'!F$1:F$268,MATCH(1,($D115='Best Lifts'!$A:$A)*($E115='Best Lifts'!$B:$B),0))</f>
        <v>172.5</v>
      </c>
      <c r="Q115" s="164">
        <f t="array" ref="Q115">INDEX('Best Lifts'!G$1:G$268,MATCH(1,($D115='Best Lifts'!$A:$A)*($E115='Best Lifts'!$B:$B),0))</f>
        <v>250</v>
      </c>
      <c r="R115" s="164">
        <f t="array" ref="R115">INDEX('Best Lifts'!H$1:H$268,MATCH(1,($D115='Best Lifts'!$A:$A)*($E115='Best Lifts'!$B:$B),0))</f>
        <v>637.5</v>
      </c>
      <c r="S115" s="164">
        <f t="array" ref="S115">INDEX('Best Lifts'!I$1:I175,MATCH(1,($D115='Best Lifts'!$A:$A)*($E115='Best Lifts'!$B:$B),0))</f>
        <v>245</v>
      </c>
      <c r="T115" s="164">
        <f t="array" ref="T115">INDEX('Best Lifts'!J$1:J$268,MATCH(1,($D115='Best Lifts'!$A:$A)*($E115='Best Lifts'!$B:$B),0))</f>
        <v>170</v>
      </c>
      <c r="U115" s="164">
        <f t="array" ref="U115">INDEX('Best Lifts'!K$1:K$268,MATCH(1,($D115='Best Lifts'!$A:$A)*($E115='Best Lifts'!$B:$B),0))</f>
        <v>257.5</v>
      </c>
      <c r="V115" s="164">
        <f t="array" ref="V115">INDEX('Best Lifts'!L$1:L$268,MATCH(1,($D115='Best Lifts'!$A:$A)*($E115='Best Lifts'!$B:$B),0))</f>
        <v>672.5</v>
      </c>
      <c r="W115" s="164">
        <f t="shared" si="21"/>
        <v>672.5</v>
      </c>
      <c r="X115" s="164" t="str">
        <f t="array" ref="X115">INDEX('Best Lifts'!M$1:M$258,MATCH(1,($D115='Best Lifts'!$A:$A)*($E115='Best Lifts'!$B:$B),0))</f>
        <v/>
      </c>
    </row>
    <row r="116">
      <c r="A116" s="163">
        <f t="shared" si="19"/>
        <v>11</v>
      </c>
      <c r="B116" s="163" t="str">
        <f t="shared" si="20"/>
        <v>Loading...</v>
      </c>
      <c r="C116" s="163"/>
      <c r="D116" s="163" t="str">
        <f>IFERROR(__xludf.DUMMYFUNCTION("""COMPUTED_VALUE"""),"Lutz")</f>
        <v>Lutz</v>
      </c>
      <c r="E116" s="163" t="str">
        <f>IFERROR(__xludf.DUMMYFUNCTION("""COMPUTED_VALUE"""),"Andrew")</f>
        <v>Andrew</v>
      </c>
      <c r="F116" s="163" t="str">
        <f>IFERROR(__xludf.DUMMYFUNCTION("""COMPUTED_VALUE"""),"3 - Sat")</f>
        <v>3 - Sat</v>
      </c>
      <c r="G116" s="163"/>
      <c r="H116" s="163"/>
      <c r="I116" s="163"/>
      <c r="J116" s="163" t="str">
        <f>IFERROR(__xludf.DUMMYFUNCTION("""COMPUTED_VALUE"""),"M")</f>
        <v>M</v>
      </c>
      <c r="K116" s="163" t="str">
        <f>IFERROR(__xludf.DUMMYFUNCTION("""COMPUTED_VALUE"""),"E")</f>
        <v>E</v>
      </c>
      <c r="L116" s="163">
        <f>IFERROR(__xludf.DUMMYFUNCTION("""COMPUTED_VALUE"""),100.0)</f>
        <v>100</v>
      </c>
      <c r="M116" s="163">
        <f>IFERROR(__xludf.DUMMYFUNCTION("""COMPUTED_VALUE"""),665.0)</f>
        <v>665</v>
      </c>
      <c r="N116" s="163"/>
      <c r="O116" s="164" t="str">
        <f t="array" ref="O116">INDEX('Best Lifts'!E$1:E$268,MATCH(1,($D116='Best Lifts'!$A:$A)*($E116='Best Lifts'!$B:$B),0))</f>
        <v>#N/A</v>
      </c>
      <c r="P116" s="164" t="str">
        <f t="array" ref="P116">INDEX('Best Lifts'!F$1:F$268,MATCH(1,($D116='Best Lifts'!$A:$A)*($E116='Best Lifts'!$B:$B),0))</f>
        <v/>
      </c>
      <c r="Q116" s="164" t="str">
        <f t="array" ref="Q116">INDEX('Best Lifts'!G$1:G$268,MATCH(1,($D116='Best Lifts'!$A:$A)*($E116='Best Lifts'!$B:$B),0))</f>
        <v/>
      </c>
      <c r="R116" s="164" t="str">
        <f t="array" ref="R116">INDEX('Best Lifts'!H$1:H$268,MATCH(1,($D116='Best Lifts'!$A:$A)*($E116='Best Lifts'!$B:$B),0))</f>
        <v/>
      </c>
      <c r="S116" s="164">
        <f t="array" ref="S116">INDEX('Best Lifts'!I$1:I175,MATCH(1,($D116='Best Lifts'!$A:$A)*($E116='Best Lifts'!$B:$B),0))</f>
        <v>278.9</v>
      </c>
      <c r="T116" s="164">
        <f t="array" ref="T116">INDEX('Best Lifts'!J$1:J$268,MATCH(1,($D116='Best Lifts'!$A:$A)*($E116='Best Lifts'!$B:$B),0))</f>
        <v>165</v>
      </c>
      <c r="U116" s="164">
        <f t="array" ref="U116">INDEX('Best Lifts'!K$1:K$268,MATCH(1,($D116='Best Lifts'!$A:$A)*($E116='Best Lifts'!$B:$B),0))</f>
        <v>242.5</v>
      </c>
      <c r="V116" s="164">
        <f t="array" ref="V116">INDEX('Best Lifts'!L$1:L$268,MATCH(1,($D116='Best Lifts'!$A:$A)*($E116='Best Lifts'!$B:$B),0))</f>
        <v>665</v>
      </c>
      <c r="W116" s="164">
        <f t="shared" si="21"/>
        <v>686.4</v>
      </c>
      <c r="X116" s="164" t="str">
        <f t="array" ref="X116">INDEX('Best Lifts'!M$1:M$258,MATCH(1,($D116='Best Lifts'!$A:$A)*($E116='Best Lifts'!$B:$B),0))</f>
        <v/>
      </c>
    </row>
    <row r="117">
      <c r="A117" s="163">
        <f t="shared" si="19"/>
        <v>12</v>
      </c>
      <c r="B117" s="163" t="str">
        <f t="shared" si="20"/>
        <v>Loading...</v>
      </c>
      <c r="C117" s="163"/>
      <c r="D117" s="163" t="str">
        <f>IFERROR(__xludf.DUMMYFUNCTION("""COMPUTED_VALUE"""),"Garza")</f>
        <v>Garza</v>
      </c>
      <c r="E117" s="163" t="str">
        <f>IFERROR(__xludf.DUMMYFUNCTION("""COMPUTED_VALUE"""),"Joseph")</f>
        <v>Joseph</v>
      </c>
      <c r="F117" s="163" t="str">
        <f>IFERROR(__xludf.DUMMYFUNCTION("""COMPUTED_VALUE"""),"3 - Sat")</f>
        <v>3 - Sat</v>
      </c>
      <c r="G117" s="163"/>
      <c r="H117" s="163"/>
      <c r="I117" s="163"/>
      <c r="J117" s="163" t="str">
        <f>IFERROR(__xludf.DUMMYFUNCTION("""COMPUTED_VALUE"""),"M")</f>
        <v>M</v>
      </c>
      <c r="K117" s="163" t="str">
        <f>IFERROR(__xludf.DUMMYFUNCTION("""COMPUTED_VALUE"""),"E")</f>
        <v>E</v>
      </c>
      <c r="L117" s="163">
        <f>IFERROR(__xludf.DUMMYFUNCTION("""COMPUTED_VALUE"""),100.0)</f>
        <v>100</v>
      </c>
      <c r="M117" s="163">
        <f>IFERROR(__xludf.DUMMYFUNCTION("""COMPUTED_VALUE"""),647.5)</f>
        <v>647.5</v>
      </c>
      <c r="N117" s="163"/>
      <c r="O117" s="164">
        <f t="array" ref="O117">INDEX('Best Lifts'!E$1:E$268,MATCH(1,($D117='Best Lifts'!$A:$A)*($E117='Best Lifts'!$B:$B),0))</f>
        <v>185</v>
      </c>
      <c r="P117" s="164">
        <f t="array" ref="P117">INDEX('Best Lifts'!F$1:F$268,MATCH(1,($D117='Best Lifts'!$A:$A)*($E117='Best Lifts'!$B:$B),0))</f>
        <v>107.5</v>
      </c>
      <c r="Q117" s="164">
        <f t="array" ref="Q117">INDEX('Best Lifts'!G$1:G$268,MATCH(1,($D117='Best Lifts'!$A:$A)*($E117='Best Lifts'!$B:$B),0))</f>
        <v>240</v>
      </c>
      <c r="R117" s="164">
        <f t="array" ref="R117">INDEX('Best Lifts'!H$1:H$268,MATCH(1,($D117='Best Lifts'!$A:$A)*($E117='Best Lifts'!$B:$B),0))</f>
        <v>512.5</v>
      </c>
      <c r="S117" s="164">
        <f t="array" ref="S117">INDEX('Best Lifts'!I$1:I175,MATCH(1,($D117='Best Lifts'!$A:$A)*($E117='Best Lifts'!$B:$B),0))</f>
        <v>283.5</v>
      </c>
      <c r="T117" s="164">
        <f t="array" ref="T117">INDEX('Best Lifts'!J$1:J$268,MATCH(1,($D117='Best Lifts'!$A:$A)*($E117='Best Lifts'!$B:$B),0))</f>
        <v>158.7</v>
      </c>
      <c r="U117" s="164">
        <f t="array" ref="U117">INDEX('Best Lifts'!K$1:K$268,MATCH(1,($D117='Best Lifts'!$A:$A)*($E117='Best Lifts'!$B:$B),0))</f>
        <v>260.8</v>
      </c>
      <c r="V117" s="164">
        <f t="array" ref="V117">INDEX('Best Lifts'!L$1:L$268,MATCH(1,($D117='Best Lifts'!$A:$A)*($E117='Best Lifts'!$B:$B),0))</f>
        <v>703</v>
      </c>
      <c r="W117" s="164">
        <f t="shared" si="21"/>
        <v>703</v>
      </c>
      <c r="X117" s="164" t="str">
        <f t="array" ref="X117">INDEX('Best Lifts'!M$1:M$258,MATCH(1,($D117='Best Lifts'!$A:$A)*($E117='Best Lifts'!$B:$B),0))</f>
        <v/>
      </c>
    </row>
    <row r="118">
      <c r="A118" s="163">
        <f t="shared" si="19"/>
        <v>13</v>
      </c>
      <c r="B118" s="163" t="str">
        <f t="shared" si="20"/>
        <v>Loading...</v>
      </c>
      <c r="C118" s="163"/>
      <c r="D118" s="163" t="str">
        <f>IFERROR(__xludf.DUMMYFUNCTION("""COMPUTED_VALUE"""),"Gomez")</f>
        <v>Gomez</v>
      </c>
      <c r="E118" s="163" t="str">
        <f>IFERROR(__xludf.DUMMYFUNCTION("""COMPUTED_VALUE"""),"Juan")</f>
        <v>Juan</v>
      </c>
      <c r="F118" s="163" t="str">
        <f>IFERROR(__xludf.DUMMYFUNCTION("""COMPUTED_VALUE"""),"3 - Sat")</f>
        <v>3 - Sat</v>
      </c>
      <c r="G118" s="163"/>
      <c r="H118" s="163"/>
      <c r="I118" s="163"/>
      <c r="J118" s="163" t="str">
        <f>IFERROR(__xludf.DUMMYFUNCTION("""COMPUTED_VALUE"""),"M")</f>
        <v>M</v>
      </c>
      <c r="K118" s="163" t="str">
        <f>IFERROR(__xludf.DUMMYFUNCTION("""COMPUTED_VALUE"""),"E")</f>
        <v>E</v>
      </c>
      <c r="L118" s="163">
        <f>IFERROR(__xludf.DUMMYFUNCTION("""COMPUTED_VALUE"""),100.0)</f>
        <v>100</v>
      </c>
      <c r="M118" s="163">
        <f>IFERROR(__xludf.DUMMYFUNCTION("""COMPUTED_VALUE"""),645.0)</f>
        <v>645</v>
      </c>
      <c r="N118" s="163"/>
      <c r="O118" s="164">
        <f t="array" ref="O118">INDEX('Best Lifts'!E$1:E$268,MATCH(1,($D118='Best Lifts'!$A:$A)*($E118='Best Lifts'!$B:$B),0))</f>
        <v>227.5</v>
      </c>
      <c r="P118" s="164">
        <f t="array" ref="P118">INDEX('Best Lifts'!F$1:F$268,MATCH(1,($D118='Best Lifts'!$A:$A)*($E118='Best Lifts'!$B:$B),0))</f>
        <v>160</v>
      </c>
      <c r="Q118" s="164">
        <f t="array" ref="Q118">INDEX('Best Lifts'!G$1:G$268,MATCH(1,($D118='Best Lifts'!$A:$A)*($E118='Best Lifts'!$B:$B),0))</f>
        <v>272.5</v>
      </c>
      <c r="R118" s="164">
        <f t="array" ref="R118">INDEX('Best Lifts'!H$1:H$268,MATCH(1,($D118='Best Lifts'!$A:$A)*($E118='Best Lifts'!$B:$B),0))</f>
        <v>660</v>
      </c>
      <c r="S118" s="164">
        <f t="array" ref="S118">INDEX('Best Lifts'!I$1:I175,MATCH(1,($D118='Best Lifts'!$A:$A)*($E118='Best Lifts'!$B:$B),0))</f>
        <v>272.1</v>
      </c>
      <c r="T118" s="164">
        <f t="array" ref="T118">INDEX('Best Lifts'!J$1:J$268,MATCH(1,($D118='Best Lifts'!$A:$A)*($E118='Best Lifts'!$B:$B),0))</f>
        <v>160</v>
      </c>
      <c r="U118" s="164">
        <f t="array" ref="U118">INDEX('Best Lifts'!K$1:K$268,MATCH(1,($D118='Best Lifts'!$A:$A)*($E118='Best Lifts'!$B:$B),0))</f>
        <v>229</v>
      </c>
      <c r="V118" s="164">
        <f t="array" ref="V118">INDEX('Best Lifts'!L$1:L$268,MATCH(1,($D118='Best Lifts'!$A:$A)*($E118='Best Lifts'!$B:$B),0))</f>
        <v>653.1</v>
      </c>
      <c r="W118" s="164">
        <f t="shared" si="21"/>
        <v>661.1</v>
      </c>
      <c r="X118" s="164" t="str">
        <f t="array" ref="X118">INDEX('Best Lifts'!M$1:M$258,MATCH(1,($D118='Best Lifts'!$A:$A)*($E118='Best Lifts'!$B:$B),0))</f>
        <v/>
      </c>
    </row>
    <row r="119">
      <c r="A119" s="163">
        <f t="shared" si="19"/>
        <v>14</v>
      </c>
      <c r="B119" s="163" t="str">
        <f t="shared" si="20"/>
        <v>Loading...</v>
      </c>
      <c r="C119" s="163"/>
      <c r="D119" s="163" t="str">
        <f>IFERROR(__xludf.DUMMYFUNCTION("""COMPUTED_VALUE"""),"Esparza")</f>
        <v>Esparza</v>
      </c>
      <c r="E119" s="163" t="str">
        <f>IFERROR(__xludf.DUMMYFUNCTION("""COMPUTED_VALUE"""),"Caleb")</f>
        <v>Caleb</v>
      </c>
      <c r="F119" s="163" t="str">
        <f>IFERROR(__xludf.DUMMYFUNCTION("""COMPUTED_VALUE"""),"3 - Sat")</f>
        <v>3 - Sat</v>
      </c>
      <c r="G119" s="163"/>
      <c r="H119" s="163"/>
      <c r="I119" s="163"/>
      <c r="J119" s="163" t="str">
        <f>IFERROR(__xludf.DUMMYFUNCTION("""COMPUTED_VALUE"""),"M")</f>
        <v>M</v>
      </c>
      <c r="K119" s="163" t="str">
        <f>IFERROR(__xludf.DUMMYFUNCTION("""COMPUTED_VALUE"""),"E")</f>
        <v>E</v>
      </c>
      <c r="L119" s="163">
        <f>IFERROR(__xludf.DUMMYFUNCTION("""COMPUTED_VALUE"""),100.0)</f>
        <v>100</v>
      </c>
      <c r="M119" s="163">
        <f>IFERROR(__xludf.DUMMYFUNCTION("""COMPUTED_VALUE"""),642.5)</f>
        <v>642.5</v>
      </c>
      <c r="N119" s="163"/>
      <c r="O119" s="164">
        <f t="array" ref="O119">INDEX('Best Lifts'!E$1:E$268,MATCH(1,($D119='Best Lifts'!$A:$A)*($E119='Best Lifts'!$B:$B),0))</f>
        <v>250</v>
      </c>
      <c r="P119" s="164">
        <f t="array" ref="P119">INDEX('Best Lifts'!F$1:F$268,MATCH(1,($D119='Best Lifts'!$A:$A)*($E119='Best Lifts'!$B:$B),0))</f>
        <v>152.5</v>
      </c>
      <c r="Q119" s="164">
        <f t="array" ref="Q119">INDEX('Best Lifts'!G$1:G$268,MATCH(1,($D119='Best Lifts'!$A:$A)*($E119='Best Lifts'!$B:$B),0))</f>
        <v>240</v>
      </c>
      <c r="R119" s="164">
        <f t="array" ref="R119">INDEX('Best Lifts'!H$1:H$268,MATCH(1,($D119='Best Lifts'!$A:$A)*($E119='Best Lifts'!$B:$B),0))</f>
        <v>642.5</v>
      </c>
      <c r="S119" s="164">
        <f t="array" ref="S119">INDEX('Best Lifts'!I$1:I175,MATCH(1,($D119='Best Lifts'!$A:$A)*($E119='Best Lifts'!$B:$B),0))</f>
        <v>362.8</v>
      </c>
      <c r="T119" s="164">
        <f t="array" ref="T119">INDEX('Best Lifts'!J$1:J$268,MATCH(1,($D119='Best Lifts'!$A:$A)*($E119='Best Lifts'!$B:$B),0))</f>
        <v>183.7</v>
      </c>
      <c r="U119" s="164">
        <f t="array" ref="U119">INDEX('Best Lifts'!K$1:K$268,MATCH(1,($D119='Best Lifts'!$A:$A)*($E119='Best Lifts'!$B:$B),0))</f>
        <v>260.8</v>
      </c>
      <c r="V119" s="164">
        <f t="array" ref="V119">INDEX('Best Lifts'!L$1:L$268,MATCH(1,($D119='Best Lifts'!$A:$A)*($E119='Best Lifts'!$B:$B),0))</f>
        <v>802.8</v>
      </c>
      <c r="W119" s="164">
        <f t="shared" si="21"/>
        <v>807.3</v>
      </c>
      <c r="X119" s="164" t="str">
        <f t="array" ref="X119">INDEX('Best Lifts'!M$1:M$258,MATCH(1,($D119='Best Lifts'!$A:$A)*($E119='Best Lifts'!$B:$B),0))</f>
        <v/>
      </c>
    </row>
    <row r="120">
      <c r="A120" s="163">
        <f t="shared" si="19"/>
        <v>15</v>
      </c>
      <c r="B120" s="163" t="str">
        <f t="shared" si="20"/>
        <v>Loading...</v>
      </c>
      <c r="C120" s="163"/>
      <c r="D120" s="163" t="str">
        <f>IFERROR(__xludf.DUMMYFUNCTION("""COMPUTED_VALUE"""),"Polanco pinto")</f>
        <v>Polanco pinto</v>
      </c>
      <c r="E120" s="163" t="str">
        <f>IFERROR(__xludf.DUMMYFUNCTION("""COMPUTED_VALUE"""),"Kaleth")</f>
        <v>Kaleth</v>
      </c>
      <c r="F120" s="163" t="str">
        <f>IFERROR(__xludf.DUMMYFUNCTION("""COMPUTED_VALUE"""),"3 - Sat")</f>
        <v>3 - Sat</v>
      </c>
      <c r="G120" s="163"/>
      <c r="H120" s="163"/>
      <c r="I120" s="163"/>
      <c r="J120" s="163" t="str">
        <f>IFERROR(__xludf.DUMMYFUNCTION("""COMPUTED_VALUE"""),"M")</f>
        <v>M</v>
      </c>
      <c r="K120" s="163" t="str">
        <f>IFERROR(__xludf.DUMMYFUNCTION("""COMPUTED_VALUE"""),"E")</f>
        <v>E</v>
      </c>
      <c r="L120" s="163">
        <f>IFERROR(__xludf.DUMMYFUNCTION("""COMPUTED_VALUE"""),100.0)</f>
        <v>100</v>
      </c>
      <c r="M120" s="163">
        <f>IFERROR(__xludf.DUMMYFUNCTION("""COMPUTED_VALUE"""),637.5)</f>
        <v>637.5</v>
      </c>
      <c r="N120" s="163"/>
      <c r="O120" s="164">
        <f t="array" ref="O120">INDEX('Best Lifts'!E$1:E$268,MATCH(1,($D120='Best Lifts'!$A:$A)*($E120='Best Lifts'!$B:$B),0))</f>
        <v>232.5</v>
      </c>
      <c r="P120" s="164">
        <f t="array" ref="P120">INDEX('Best Lifts'!F$1:F$268,MATCH(1,($D120='Best Lifts'!$A:$A)*($E120='Best Lifts'!$B:$B),0))</f>
        <v>165</v>
      </c>
      <c r="Q120" s="164">
        <f t="array" ref="Q120">INDEX('Best Lifts'!G$1:G$268,MATCH(1,($D120='Best Lifts'!$A:$A)*($E120='Best Lifts'!$B:$B),0))</f>
        <v>240</v>
      </c>
      <c r="R120" s="164">
        <f t="array" ref="R120">INDEX('Best Lifts'!H$1:H$268,MATCH(1,($D120='Best Lifts'!$A:$A)*($E120='Best Lifts'!$B:$B),0))</f>
        <v>637.5</v>
      </c>
      <c r="S120" s="164">
        <f t="array" ref="S120">INDEX('Best Lifts'!I$1:I175,MATCH(1,($D120='Best Lifts'!$A:$A)*($E120='Best Lifts'!$B:$B),0))</f>
        <v>262.5</v>
      </c>
      <c r="T120" s="164">
        <f t="array" ref="T120">INDEX('Best Lifts'!J$1:J$268,MATCH(1,($D120='Best Lifts'!$A:$A)*($E120='Best Lifts'!$B:$B),0))</f>
        <v>175</v>
      </c>
      <c r="U120" s="164">
        <f t="array" ref="U120">INDEX('Best Lifts'!K$1:K$268,MATCH(1,($D120='Best Lifts'!$A:$A)*($E120='Best Lifts'!$B:$B),0))</f>
        <v>215</v>
      </c>
      <c r="V120" s="164">
        <f t="array" ref="V120">INDEX('Best Lifts'!L$1:L$268,MATCH(1,($D120='Best Lifts'!$A:$A)*($E120='Best Lifts'!$B:$B),0))</f>
        <v>652.5</v>
      </c>
      <c r="W120" s="164">
        <f t="shared" si="21"/>
        <v>652.5</v>
      </c>
      <c r="X120" s="164" t="str">
        <f t="array" ref="X120">INDEX('Best Lifts'!M$1:M$258,MATCH(1,($D120='Best Lifts'!$A:$A)*($E120='Best Lifts'!$B:$B),0))</f>
        <v/>
      </c>
    </row>
    <row r="121">
      <c r="A121" s="163">
        <f t="shared" si="19"/>
        <v>16</v>
      </c>
      <c r="B121" s="163" t="str">
        <f t="shared" si="20"/>
        <v>Loading...</v>
      </c>
      <c r="C121" s="163"/>
      <c r="D121" s="163" t="str">
        <f>IFERROR(__xludf.DUMMYFUNCTION("""COMPUTED_VALUE"""),"Fant")</f>
        <v>Fant</v>
      </c>
      <c r="E121" s="163" t="str">
        <f>IFERROR(__xludf.DUMMYFUNCTION("""COMPUTED_VALUE"""),"Clay")</f>
        <v>Clay</v>
      </c>
      <c r="F121" s="163" t="str">
        <f>IFERROR(__xludf.DUMMYFUNCTION("""COMPUTED_VALUE"""),"3 - Sat")</f>
        <v>3 - Sat</v>
      </c>
      <c r="G121" s="163"/>
      <c r="H121" s="163"/>
      <c r="I121" s="163"/>
      <c r="J121" s="163" t="str">
        <f>IFERROR(__xludf.DUMMYFUNCTION("""COMPUTED_VALUE"""),"M")</f>
        <v>M</v>
      </c>
      <c r="K121" s="163" t="str">
        <f>IFERROR(__xludf.DUMMYFUNCTION("""COMPUTED_VALUE"""),"E")</f>
        <v>E</v>
      </c>
      <c r="L121" s="163">
        <f>IFERROR(__xludf.DUMMYFUNCTION("""COMPUTED_VALUE"""),100.0)</f>
        <v>100</v>
      </c>
      <c r="M121" s="163">
        <f>IFERROR(__xludf.DUMMYFUNCTION("""COMPUTED_VALUE"""),635.0)</f>
        <v>635</v>
      </c>
      <c r="N121" s="163"/>
      <c r="O121" s="164"/>
      <c r="P121" s="164"/>
      <c r="Q121" s="164"/>
      <c r="R121" s="164"/>
      <c r="S121" s="164">
        <f t="array" ref="S121">INDEX('Best Lifts'!I$1:I175,MATCH(1,($D121='Best Lifts'!$A:$A)*($E121='Best Lifts'!$B:$B),0))</f>
        <v>263</v>
      </c>
      <c r="T121" s="164"/>
      <c r="U121" s="164"/>
      <c r="V121" s="164"/>
      <c r="W121" s="164"/>
      <c r="X121" s="164"/>
    </row>
    <row r="122">
      <c r="A122" s="163">
        <f t="shared" si="19"/>
        <v>17</v>
      </c>
      <c r="B122" s="163" t="str">
        <f t="shared" si="20"/>
        <v>Loading...</v>
      </c>
      <c r="C122" s="163"/>
      <c r="D122" s="163" t="str">
        <f>IFERROR(__xludf.DUMMYFUNCTION("""COMPUTED_VALUE"""),"Cohen")</f>
        <v>Cohen</v>
      </c>
      <c r="E122" s="163" t="str">
        <f>IFERROR(__xludf.DUMMYFUNCTION("""COMPUTED_VALUE"""),"Samuel")</f>
        <v>Samuel</v>
      </c>
      <c r="F122" s="163" t="str">
        <f>IFERROR(__xludf.DUMMYFUNCTION("""COMPUTED_VALUE"""),"3 - Sat")</f>
        <v>3 - Sat</v>
      </c>
      <c r="G122" s="163"/>
      <c r="H122" s="163"/>
      <c r="I122" s="163"/>
      <c r="J122" s="163" t="str">
        <f>IFERROR(__xludf.DUMMYFUNCTION("""COMPUTED_VALUE"""),"M")</f>
        <v>M</v>
      </c>
      <c r="K122" s="163" t="str">
        <f>IFERROR(__xludf.DUMMYFUNCTION("""COMPUTED_VALUE"""),"E")</f>
        <v>E</v>
      </c>
      <c r="L122" s="163">
        <f>IFERROR(__xludf.DUMMYFUNCTION("""COMPUTED_VALUE"""),100.0)</f>
        <v>100</v>
      </c>
      <c r="M122" s="163">
        <f>IFERROR(__xludf.DUMMYFUNCTION("""COMPUTED_VALUE"""),630.0)</f>
        <v>630</v>
      </c>
      <c r="N122" s="163"/>
      <c r="O122" s="164"/>
      <c r="P122" s="164"/>
      <c r="Q122" s="164"/>
      <c r="R122" s="164"/>
      <c r="S122" s="164" t="str">
        <f t="array" ref="S122">INDEX('Best Lifts'!I$1:I175,MATCH(1,($D122='Best Lifts'!$A:$A)*($E122='Best Lifts'!$B:$B),0))</f>
        <v>#N/A</v>
      </c>
      <c r="T122" s="164"/>
      <c r="U122" s="164"/>
      <c r="V122" s="164"/>
      <c r="W122" s="164"/>
      <c r="X122" s="164"/>
    </row>
    <row r="123">
      <c r="A123" s="163">
        <f t="shared" si="19"/>
        <v>18</v>
      </c>
      <c r="B123" s="163" t="str">
        <f t="shared" si="20"/>
        <v>Loading...</v>
      </c>
      <c r="C123" s="163"/>
      <c r="D123" s="163" t="str">
        <f>IFERROR(__xludf.DUMMYFUNCTION("""COMPUTED_VALUE"""),"Hicks")</f>
        <v>Hicks</v>
      </c>
      <c r="E123" s="163" t="str">
        <f>IFERROR(__xludf.DUMMYFUNCTION("""COMPUTED_VALUE"""),"Christopher")</f>
        <v>Christopher</v>
      </c>
      <c r="F123" s="163" t="str">
        <f>IFERROR(__xludf.DUMMYFUNCTION("""COMPUTED_VALUE"""),"3 - Sat")</f>
        <v>3 - Sat</v>
      </c>
      <c r="G123" s="163"/>
      <c r="H123" s="163"/>
      <c r="I123" s="163"/>
      <c r="J123" s="163" t="str">
        <f>IFERROR(__xludf.DUMMYFUNCTION("""COMPUTED_VALUE"""),"M")</f>
        <v>M</v>
      </c>
      <c r="K123" s="163" t="str">
        <f>IFERROR(__xludf.DUMMYFUNCTION("""COMPUTED_VALUE"""),"E")</f>
        <v>E</v>
      </c>
      <c r="L123" s="163">
        <f>IFERROR(__xludf.DUMMYFUNCTION("""COMPUTED_VALUE"""),100.0)</f>
        <v>100</v>
      </c>
      <c r="M123" s="163">
        <f>IFERROR(__xludf.DUMMYFUNCTION("""COMPUTED_VALUE"""),615.0)</f>
        <v>615</v>
      </c>
      <c r="N123" s="163"/>
      <c r="O123" s="164"/>
      <c r="P123" s="164"/>
      <c r="Q123" s="164"/>
      <c r="R123" s="164"/>
      <c r="S123" s="164" t="str">
        <f t="array" ref="S123">INDEX('Best Lifts'!I$1:I175,MATCH(1,($D123='Best Lifts'!$A:$A)*($E123='Best Lifts'!$B:$B),0))</f>
        <v>Loading...</v>
      </c>
      <c r="T123" s="164"/>
      <c r="U123" s="164"/>
      <c r="V123" s="164"/>
      <c r="W123" s="164"/>
      <c r="X123" s="164"/>
    </row>
    <row r="124">
      <c r="A124" s="163">
        <f t="shared" si="19"/>
        <v>19</v>
      </c>
      <c r="B124" s="163" t="str">
        <f t="shared" si="20"/>
        <v>Loading...</v>
      </c>
      <c r="C124" s="163"/>
      <c r="D124" s="163" t="str">
        <f>IFERROR(__xludf.DUMMYFUNCTION("""COMPUTED_VALUE"""),"Wheeler")</f>
        <v>Wheeler</v>
      </c>
      <c r="E124" s="163" t="str">
        <f>IFERROR(__xludf.DUMMYFUNCTION("""COMPUTED_VALUE"""),"Shawn")</f>
        <v>Shawn</v>
      </c>
      <c r="F124" s="163" t="str">
        <f>IFERROR(__xludf.DUMMYFUNCTION("""COMPUTED_VALUE"""),"3 - Sat")</f>
        <v>3 - Sat</v>
      </c>
      <c r="G124" s="163"/>
      <c r="H124" s="163"/>
      <c r="I124" s="163"/>
      <c r="J124" s="163" t="str">
        <f>IFERROR(__xludf.DUMMYFUNCTION("""COMPUTED_VALUE"""),"M")</f>
        <v>M</v>
      </c>
      <c r="K124" s="163" t="str">
        <f>IFERROR(__xludf.DUMMYFUNCTION("""COMPUTED_VALUE"""),"E")</f>
        <v>E</v>
      </c>
      <c r="L124" s="163">
        <f>IFERROR(__xludf.DUMMYFUNCTION("""COMPUTED_VALUE"""),100.0)</f>
        <v>100</v>
      </c>
      <c r="M124" s="163">
        <f>IFERROR(__xludf.DUMMYFUNCTION("""COMPUTED_VALUE"""),612.5)</f>
        <v>612.5</v>
      </c>
      <c r="N124" s="163"/>
      <c r="O124" s="164"/>
      <c r="P124" s="164"/>
      <c r="Q124" s="164"/>
      <c r="R124" s="164"/>
      <c r="S124" s="164" t="str">
        <f t="array" ref="S124">INDEX('Best Lifts'!I$1:I175,MATCH(1,($D124='Best Lifts'!$A:$A)*($E124='Best Lifts'!$B:$B),0))</f>
        <v>#N/A</v>
      </c>
      <c r="T124" s="164"/>
      <c r="U124" s="164"/>
      <c r="V124" s="164"/>
      <c r="W124" s="164"/>
      <c r="X124" s="164"/>
    </row>
    <row r="125">
      <c r="A125" s="163">
        <f t="shared" si="19"/>
        <v>20</v>
      </c>
      <c r="B125" s="163" t="str">
        <f t="shared" si="20"/>
        <v>Loading...</v>
      </c>
      <c r="C125" s="163"/>
      <c r="D125" s="163" t="str">
        <f>IFERROR(__xludf.DUMMYFUNCTION("""COMPUTED_VALUE"""),"Sullivan")</f>
        <v>Sullivan</v>
      </c>
      <c r="E125" s="163" t="str">
        <f>IFERROR(__xludf.DUMMYFUNCTION("""COMPUTED_VALUE"""),"Hunter")</f>
        <v>Hunter</v>
      </c>
      <c r="F125" s="163" t="str">
        <f>IFERROR(__xludf.DUMMYFUNCTION("""COMPUTED_VALUE"""),"3 - Sat")</f>
        <v>3 - Sat</v>
      </c>
      <c r="G125" s="163"/>
      <c r="H125" s="163"/>
      <c r="I125" s="163"/>
      <c r="J125" s="163" t="str">
        <f>IFERROR(__xludf.DUMMYFUNCTION("""COMPUTED_VALUE"""),"M")</f>
        <v>M</v>
      </c>
      <c r="K125" s="163" t="str">
        <f>IFERROR(__xludf.DUMMYFUNCTION("""COMPUTED_VALUE"""),"E")</f>
        <v>E</v>
      </c>
      <c r="L125" s="163">
        <f>IFERROR(__xludf.DUMMYFUNCTION("""COMPUTED_VALUE"""),100.0)</f>
        <v>100</v>
      </c>
      <c r="M125" s="163">
        <f>IFERROR(__xludf.DUMMYFUNCTION("""COMPUTED_VALUE"""),610.0)</f>
        <v>610</v>
      </c>
      <c r="N125" s="163"/>
      <c r="O125" s="164"/>
      <c r="P125" s="164"/>
      <c r="Q125" s="164"/>
      <c r="R125" s="164"/>
      <c r="S125" s="164">
        <f t="array" ref="S125">INDEX('Best Lifts'!I$1:I175,MATCH(1,($D125='Best Lifts'!$A:$A)*($E125='Best Lifts'!$B:$B),0))</f>
        <v>245</v>
      </c>
      <c r="T125" s="164"/>
      <c r="U125" s="164"/>
      <c r="V125" s="164"/>
      <c r="W125" s="164"/>
      <c r="X125" s="164"/>
    </row>
    <row r="126">
      <c r="A126" s="163">
        <f t="shared" si="19"/>
        <v>21</v>
      </c>
      <c r="B126" s="163" t="str">
        <f t="shared" si="20"/>
        <v>Loading...</v>
      </c>
      <c r="C126" s="163"/>
      <c r="D126" s="163" t="str">
        <f>IFERROR(__xludf.DUMMYFUNCTION("""COMPUTED_VALUE"""),"Medina")</f>
        <v>Medina</v>
      </c>
      <c r="E126" s="163" t="str">
        <f>IFERROR(__xludf.DUMMYFUNCTION("""COMPUTED_VALUE"""),"Daniel")</f>
        <v>Daniel</v>
      </c>
      <c r="F126" s="163" t="str">
        <f>IFERROR(__xludf.DUMMYFUNCTION("""COMPUTED_VALUE"""),"3 - Sat")</f>
        <v>3 - Sat</v>
      </c>
      <c r="G126" s="163"/>
      <c r="H126" s="163"/>
      <c r="I126" s="163"/>
      <c r="J126" s="163" t="str">
        <f>IFERROR(__xludf.DUMMYFUNCTION("""COMPUTED_VALUE"""),"M")</f>
        <v>M</v>
      </c>
      <c r="K126" s="163" t="str">
        <f>IFERROR(__xludf.DUMMYFUNCTION("""COMPUTED_VALUE"""),"E")</f>
        <v>E</v>
      </c>
      <c r="L126" s="163">
        <f>IFERROR(__xludf.DUMMYFUNCTION("""COMPUTED_VALUE"""),100.0)</f>
        <v>100</v>
      </c>
      <c r="M126" s="163">
        <f>IFERROR(__xludf.DUMMYFUNCTION("""COMPUTED_VALUE"""),600.0)</f>
        <v>600</v>
      </c>
      <c r="N126" s="163"/>
      <c r="O126" s="164"/>
      <c r="P126" s="164"/>
      <c r="Q126" s="164"/>
      <c r="R126" s="164"/>
      <c r="S126" s="164">
        <f t="array" ref="S126">INDEX('Best Lifts'!I$1:I175,MATCH(1,($D126='Best Lifts'!$A:$A)*($E126='Best Lifts'!$B:$B),0))</f>
        <v>235</v>
      </c>
      <c r="T126" s="164"/>
      <c r="U126" s="164"/>
      <c r="V126" s="164"/>
      <c r="W126" s="164"/>
      <c r="X126" s="164"/>
    </row>
    <row r="127">
      <c r="A127" s="163" t="str">
        <f t="shared" si="19"/>
        <v>#N/A</v>
      </c>
      <c r="B127" s="163" t="str">
        <f t="shared" si="20"/>
        <v>Loading...</v>
      </c>
      <c r="C127" s="163"/>
      <c r="D127" s="163" t="str">
        <f>IFERROR(__xludf.DUMMYFUNCTION("""COMPUTED_VALUE"""),"Davenport")</f>
        <v>Davenport</v>
      </c>
      <c r="E127" s="163" t="str">
        <f>IFERROR(__xludf.DUMMYFUNCTION("""COMPUTED_VALUE"""),"Jalen")</f>
        <v>Jalen</v>
      </c>
      <c r="F127" s="163" t="str">
        <f>IFERROR(__xludf.DUMMYFUNCTION("""COMPUTED_VALUE"""),"3 - Sat")</f>
        <v>3 - Sat</v>
      </c>
      <c r="G127" s="163"/>
      <c r="H127" s="163"/>
      <c r="I127" s="163"/>
      <c r="J127" s="163" t="str">
        <f>IFERROR(__xludf.DUMMYFUNCTION("""COMPUTED_VALUE"""),"M")</f>
        <v>M</v>
      </c>
      <c r="K127" s="163" t="str">
        <f>IFERROR(__xludf.DUMMYFUNCTION("""COMPUTED_VALUE"""),"E")</f>
        <v>E</v>
      </c>
      <c r="L127" s="163">
        <f>IFERROR(__xludf.DUMMYFUNCTION("""COMPUTED_VALUE"""),100.0)</f>
        <v>100</v>
      </c>
      <c r="M127" s="163"/>
      <c r="N127" s="163"/>
      <c r="O127" s="164"/>
      <c r="P127" s="164"/>
      <c r="Q127" s="164"/>
      <c r="R127" s="164"/>
      <c r="S127" s="164">
        <f t="array" ref="S127">INDEX('Best Lifts'!I$1:I175,MATCH(1,($D127='Best Lifts'!$A:$A)*($E127='Best Lifts'!$B:$B),0))</f>
        <v>342.5</v>
      </c>
      <c r="T127" s="164"/>
      <c r="U127" s="164"/>
      <c r="V127" s="164"/>
      <c r="W127" s="164"/>
      <c r="X127" s="164"/>
    </row>
    <row r="128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</row>
    <row r="129">
      <c r="A129" s="154"/>
      <c r="B129" s="154"/>
      <c r="C129" s="154"/>
      <c r="D129" s="155">
        <v>110.0</v>
      </c>
      <c r="E129" s="156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8"/>
      <c r="Q129" s="158"/>
      <c r="R129" s="159"/>
      <c r="S129" s="160"/>
      <c r="T129" s="158"/>
      <c r="U129" s="158"/>
      <c r="V129" s="159"/>
      <c r="W129" s="159"/>
      <c r="X129" s="158"/>
    </row>
    <row r="130">
      <c r="A130" s="161" t="s">
        <v>746</v>
      </c>
      <c r="B130" s="161" t="s">
        <v>747</v>
      </c>
      <c r="C130" s="161" t="s">
        <v>748</v>
      </c>
      <c r="D130" s="161" t="s">
        <v>253</v>
      </c>
      <c r="E130" s="161" t="s">
        <v>254</v>
      </c>
      <c r="F130" s="161" t="s">
        <v>31</v>
      </c>
      <c r="G130" s="161" t="s">
        <v>32</v>
      </c>
      <c r="H130" s="161" t="s">
        <v>33</v>
      </c>
      <c r="I130" s="161" t="s">
        <v>34</v>
      </c>
      <c r="J130" s="161" t="s">
        <v>749</v>
      </c>
      <c r="K130" s="161" t="s">
        <v>257</v>
      </c>
      <c r="L130" s="161" t="s">
        <v>750</v>
      </c>
      <c r="M130" s="161" t="s">
        <v>36</v>
      </c>
      <c r="N130" s="161" t="s">
        <v>261</v>
      </c>
      <c r="O130" s="161" t="s">
        <v>751</v>
      </c>
      <c r="P130" s="162" t="s">
        <v>752</v>
      </c>
      <c r="Q130" s="162" t="s">
        <v>753</v>
      </c>
      <c r="R130" s="162" t="s">
        <v>754</v>
      </c>
      <c r="S130" s="161" t="s">
        <v>755</v>
      </c>
      <c r="T130" s="162" t="s">
        <v>756</v>
      </c>
      <c r="U130" s="162" t="s">
        <v>757</v>
      </c>
      <c r="V130" s="162" t="s">
        <v>758</v>
      </c>
      <c r="W130" s="162" t="s">
        <v>759</v>
      </c>
      <c r="X130" s="209" t="s">
        <v>703</v>
      </c>
    </row>
    <row r="131">
      <c r="A131" s="163">
        <f t="shared" ref="A131:A142" si="22">RANK(M131,M$131:M$142)</f>
        <v>1</v>
      </c>
      <c r="B131" s="163" t="str">
        <f t="shared" ref="B131:B142" si="23">RANK(W131,W$131:W$142)</f>
        <v>Loading...</v>
      </c>
      <c r="C131" s="163"/>
      <c r="D131" s="163" t="str">
        <f>IFERROR(__xludf.DUMMYFUNCTION("FILTER(Roster!A$2:A175,Roster!$H$2:$H175=""M"",Roster!$J$2:$J175=$D129)"),"Herod")</f>
        <v>Herod</v>
      </c>
      <c r="E131" s="163" t="str">
        <f>IFERROR(__xludf.DUMMYFUNCTION("FILTER(Roster!B$2:B175,Roster!$H$2:$H175=""M"",Roster!$J$2:$J175=$D129)"),"Xavian")</f>
        <v>Xavian</v>
      </c>
      <c r="F131" s="163" t="str">
        <f>IFERROR(__xludf.DUMMYFUNCTION("FILTER(Roster!D$2:D175,Roster!$H$2:$H175=""M"",Roster!$J$2:$J175=$D129)"),"4 - Sun")</f>
        <v>4 - Sun</v>
      </c>
      <c r="G131" s="163" t="str">
        <f>IFERROR(__xludf.DUMMYFUNCTION("FILTER(Roster!E$2:E175,Roster!$H$2:$H175=""M"",Roster!$J$2:$J175=$D129)"),"")</f>
        <v/>
      </c>
      <c r="H131" s="163" t="str">
        <f>IFERROR(__xludf.DUMMYFUNCTION("FILTER(Roster!F$2:F175,Roster!$H$2:$H175=""M"",Roster!$J$2:$J175=$D129)"),"")</f>
        <v/>
      </c>
      <c r="I131" s="163" t="str">
        <f>IFERROR(__xludf.DUMMYFUNCTION("FILTER(Roster!G$2:G175,Roster!$H$2:$H175=""M"",Roster!$J$2:$J175=$D129)"),"")</f>
        <v/>
      </c>
      <c r="J131" s="163" t="str">
        <f>IFERROR(__xludf.DUMMYFUNCTION("FILTER(Roster!H$2:H175,Roster!$H$2:$H175=""M"",Roster!$J$2:$J175=$D129)"),"M")</f>
        <v>M</v>
      </c>
      <c r="K131" s="163" t="str">
        <f>IFERROR(__xludf.DUMMYFUNCTION("FILTER(Roster!I$2:I175,Roster!$H$2:$H175=""M"",Roster!$J$2:$J175=$D129)"),"E")</f>
        <v>E</v>
      </c>
      <c r="L131" s="163">
        <f>IFERROR(__xludf.DUMMYFUNCTION("FILTER(Roster!J$2:J175,Roster!$H$2:$H175=""M"",Roster!$J$2:$J175=$D129)"),110.0)</f>
        <v>110</v>
      </c>
      <c r="M131" s="163">
        <f>IFERROR(__xludf.DUMMYFUNCTION("FILTER(Roster!M$2:M175,Roster!$H$2:$H175=""M"",Roster!$J$2:$J175=$D129)"),862.5)</f>
        <v>862.5</v>
      </c>
      <c r="N131" s="163" t="str">
        <f>IFERROR(__xludf.DUMMYFUNCTION("FILTER(Roster!N$2:N175,Roster!$H$2:$H175=""M"",Roster!$J$2:$J175=$D129)"),"")</f>
        <v/>
      </c>
      <c r="O131" s="164" t="str">
        <f t="array" ref="O131">INDEX('Best Lifts'!E$1:E$268,MATCH(1,($D131='Best Lifts'!$A:$A)*($E131='Best Lifts'!$B:$B),0))</f>
        <v>#N/A</v>
      </c>
      <c r="P131" s="164" t="str">
        <f t="array" ref="P131">INDEX('Best Lifts'!F$1:F$268,MATCH(1,($D131='Best Lifts'!$A:$A)*($E131='Best Lifts'!$B:$B),0))</f>
        <v/>
      </c>
      <c r="Q131" s="164" t="str">
        <f t="array" ref="Q131">INDEX('Best Lifts'!G$1:G$268,MATCH(1,($D131='Best Lifts'!$A:$A)*($E131='Best Lifts'!$B:$B),0))</f>
        <v/>
      </c>
      <c r="R131" s="164" t="str">
        <f t="array" ref="R131">INDEX('Best Lifts'!H$1:H$268,MATCH(1,($D131='Best Lifts'!$A:$A)*($E131='Best Lifts'!$B:$B),0))</f>
        <v/>
      </c>
      <c r="S131" s="164">
        <f t="array" ref="S131">INDEX('Best Lifts'!I$1:I175,MATCH(1,($D131='Best Lifts'!$A:$A)*($E131='Best Lifts'!$B:$B),0))</f>
        <v>365</v>
      </c>
      <c r="T131" s="164">
        <f t="array" ref="T131">INDEX('Best Lifts'!J$1:J$268,MATCH(1,($D131='Best Lifts'!$A:$A)*($E131='Best Lifts'!$B:$B),0))</f>
        <v>200</v>
      </c>
      <c r="U131" s="164">
        <f t="array" ref="U131">INDEX('Best Lifts'!K$1:K$268,MATCH(1,($D131='Best Lifts'!$A:$A)*($E131='Best Lifts'!$B:$B),0))</f>
        <v>325</v>
      </c>
      <c r="V131" s="164">
        <f t="array" ref="V131">INDEX('Best Lifts'!L$1:L$268,MATCH(1,($D131='Best Lifts'!$A:$A)*($E131='Best Lifts'!$B:$B),0))</f>
        <v>885</v>
      </c>
      <c r="W131" s="164">
        <f t="shared" ref="W131:W142" si="24">IF(ISNA(SUM(S131:U131)),0,SUM(S131:U131))</f>
        <v>890</v>
      </c>
      <c r="X131" s="164" t="str">
        <f t="array" ref="X131">INDEX('Best Lifts'!M$1:M$258,MATCH(1,($D131='Best Lifts'!$A:$A)*($E131='Best Lifts'!$B:$B),0))</f>
        <v/>
      </c>
    </row>
    <row r="132">
      <c r="A132" s="163">
        <f t="shared" si="22"/>
        <v>2</v>
      </c>
      <c r="B132" s="163" t="str">
        <f t="shared" si="23"/>
        <v>Loading...</v>
      </c>
      <c r="C132" s="163"/>
      <c r="D132" s="163" t="str">
        <f>IFERROR(__xludf.DUMMYFUNCTION("""COMPUTED_VALUE"""),"Rios")</f>
        <v>Rios</v>
      </c>
      <c r="E132" s="163" t="str">
        <f>IFERROR(__xludf.DUMMYFUNCTION("""COMPUTED_VALUE"""),"Jaime")</f>
        <v>Jaime</v>
      </c>
      <c r="F132" s="163" t="str">
        <f>IFERROR(__xludf.DUMMYFUNCTION("""COMPUTED_VALUE"""),"4 - Sun")</f>
        <v>4 - Sun</v>
      </c>
      <c r="G132" s="163"/>
      <c r="H132" s="163"/>
      <c r="I132" s="163"/>
      <c r="J132" s="163" t="str">
        <f>IFERROR(__xludf.DUMMYFUNCTION("""COMPUTED_VALUE"""),"M")</f>
        <v>M</v>
      </c>
      <c r="K132" s="163" t="str">
        <f>IFERROR(__xludf.DUMMYFUNCTION("""COMPUTED_VALUE"""),"E")</f>
        <v>E</v>
      </c>
      <c r="L132" s="163">
        <f>IFERROR(__xludf.DUMMYFUNCTION("""COMPUTED_VALUE"""),110.0)</f>
        <v>110</v>
      </c>
      <c r="M132" s="163">
        <f>IFERROR(__xludf.DUMMYFUNCTION("""COMPUTED_VALUE"""),817.5)</f>
        <v>817.5</v>
      </c>
      <c r="N132" s="163"/>
      <c r="O132" s="164">
        <f t="array" ref="O132">INDEX('Best Lifts'!E$1:E$268,MATCH(1,($D132='Best Lifts'!$A:$A)*($E132='Best Lifts'!$B:$B),0))</f>
        <v>272.5</v>
      </c>
      <c r="P132" s="164">
        <f t="array" ref="P132">INDEX('Best Lifts'!F$1:F$268,MATCH(1,($D132='Best Lifts'!$A:$A)*($E132='Best Lifts'!$B:$B),0))</f>
        <v>167.5</v>
      </c>
      <c r="Q132" s="164">
        <f t="array" ref="Q132">INDEX('Best Lifts'!G$1:G$268,MATCH(1,($D132='Best Lifts'!$A:$A)*($E132='Best Lifts'!$B:$B),0))</f>
        <v>262.5</v>
      </c>
      <c r="R132" s="164">
        <f t="array" ref="R132">INDEX('Best Lifts'!H$1:H$268,MATCH(1,($D132='Best Lifts'!$A:$A)*($E132='Best Lifts'!$B:$B),0))</f>
        <v>692.5</v>
      </c>
      <c r="S132" s="164">
        <f t="array" ref="S132">INDEX('Best Lifts'!I$1:I175,MATCH(1,($D132='Best Lifts'!$A:$A)*($E132='Best Lifts'!$B:$B),0))</f>
        <v>337.5</v>
      </c>
      <c r="T132" s="164">
        <f t="array" ref="T132">INDEX('Best Lifts'!J$1:J$268,MATCH(1,($D132='Best Lifts'!$A:$A)*($E132='Best Lifts'!$B:$B),0))</f>
        <v>220</v>
      </c>
      <c r="U132" s="164">
        <f t="array" ref="U132">INDEX('Best Lifts'!K$1:K$268,MATCH(1,($D132='Best Lifts'!$A:$A)*($E132='Best Lifts'!$B:$B),0))</f>
        <v>272.5</v>
      </c>
      <c r="V132" s="164">
        <f t="array" ref="V132">INDEX('Best Lifts'!L$1:L$268,MATCH(1,($D132='Best Lifts'!$A:$A)*($E132='Best Lifts'!$B:$B),0))</f>
        <v>817.5</v>
      </c>
      <c r="W132" s="164">
        <f t="shared" si="24"/>
        <v>830</v>
      </c>
      <c r="X132" s="164" t="str">
        <f t="array" ref="X132">INDEX('Best Lifts'!M$1:M$258,MATCH(1,($D132='Best Lifts'!$A:$A)*($E132='Best Lifts'!$B:$B),0))</f>
        <v/>
      </c>
    </row>
    <row r="133">
      <c r="A133" s="163">
        <f t="shared" si="22"/>
        <v>3</v>
      </c>
      <c r="B133" s="163" t="str">
        <f t="shared" si="23"/>
        <v>Loading...</v>
      </c>
      <c r="C133" s="163"/>
      <c r="D133" s="163" t="str">
        <f>IFERROR(__xludf.DUMMYFUNCTION("""COMPUTED_VALUE"""),"Aguilera")</f>
        <v>Aguilera</v>
      </c>
      <c r="E133" s="163" t="str">
        <f>IFERROR(__xludf.DUMMYFUNCTION("""COMPUTED_VALUE"""),"Raul")</f>
        <v>Raul</v>
      </c>
      <c r="F133" s="163" t="str">
        <f>IFERROR(__xludf.DUMMYFUNCTION("""COMPUTED_VALUE"""),"4 - Sun")</f>
        <v>4 - Sun</v>
      </c>
      <c r="G133" s="163"/>
      <c r="H133" s="163"/>
      <c r="I133" s="163"/>
      <c r="J133" s="163" t="str">
        <f>IFERROR(__xludf.DUMMYFUNCTION("""COMPUTED_VALUE"""),"M")</f>
        <v>M</v>
      </c>
      <c r="K133" s="163" t="str">
        <f>IFERROR(__xludf.DUMMYFUNCTION("""COMPUTED_VALUE"""),"E")</f>
        <v>E</v>
      </c>
      <c r="L133" s="163">
        <f>IFERROR(__xludf.DUMMYFUNCTION("""COMPUTED_VALUE"""),110.0)</f>
        <v>110</v>
      </c>
      <c r="M133" s="163">
        <f>IFERROR(__xludf.DUMMYFUNCTION("""COMPUTED_VALUE"""),755.0)</f>
        <v>755</v>
      </c>
      <c r="N133" s="163"/>
      <c r="O133" s="164">
        <f t="array" ref="O133">INDEX('Best Lifts'!E$1:E$268,MATCH(1,($D133='Best Lifts'!$A:$A)*($E133='Best Lifts'!$B:$B),0))</f>
        <v>230</v>
      </c>
      <c r="P133" s="164">
        <f t="array" ref="P133">INDEX('Best Lifts'!F$1:F$268,MATCH(1,($D133='Best Lifts'!$A:$A)*($E133='Best Lifts'!$B:$B),0))</f>
        <v>177.5</v>
      </c>
      <c r="Q133" s="164">
        <f t="array" ref="Q133">INDEX('Best Lifts'!G$1:G$268,MATCH(1,($D133='Best Lifts'!$A:$A)*($E133='Best Lifts'!$B:$B),0))</f>
        <v>275</v>
      </c>
      <c r="R133" s="164">
        <f t="array" ref="R133">INDEX('Best Lifts'!H$1:H$268,MATCH(1,($D133='Best Lifts'!$A:$A)*($E133='Best Lifts'!$B:$B),0))</f>
        <v>680</v>
      </c>
      <c r="S133" s="164">
        <f t="array" ref="S133">INDEX('Best Lifts'!I$1:I175,MATCH(1,($D133='Best Lifts'!$A:$A)*($E133='Best Lifts'!$B:$B),0))</f>
        <v>285</v>
      </c>
      <c r="T133" s="164">
        <f t="array" ref="T133">INDEX('Best Lifts'!J$1:J$268,MATCH(1,($D133='Best Lifts'!$A:$A)*($E133='Best Lifts'!$B:$B),0))</f>
        <v>207.5</v>
      </c>
      <c r="U133" s="164">
        <f t="array" ref="U133">INDEX('Best Lifts'!K$1:K$268,MATCH(1,($D133='Best Lifts'!$A:$A)*($E133='Best Lifts'!$B:$B),0))</f>
        <v>262.5</v>
      </c>
      <c r="V133" s="164">
        <f t="array" ref="V133">INDEX('Best Lifts'!L$1:L$268,MATCH(1,($D133='Best Lifts'!$A:$A)*($E133='Best Lifts'!$B:$B),0))</f>
        <v>755</v>
      </c>
      <c r="W133" s="164">
        <f t="shared" si="24"/>
        <v>755</v>
      </c>
      <c r="X133" s="164" t="str">
        <f t="array" ref="X133">INDEX('Best Lifts'!M$1:M$258,MATCH(1,($D133='Best Lifts'!$A:$A)*($E133='Best Lifts'!$B:$B),0))</f>
        <v/>
      </c>
    </row>
    <row r="134">
      <c r="A134" s="163">
        <f t="shared" si="22"/>
        <v>4</v>
      </c>
      <c r="B134" s="163" t="str">
        <f t="shared" si="23"/>
        <v>Loading...</v>
      </c>
      <c r="C134" s="163"/>
      <c r="D134" s="163" t="str">
        <f>IFERROR(__xludf.DUMMYFUNCTION("""COMPUTED_VALUE"""),"Loop")</f>
        <v>Loop</v>
      </c>
      <c r="E134" s="163" t="str">
        <f>IFERROR(__xludf.DUMMYFUNCTION("""COMPUTED_VALUE"""),"Micaiah")</f>
        <v>Micaiah</v>
      </c>
      <c r="F134" s="163" t="str">
        <f>IFERROR(__xludf.DUMMYFUNCTION("""COMPUTED_VALUE"""),"4 - Sun")</f>
        <v>4 - Sun</v>
      </c>
      <c r="G134" s="163"/>
      <c r="H134" s="163"/>
      <c r="I134" s="163"/>
      <c r="J134" s="163" t="str">
        <f>IFERROR(__xludf.DUMMYFUNCTION("""COMPUTED_VALUE"""),"M")</f>
        <v>M</v>
      </c>
      <c r="K134" s="163" t="str">
        <f>IFERROR(__xludf.DUMMYFUNCTION("""COMPUTED_VALUE"""),"E")</f>
        <v>E</v>
      </c>
      <c r="L134" s="163">
        <f>IFERROR(__xludf.DUMMYFUNCTION("""COMPUTED_VALUE"""),110.0)</f>
        <v>110</v>
      </c>
      <c r="M134" s="163">
        <f>IFERROR(__xludf.DUMMYFUNCTION("""COMPUTED_VALUE"""),750.0)</f>
        <v>750</v>
      </c>
      <c r="N134" s="163"/>
      <c r="O134" s="164">
        <f t="array" ref="O134">INDEX('Best Lifts'!E$1:E$268,MATCH(1,($D134='Best Lifts'!$A:$A)*($E134='Best Lifts'!$B:$B),0))</f>
        <v>237.5</v>
      </c>
      <c r="P134" s="164">
        <f t="array" ref="P134">INDEX('Best Lifts'!F$1:F$268,MATCH(1,($D134='Best Lifts'!$A:$A)*($E134='Best Lifts'!$B:$B),0))</f>
        <v>162.5</v>
      </c>
      <c r="Q134" s="164">
        <f t="array" ref="Q134">INDEX('Best Lifts'!G$1:G$268,MATCH(1,($D134='Best Lifts'!$A:$A)*($E134='Best Lifts'!$B:$B),0))</f>
        <v>285</v>
      </c>
      <c r="R134" s="164">
        <f t="array" ref="R134">INDEX('Best Lifts'!H$1:H$268,MATCH(1,($D134='Best Lifts'!$A:$A)*($E134='Best Lifts'!$B:$B),0))</f>
        <v>680</v>
      </c>
      <c r="S134" s="164">
        <f t="array" ref="S134">INDEX('Best Lifts'!I$1:I175,MATCH(1,($D134='Best Lifts'!$A:$A)*($E134='Best Lifts'!$B:$B),0))</f>
        <v>290.3</v>
      </c>
      <c r="T134" s="164">
        <f t="array" ref="T134">INDEX('Best Lifts'!J$1:J$268,MATCH(1,($D134='Best Lifts'!$A:$A)*($E134='Best Lifts'!$B:$B),0))</f>
        <v>195</v>
      </c>
      <c r="U134" s="164">
        <f t="array" ref="U134">INDEX('Best Lifts'!K$1:K$268,MATCH(1,($D134='Best Lifts'!$A:$A)*($E134='Best Lifts'!$B:$B),0))</f>
        <v>295</v>
      </c>
      <c r="V134" s="164">
        <f t="array" ref="V134">INDEX('Best Lifts'!L$1:L$268,MATCH(1,($D134='Best Lifts'!$A:$A)*($E134='Best Lifts'!$B:$B),0))</f>
        <v>766.5</v>
      </c>
      <c r="W134" s="164">
        <f t="shared" si="24"/>
        <v>780.3</v>
      </c>
      <c r="X134" s="164" t="str">
        <f t="array" ref="X134">INDEX('Best Lifts'!M$1:M$258,MATCH(1,($D134='Best Lifts'!$A:$A)*($E134='Best Lifts'!$B:$B),0))</f>
        <v/>
      </c>
    </row>
    <row r="135">
      <c r="A135" s="163">
        <f t="shared" si="22"/>
        <v>5</v>
      </c>
      <c r="B135" s="163" t="str">
        <f t="shared" si="23"/>
        <v>Loading...</v>
      </c>
      <c r="C135" s="163"/>
      <c r="D135" s="163" t="str">
        <f>IFERROR(__xludf.DUMMYFUNCTION("""COMPUTED_VALUE"""),"Self")</f>
        <v>Self</v>
      </c>
      <c r="E135" s="163" t="str">
        <f>IFERROR(__xludf.DUMMYFUNCTION("""COMPUTED_VALUE"""),"Baxter")</f>
        <v>Baxter</v>
      </c>
      <c r="F135" s="163" t="str">
        <f>IFERROR(__xludf.DUMMYFUNCTION("""COMPUTED_VALUE"""),"4 - Sun")</f>
        <v>4 - Sun</v>
      </c>
      <c r="G135" s="163"/>
      <c r="H135" s="163"/>
      <c r="I135" s="163"/>
      <c r="J135" s="163" t="str">
        <f>IFERROR(__xludf.DUMMYFUNCTION("""COMPUTED_VALUE"""),"M")</f>
        <v>M</v>
      </c>
      <c r="K135" s="163" t="str">
        <f>IFERROR(__xludf.DUMMYFUNCTION("""COMPUTED_VALUE"""),"E")</f>
        <v>E</v>
      </c>
      <c r="L135" s="163">
        <f>IFERROR(__xludf.DUMMYFUNCTION("""COMPUTED_VALUE"""),110.0)</f>
        <v>110</v>
      </c>
      <c r="M135" s="163">
        <f>IFERROR(__xludf.DUMMYFUNCTION("""COMPUTED_VALUE"""),735.0)</f>
        <v>735</v>
      </c>
      <c r="N135" s="163"/>
      <c r="O135" s="164">
        <f t="array" ref="O135">INDEX('Best Lifts'!E$1:E$268,MATCH(1,($D135='Best Lifts'!$A:$A)*($E135='Best Lifts'!$B:$B),0))</f>
        <v>250</v>
      </c>
      <c r="P135" s="164">
        <f t="array" ref="P135">INDEX('Best Lifts'!F$1:F$268,MATCH(1,($D135='Best Lifts'!$A:$A)*($E135='Best Lifts'!$B:$B),0))</f>
        <v>142.5</v>
      </c>
      <c r="Q135" s="164">
        <f t="array" ref="Q135">INDEX('Best Lifts'!G$1:G$268,MATCH(1,($D135='Best Lifts'!$A:$A)*($E135='Best Lifts'!$B:$B),0))</f>
        <v>252.5</v>
      </c>
      <c r="R135" s="164">
        <f t="array" ref="R135">INDEX('Best Lifts'!H$1:H$268,MATCH(1,($D135='Best Lifts'!$A:$A)*($E135='Best Lifts'!$B:$B),0))</f>
        <v>640</v>
      </c>
      <c r="S135" s="164" t="str">
        <f t="array" ref="S135">INDEX('Best Lifts'!I$1:I175,MATCH(1,($D135='Best Lifts'!$A:$A)*($E135='Best Lifts'!$B:$B),0))</f>
        <v>Loading...</v>
      </c>
      <c r="T135" s="164" t="str">
        <f t="array" ref="T135">INDEX('Best Lifts'!J$1:J$268,MATCH(1,($D135='Best Lifts'!$A:$A)*($E135='Best Lifts'!$B:$B),0))</f>
        <v/>
      </c>
      <c r="U135" s="164" t="str">
        <f t="array" ref="U135">INDEX('Best Lifts'!K$1:K$268,MATCH(1,($D135='Best Lifts'!$A:$A)*($E135='Best Lifts'!$B:$B),0))</f>
        <v/>
      </c>
      <c r="V135" s="164" t="str">
        <f t="array" ref="V135">INDEX('Best Lifts'!L$1:L$268,MATCH(1,($D135='Best Lifts'!$A:$A)*($E135='Best Lifts'!$B:$B),0))</f>
        <v/>
      </c>
      <c r="W135" s="164" t="str">
        <f t="shared" si="24"/>
        <v>Loading...</v>
      </c>
      <c r="X135" s="164" t="str">
        <f t="array" ref="X135">INDEX('Best Lifts'!M$1:M$258,MATCH(1,($D135='Best Lifts'!$A:$A)*($E135='Best Lifts'!$B:$B),0))</f>
        <v/>
      </c>
    </row>
    <row r="136">
      <c r="A136" s="163">
        <f t="shared" si="22"/>
        <v>6</v>
      </c>
      <c r="B136" s="163" t="str">
        <f t="shared" si="23"/>
        <v>Loading...</v>
      </c>
      <c r="C136" s="163"/>
      <c r="D136" s="163" t="str">
        <f>IFERROR(__xludf.DUMMYFUNCTION("""COMPUTED_VALUE"""),"Chavez")</f>
        <v>Chavez</v>
      </c>
      <c r="E136" s="163" t="str">
        <f>IFERROR(__xludf.DUMMYFUNCTION("""COMPUTED_VALUE"""),"Peter")</f>
        <v>Peter</v>
      </c>
      <c r="F136" s="163" t="str">
        <f>IFERROR(__xludf.DUMMYFUNCTION("""COMPUTED_VALUE"""),"4 - Sun")</f>
        <v>4 - Sun</v>
      </c>
      <c r="G136" s="163"/>
      <c r="H136" s="163"/>
      <c r="I136" s="163"/>
      <c r="J136" s="163" t="str">
        <f>IFERROR(__xludf.DUMMYFUNCTION("""COMPUTED_VALUE"""),"M")</f>
        <v>M</v>
      </c>
      <c r="K136" s="163" t="str">
        <f>IFERROR(__xludf.DUMMYFUNCTION("""COMPUTED_VALUE"""),"E")</f>
        <v>E</v>
      </c>
      <c r="L136" s="163">
        <f>IFERROR(__xludf.DUMMYFUNCTION("""COMPUTED_VALUE"""),110.0)</f>
        <v>110</v>
      </c>
      <c r="M136" s="163">
        <f>IFERROR(__xludf.DUMMYFUNCTION("""COMPUTED_VALUE"""),727.5)</f>
        <v>727.5</v>
      </c>
      <c r="N136" s="163"/>
      <c r="O136" s="164">
        <f t="array" ref="O136">INDEX('Best Lifts'!E$1:E$268,MATCH(1,($D136='Best Lifts'!$A:$A)*($E136='Best Lifts'!$B:$B),0))</f>
        <v>272.5</v>
      </c>
      <c r="P136" s="164">
        <f t="array" ref="P136">INDEX('Best Lifts'!F$1:F$268,MATCH(1,($D136='Best Lifts'!$A:$A)*($E136='Best Lifts'!$B:$B),0))</f>
        <v>145</v>
      </c>
      <c r="Q136" s="164">
        <f t="array" ref="Q136">INDEX('Best Lifts'!G$1:G$268,MATCH(1,($D136='Best Lifts'!$A:$A)*($E136='Best Lifts'!$B:$B),0))</f>
        <v>310</v>
      </c>
      <c r="R136" s="164">
        <f t="array" ref="R136">INDEX('Best Lifts'!H$1:H$268,MATCH(1,($D136='Best Lifts'!$A:$A)*($E136='Best Lifts'!$B:$B),0))</f>
        <v>727.5</v>
      </c>
      <c r="S136" s="164">
        <f t="array" ref="S136">INDEX('Best Lifts'!I$1:I175,MATCH(1,($D136='Best Lifts'!$A:$A)*($E136='Best Lifts'!$B:$B),0))</f>
        <v>310</v>
      </c>
      <c r="T136" s="164">
        <f t="array" ref="T136">INDEX('Best Lifts'!J$1:J$268,MATCH(1,($D136='Best Lifts'!$A:$A)*($E136='Best Lifts'!$B:$B),0))</f>
        <v>157.5</v>
      </c>
      <c r="U136" s="164">
        <f t="array" ref="U136">INDEX('Best Lifts'!K$1:K$268,MATCH(1,($D136='Best Lifts'!$A:$A)*($E136='Best Lifts'!$B:$B),0))</f>
        <v>287.5</v>
      </c>
      <c r="V136" s="164">
        <f t="array" ref="V136">INDEX('Best Lifts'!L$1:L$268,MATCH(1,($D136='Best Lifts'!$A:$A)*($E136='Best Lifts'!$B:$B),0))</f>
        <v>755</v>
      </c>
      <c r="W136" s="164">
        <f t="shared" si="24"/>
        <v>755</v>
      </c>
      <c r="X136" s="164" t="str">
        <f t="array" ref="X136">INDEX('Best Lifts'!M$1:M$258,MATCH(1,($D136='Best Lifts'!$A:$A)*($E136='Best Lifts'!$B:$B),0))</f>
        <v/>
      </c>
    </row>
    <row r="137">
      <c r="A137" s="163">
        <f t="shared" si="22"/>
        <v>7</v>
      </c>
      <c r="B137" s="163" t="str">
        <f t="shared" si="23"/>
        <v>Loading...</v>
      </c>
      <c r="C137" s="163"/>
      <c r="D137" s="163" t="str">
        <f>IFERROR(__xludf.DUMMYFUNCTION("""COMPUTED_VALUE"""),"Stimeling")</f>
        <v>Stimeling</v>
      </c>
      <c r="E137" s="163" t="str">
        <f>IFERROR(__xludf.DUMMYFUNCTION("""COMPUTED_VALUE"""),"Jason")</f>
        <v>Jason</v>
      </c>
      <c r="F137" s="163" t="str">
        <f>IFERROR(__xludf.DUMMYFUNCTION("""COMPUTED_VALUE"""),"4 - Sun")</f>
        <v>4 - Sun</v>
      </c>
      <c r="G137" s="163"/>
      <c r="H137" s="163"/>
      <c r="I137" s="163"/>
      <c r="J137" s="163" t="str">
        <f>IFERROR(__xludf.DUMMYFUNCTION("""COMPUTED_VALUE"""),"M")</f>
        <v>M</v>
      </c>
      <c r="K137" s="163" t="str">
        <f>IFERROR(__xludf.DUMMYFUNCTION("""COMPUTED_VALUE"""),"E")</f>
        <v>E</v>
      </c>
      <c r="L137" s="163">
        <f>IFERROR(__xludf.DUMMYFUNCTION("""COMPUTED_VALUE"""),110.0)</f>
        <v>110</v>
      </c>
      <c r="M137" s="163">
        <f>IFERROR(__xludf.DUMMYFUNCTION("""COMPUTED_VALUE"""),705.0)</f>
        <v>705</v>
      </c>
      <c r="N137" s="163"/>
      <c r="O137" s="164">
        <f t="array" ref="O137">INDEX('Best Lifts'!E$1:E$268,MATCH(1,($D137='Best Lifts'!$A:$A)*($E137='Best Lifts'!$B:$B),0))</f>
        <v>215</v>
      </c>
      <c r="P137" s="164">
        <f t="array" ref="P137">INDEX('Best Lifts'!F$1:F$268,MATCH(1,($D137='Best Lifts'!$A:$A)*($E137='Best Lifts'!$B:$B),0))</f>
        <v>160</v>
      </c>
      <c r="Q137" s="164">
        <f t="array" ref="Q137">INDEX('Best Lifts'!G$1:G$268,MATCH(1,($D137='Best Lifts'!$A:$A)*($E137='Best Lifts'!$B:$B),0))</f>
        <v>235</v>
      </c>
      <c r="R137" s="164">
        <f t="array" ref="R137">INDEX('Best Lifts'!H$1:H$268,MATCH(1,($D137='Best Lifts'!$A:$A)*($E137='Best Lifts'!$B:$B),0))</f>
        <v>610</v>
      </c>
      <c r="S137" s="164">
        <f t="array" ref="S137">INDEX('Best Lifts'!I$1:I175,MATCH(1,($D137='Best Lifts'!$A:$A)*($E137='Best Lifts'!$B:$B),0))</f>
        <v>280</v>
      </c>
      <c r="T137" s="164">
        <f t="array" ref="T137">INDEX('Best Lifts'!J$1:J$268,MATCH(1,($D137='Best Lifts'!$A:$A)*($E137='Best Lifts'!$B:$B),0))</f>
        <v>185</v>
      </c>
      <c r="U137" s="164">
        <f t="array" ref="U137">INDEX('Best Lifts'!K$1:K$268,MATCH(1,($D137='Best Lifts'!$A:$A)*($E137='Best Lifts'!$B:$B),0))</f>
        <v>240</v>
      </c>
      <c r="V137" s="164">
        <f t="array" ref="V137">INDEX('Best Lifts'!L$1:L$268,MATCH(1,($D137='Best Lifts'!$A:$A)*($E137='Best Lifts'!$B:$B),0))</f>
        <v>705</v>
      </c>
      <c r="W137" s="164">
        <f t="shared" si="24"/>
        <v>705</v>
      </c>
      <c r="X137" s="164" t="str">
        <f t="array" ref="X137">INDEX('Best Lifts'!M$1:M$258,MATCH(1,($D137='Best Lifts'!$A:$A)*($E137='Best Lifts'!$B:$B),0))</f>
        <v/>
      </c>
    </row>
    <row r="138">
      <c r="A138" s="163">
        <f t="shared" si="22"/>
        <v>8</v>
      </c>
      <c r="B138" s="163" t="str">
        <f t="shared" si="23"/>
        <v>Loading...</v>
      </c>
      <c r="C138" s="163"/>
      <c r="D138" s="163" t="str">
        <f>IFERROR(__xludf.DUMMYFUNCTION("""COMPUTED_VALUE"""),"Nguyen")</f>
        <v>Nguyen</v>
      </c>
      <c r="E138" s="163" t="str">
        <f>IFERROR(__xludf.DUMMYFUNCTION("""COMPUTED_VALUE"""),"Nicholas")</f>
        <v>Nicholas</v>
      </c>
      <c r="F138" s="163" t="str">
        <f>IFERROR(__xludf.DUMMYFUNCTION("""COMPUTED_VALUE"""),"4 - Sun")</f>
        <v>4 - Sun</v>
      </c>
      <c r="G138" s="163"/>
      <c r="H138" s="163"/>
      <c r="I138" s="163"/>
      <c r="J138" s="163" t="str">
        <f>IFERROR(__xludf.DUMMYFUNCTION("""COMPUTED_VALUE"""),"M")</f>
        <v>M</v>
      </c>
      <c r="K138" s="163" t="str">
        <f>IFERROR(__xludf.DUMMYFUNCTION("""COMPUTED_VALUE"""),"E")</f>
        <v>E</v>
      </c>
      <c r="L138" s="163">
        <f>IFERROR(__xludf.DUMMYFUNCTION("""COMPUTED_VALUE"""),110.0)</f>
        <v>110</v>
      </c>
      <c r="M138" s="163">
        <f>IFERROR(__xludf.DUMMYFUNCTION("""COMPUTED_VALUE"""),682.5)</f>
        <v>682.5</v>
      </c>
      <c r="N138" s="163"/>
      <c r="O138" s="164">
        <f t="array" ref="O138">INDEX('Best Lifts'!E$1:E$268,MATCH(1,($D138='Best Lifts'!$A:$A)*($E138='Best Lifts'!$B:$B),0))</f>
        <v>212.5</v>
      </c>
      <c r="P138" s="164">
        <f t="array" ref="P138">INDEX('Best Lifts'!F$1:F$268,MATCH(1,($D138='Best Lifts'!$A:$A)*($E138='Best Lifts'!$B:$B),0))</f>
        <v>145</v>
      </c>
      <c r="Q138" s="164">
        <f t="array" ref="Q138">INDEX('Best Lifts'!G$1:G$268,MATCH(1,($D138='Best Lifts'!$A:$A)*($E138='Best Lifts'!$B:$B),0))</f>
        <v>250</v>
      </c>
      <c r="R138" s="164">
        <f t="array" ref="R138">INDEX('Best Lifts'!H$1:H$268,MATCH(1,($D138='Best Lifts'!$A:$A)*($E138='Best Lifts'!$B:$B),0))</f>
        <v>600</v>
      </c>
      <c r="S138" s="164">
        <f t="array" ref="S138">INDEX('Best Lifts'!I$1:I175,MATCH(1,($D138='Best Lifts'!$A:$A)*($E138='Best Lifts'!$B:$B),0))</f>
        <v>287.5</v>
      </c>
      <c r="T138" s="164">
        <f t="array" ref="T138">INDEX('Best Lifts'!J$1:J$268,MATCH(1,($D138='Best Lifts'!$A:$A)*($E138='Best Lifts'!$B:$B),0))</f>
        <v>160</v>
      </c>
      <c r="U138" s="164">
        <f t="array" ref="U138">INDEX('Best Lifts'!K$1:K$268,MATCH(1,($D138='Best Lifts'!$A:$A)*($E138='Best Lifts'!$B:$B),0))</f>
        <v>235</v>
      </c>
      <c r="V138" s="164">
        <f t="array" ref="V138">INDEX('Best Lifts'!L$1:L$268,MATCH(1,($D138='Best Lifts'!$A:$A)*($E138='Best Lifts'!$B:$B),0))</f>
        <v>682.5</v>
      </c>
      <c r="W138" s="164">
        <f t="shared" si="24"/>
        <v>682.5</v>
      </c>
      <c r="X138" s="164" t="str">
        <f t="array" ref="X138">INDEX('Best Lifts'!M$1:M$258,MATCH(1,($D138='Best Lifts'!$A:$A)*($E138='Best Lifts'!$B:$B),0))</f>
        <v/>
      </c>
    </row>
    <row r="139">
      <c r="A139" s="163">
        <f t="shared" si="22"/>
        <v>9</v>
      </c>
      <c r="B139" s="163" t="str">
        <f t="shared" si="23"/>
        <v>Loading...</v>
      </c>
      <c r="C139" s="163"/>
      <c r="D139" s="163" t="str">
        <f>IFERROR(__xludf.DUMMYFUNCTION("""COMPUTED_VALUE"""),"Lyman")</f>
        <v>Lyman</v>
      </c>
      <c r="E139" s="163" t="str">
        <f>IFERROR(__xludf.DUMMYFUNCTION("""COMPUTED_VALUE"""),"William")</f>
        <v>William</v>
      </c>
      <c r="F139" s="163" t="str">
        <f>IFERROR(__xludf.DUMMYFUNCTION("""COMPUTED_VALUE"""),"4 - Sun")</f>
        <v>4 - Sun</v>
      </c>
      <c r="G139" s="163"/>
      <c r="H139" s="163"/>
      <c r="I139" s="163"/>
      <c r="J139" s="163" t="str">
        <f>IFERROR(__xludf.DUMMYFUNCTION("""COMPUTED_VALUE"""),"M")</f>
        <v>M</v>
      </c>
      <c r="K139" s="163" t="str">
        <f>IFERROR(__xludf.DUMMYFUNCTION("""COMPUTED_VALUE"""),"E")</f>
        <v>E</v>
      </c>
      <c r="L139" s="163">
        <f>IFERROR(__xludf.DUMMYFUNCTION("""COMPUTED_VALUE"""),110.0)</f>
        <v>110</v>
      </c>
      <c r="M139" s="163">
        <f>IFERROR(__xludf.DUMMYFUNCTION("""COMPUTED_VALUE"""),657.5)</f>
        <v>657.5</v>
      </c>
      <c r="N139" s="163"/>
      <c r="O139" s="164">
        <f t="array" ref="O139">INDEX('Best Lifts'!E$1:E$268,MATCH(1,($D139='Best Lifts'!$A:$A)*($E139='Best Lifts'!$B:$B),0))</f>
        <v>235</v>
      </c>
      <c r="P139" s="164">
        <f t="array" ref="P139">INDEX('Best Lifts'!F$1:F$268,MATCH(1,($D139='Best Lifts'!$A:$A)*($E139='Best Lifts'!$B:$B),0))</f>
        <v>142.5</v>
      </c>
      <c r="Q139" s="164">
        <f t="array" ref="Q139">INDEX('Best Lifts'!G$1:G$268,MATCH(1,($D139='Best Lifts'!$A:$A)*($E139='Best Lifts'!$B:$B),0))</f>
        <v>245</v>
      </c>
      <c r="R139" s="164">
        <f t="array" ref="R139">INDEX('Best Lifts'!H$1:H$268,MATCH(1,($D139='Best Lifts'!$A:$A)*($E139='Best Lifts'!$B:$B),0))</f>
        <v>622.5</v>
      </c>
      <c r="S139" s="164">
        <f t="array" ref="S139">INDEX('Best Lifts'!I$1:I175,MATCH(1,($D139='Best Lifts'!$A:$A)*($E139='Best Lifts'!$B:$B),0))</f>
        <v>260</v>
      </c>
      <c r="T139" s="164">
        <f t="array" ref="T139">INDEX('Best Lifts'!J$1:J$268,MATCH(1,($D139='Best Lifts'!$A:$A)*($E139='Best Lifts'!$B:$B),0))</f>
        <v>172.5</v>
      </c>
      <c r="U139" s="164">
        <f t="array" ref="U139">INDEX('Best Lifts'!K$1:K$268,MATCH(1,($D139='Best Lifts'!$A:$A)*($E139='Best Lifts'!$B:$B),0))</f>
        <v>225</v>
      </c>
      <c r="V139" s="164">
        <f t="array" ref="V139">INDEX('Best Lifts'!L$1:L$268,MATCH(1,($D139='Best Lifts'!$A:$A)*($E139='Best Lifts'!$B:$B),0))</f>
        <v>657.5</v>
      </c>
      <c r="W139" s="164">
        <f t="shared" si="24"/>
        <v>657.5</v>
      </c>
      <c r="X139" s="164" t="str">
        <f t="array" ref="X139">INDEX('Best Lifts'!M$1:M$258,MATCH(1,($D139='Best Lifts'!$A:$A)*($E139='Best Lifts'!$B:$B),0))</f>
        <v/>
      </c>
    </row>
    <row r="140">
      <c r="A140" s="163">
        <f t="shared" si="22"/>
        <v>10</v>
      </c>
      <c r="B140" s="163" t="str">
        <f t="shared" si="23"/>
        <v>Loading...</v>
      </c>
      <c r="C140" s="163"/>
      <c r="D140" s="163" t="str">
        <f>IFERROR(__xludf.DUMMYFUNCTION("""COMPUTED_VALUE"""),"Domian")</f>
        <v>Domian</v>
      </c>
      <c r="E140" s="163" t="str">
        <f>IFERROR(__xludf.DUMMYFUNCTION("""COMPUTED_VALUE"""),"Daniel")</f>
        <v>Daniel</v>
      </c>
      <c r="F140" s="163" t="str">
        <f>IFERROR(__xludf.DUMMYFUNCTION("""COMPUTED_VALUE"""),"4 - Sun")</f>
        <v>4 - Sun</v>
      </c>
      <c r="G140" s="163"/>
      <c r="H140" s="163"/>
      <c r="I140" s="163"/>
      <c r="J140" s="163" t="str">
        <f>IFERROR(__xludf.DUMMYFUNCTION("""COMPUTED_VALUE"""),"M")</f>
        <v>M</v>
      </c>
      <c r="K140" s="163" t="str">
        <f>IFERROR(__xludf.DUMMYFUNCTION("""COMPUTED_VALUE"""),"E")</f>
        <v>E</v>
      </c>
      <c r="L140" s="163">
        <f>IFERROR(__xludf.DUMMYFUNCTION("""COMPUTED_VALUE"""),110.0)</f>
        <v>110</v>
      </c>
      <c r="M140" s="163">
        <f>IFERROR(__xludf.DUMMYFUNCTION("""COMPUTED_VALUE"""),650.0)</f>
        <v>650</v>
      </c>
      <c r="N140" s="163"/>
      <c r="O140" s="164">
        <f t="array" ref="O140">INDEX('Best Lifts'!E$1:E$268,MATCH(1,($D140='Best Lifts'!$A:$A)*($E140='Best Lifts'!$B:$B),0))</f>
        <v>240</v>
      </c>
      <c r="P140" s="164">
        <f t="array" ref="P140">INDEX('Best Lifts'!F$1:F$268,MATCH(1,($D140='Best Lifts'!$A:$A)*($E140='Best Lifts'!$B:$B),0))</f>
        <v>155</v>
      </c>
      <c r="Q140" s="164">
        <f t="array" ref="Q140">INDEX('Best Lifts'!G$1:G$268,MATCH(1,($D140='Best Lifts'!$A:$A)*($E140='Best Lifts'!$B:$B),0))</f>
        <v>255</v>
      </c>
      <c r="R140" s="164">
        <f t="array" ref="R140">INDEX('Best Lifts'!H$1:H$268,MATCH(1,($D140='Best Lifts'!$A:$A)*($E140='Best Lifts'!$B:$B),0))</f>
        <v>650</v>
      </c>
      <c r="S140" s="164">
        <f t="array" ref="S140">INDEX('Best Lifts'!I$1:I175,MATCH(1,($D140='Best Lifts'!$A:$A)*($E140='Best Lifts'!$B:$B),0))</f>
        <v>269.8</v>
      </c>
      <c r="T140" s="164">
        <f t="array" ref="T140">INDEX('Best Lifts'!J$1:J$268,MATCH(1,($D140='Best Lifts'!$A:$A)*($E140='Best Lifts'!$B:$B),0))</f>
        <v>174.6</v>
      </c>
      <c r="U140" s="164">
        <f t="array" ref="U140">INDEX('Best Lifts'!K$1:K$268,MATCH(1,($D140='Best Lifts'!$A:$A)*($E140='Best Lifts'!$B:$B),0))</f>
        <v>242.6</v>
      </c>
      <c r="V140" s="164">
        <f t="array" ref="V140">INDEX('Best Lifts'!L$1:L$268,MATCH(1,($D140='Best Lifts'!$A:$A)*($E140='Best Lifts'!$B:$B),0))</f>
        <v>684.9</v>
      </c>
      <c r="W140" s="164">
        <f t="shared" si="24"/>
        <v>687</v>
      </c>
      <c r="X140" s="164" t="str">
        <f t="array" ref="X140">INDEX('Best Lifts'!M$1:M$258,MATCH(1,($D140='Best Lifts'!$A:$A)*($E140='Best Lifts'!$B:$B),0))</f>
        <v/>
      </c>
    </row>
    <row r="141">
      <c r="A141" s="163">
        <f t="shared" si="22"/>
        <v>11</v>
      </c>
      <c r="B141" s="163" t="str">
        <f t="shared" si="23"/>
        <v>Loading...</v>
      </c>
      <c r="C141" s="163"/>
      <c r="D141" s="163" t="str">
        <f>IFERROR(__xludf.DUMMYFUNCTION("""COMPUTED_VALUE"""),"Caballero")</f>
        <v>Caballero</v>
      </c>
      <c r="E141" s="163" t="str">
        <f>IFERROR(__xludf.DUMMYFUNCTION("""COMPUTED_VALUE"""),"Ricardo")</f>
        <v>Ricardo</v>
      </c>
      <c r="F141" s="163" t="str">
        <f>IFERROR(__xludf.DUMMYFUNCTION("""COMPUTED_VALUE"""),"4 - Sun")</f>
        <v>4 - Sun</v>
      </c>
      <c r="G141" s="163"/>
      <c r="H141" s="163"/>
      <c r="I141" s="163"/>
      <c r="J141" s="163" t="str">
        <f>IFERROR(__xludf.DUMMYFUNCTION("""COMPUTED_VALUE"""),"M")</f>
        <v>M</v>
      </c>
      <c r="K141" s="163" t="str">
        <f>IFERROR(__xludf.DUMMYFUNCTION("""COMPUTED_VALUE"""),"E")</f>
        <v>E</v>
      </c>
      <c r="L141" s="163">
        <f>IFERROR(__xludf.DUMMYFUNCTION("""COMPUTED_VALUE"""),110.0)</f>
        <v>110</v>
      </c>
      <c r="M141" s="163">
        <f>IFERROR(__xludf.DUMMYFUNCTION("""COMPUTED_VALUE"""),632.5)</f>
        <v>632.5</v>
      </c>
      <c r="N141" s="163"/>
      <c r="O141" s="164">
        <f t="array" ref="O141">INDEX('Best Lifts'!E$1:E$268,MATCH(1,($D141='Best Lifts'!$A:$A)*($E141='Best Lifts'!$B:$B),0))</f>
        <v>220</v>
      </c>
      <c r="P141" s="164">
        <f t="array" ref="P141">INDEX('Best Lifts'!F$1:F$268,MATCH(1,($D141='Best Lifts'!$A:$A)*($E141='Best Lifts'!$B:$B),0))</f>
        <v>137.5</v>
      </c>
      <c r="Q141" s="164">
        <f t="array" ref="Q141">INDEX('Best Lifts'!G$1:G$268,MATCH(1,($D141='Best Lifts'!$A:$A)*($E141='Best Lifts'!$B:$B),0))</f>
        <v>230</v>
      </c>
      <c r="R141" s="164">
        <f t="array" ref="R141">INDEX('Best Lifts'!H$1:H$268,MATCH(1,($D141='Best Lifts'!$A:$A)*($E141='Best Lifts'!$B:$B),0))</f>
        <v>572.5</v>
      </c>
      <c r="S141" s="164">
        <f t="array" ref="S141">INDEX('Best Lifts'!I$1:I175,MATCH(1,($D141='Best Lifts'!$A:$A)*($E141='Best Lifts'!$B:$B),0))</f>
        <v>250</v>
      </c>
      <c r="T141" s="164">
        <f t="array" ref="T141">INDEX('Best Lifts'!J$1:J$268,MATCH(1,($D141='Best Lifts'!$A:$A)*($E141='Best Lifts'!$B:$B),0))</f>
        <v>167.5</v>
      </c>
      <c r="U141" s="164">
        <f t="array" ref="U141">INDEX('Best Lifts'!K$1:K$268,MATCH(1,($D141='Best Lifts'!$A:$A)*($E141='Best Lifts'!$B:$B),0))</f>
        <v>215</v>
      </c>
      <c r="V141" s="164">
        <f t="array" ref="V141">INDEX('Best Lifts'!L$1:L$268,MATCH(1,($D141='Best Lifts'!$A:$A)*($E141='Best Lifts'!$B:$B),0))</f>
        <v>632.5</v>
      </c>
      <c r="W141" s="164">
        <f t="shared" si="24"/>
        <v>632.5</v>
      </c>
      <c r="X141" s="164" t="str">
        <f t="array" ref="X141">INDEX('Best Lifts'!M$1:M$258,MATCH(1,($D141='Best Lifts'!$A:$A)*($E141='Best Lifts'!$B:$B),0))</f>
        <v/>
      </c>
    </row>
    <row r="142">
      <c r="A142" s="163">
        <f t="shared" si="22"/>
        <v>12</v>
      </c>
      <c r="B142" s="163" t="str">
        <f t="shared" si="23"/>
        <v>Loading...</v>
      </c>
      <c r="C142" s="163"/>
      <c r="D142" s="163" t="str">
        <f>IFERROR(__xludf.DUMMYFUNCTION("""COMPUTED_VALUE"""),"Diaz")</f>
        <v>Diaz</v>
      </c>
      <c r="E142" s="163" t="str">
        <f>IFERROR(__xludf.DUMMYFUNCTION("""COMPUTED_VALUE"""),"Ethan")</f>
        <v>Ethan</v>
      </c>
      <c r="F142" s="163" t="str">
        <f>IFERROR(__xludf.DUMMYFUNCTION("""COMPUTED_VALUE"""),"4 - Sun")</f>
        <v>4 - Sun</v>
      </c>
      <c r="G142" s="163"/>
      <c r="H142" s="163"/>
      <c r="I142" s="163"/>
      <c r="J142" s="163" t="str">
        <f>IFERROR(__xludf.DUMMYFUNCTION("""COMPUTED_VALUE"""),"M")</f>
        <v>M</v>
      </c>
      <c r="K142" s="163" t="str">
        <f>IFERROR(__xludf.DUMMYFUNCTION("""COMPUTED_VALUE"""),"E")</f>
        <v>E</v>
      </c>
      <c r="L142" s="163">
        <f>IFERROR(__xludf.DUMMYFUNCTION("""COMPUTED_VALUE"""),110.0)</f>
        <v>110</v>
      </c>
      <c r="M142" s="163">
        <f>IFERROR(__xludf.DUMMYFUNCTION("""COMPUTED_VALUE"""),572.5)</f>
        <v>572.5</v>
      </c>
      <c r="N142" s="163"/>
      <c r="O142" s="164" t="str">
        <f t="array" ref="O142">INDEX('Best Lifts'!E$1:E$268,MATCH(1,($D142='Best Lifts'!$A:$A)*($E142='Best Lifts'!$B:$B),0))</f>
        <v>#N/A</v>
      </c>
      <c r="P142" s="164" t="str">
        <f t="array" ref="P142">INDEX('Best Lifts'!F$1:F$268,MATCH(1,($D142='Best Lifts'!$A:$A)*($E142='Best Lifts'!$B:$B),0))</f>
        <v/>
      </c>
      <c r="Q142" s="164" t="str">
        <f t="array" ref="Q142">INDEX('Best Lifts'!G$1:G$268,MATCH(1,($D142='Best Lifts'!$A:$A)*($E142='Best Lifts'!$B:$B),0))</f>
        <v/>
      </c>
      <c r="R142" s="164" t="str">
        <f t="array" ref="R142">INDEX('Best Lifts'!H$1:H$268,MATCH(1,($D142='Best Lifts'!$A:$A)*($E142='Best Lifts'!$B:$B),0))</f>
        <v/>
      </c>
      <c r="S142" s="164">
        <f t="array" ref="S142">INDEX('Best Lifts'!I$1:I175,MATCH(1,($D142='Best Lifts'!$A:$A)*($E142='Best Lifts'!$B:$B),0))</f>
        <v>227.5</v>
      </c>
      <c r="T142" s="164">
        <f t="array" ref="T142">INDEX('Best Lifts'!J$1:J$268,MATCH(1,($D142='Best Lifts'!$A:$A)*($E142='Best Lifts'!$B:$B),0))</f>
        <v>117.5</v>
      </c>
      <c r="U142" s="164">
        <f t="array" ref="U142">INDEX('Best Lifts'!K$1:K$268,MATCH(1,($D142='Best Lifts'!$A:$A)*($E142='Best Lifts'!$B:$B),0))</f>
        <v>227.5</v>
      </c>
      <c r="V142" s="164">
        <f t="array" ref="V142">INDEX('Best Lifts'!L$1:L$268,MATCH(1,($D142='Best Lifts'!$A:$A)*($E142='Best Lifts'!$B:$B),0))</f>
        <v>572.5</v>
      </c>
      <c r="W142" s="164">
        <f t="shared" si="24"/>
        <v>572.5</v>
      </c>
      <c r="X142" s="164" t="str">
        <f t="array" ref="X142">INDEX('Best Lifts'!M$1:M$258,MATCH(1,($D142='Best Lifts'!$A:$A)*($E142='Best Lifts'!$B:$B),0))</f>
        <v/>
      </c>
    </row>
    <row r="143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4"/>
      <c r="P143" s="164"/>
      <c r="Q143" s="164"/>
      <c r="R143" s="164"/>
      <c r="S143" s="164"/>
      <c r="T143" s="164"/>
      <c r="U143" s="163"/>
      <c r="V143" s="163"/>
      <c r="W143" s="163"/>
      <c r="X143" s="66"/>
    </row>
    <row r="144">
      <c r="A144" s="154"/>
      <c r="B144" s="154"/>
      <c r="C144" s="154"/>
      <c r="D144" s="155">
        <v>125.0</v>
      </c>
      <c r="E144" s="156"/>
      <c r="F144" s="157"/>
      <c r="G144" s="157"/>
      <c r="H144" s="157"/>
      <c r="I144" s="157"/>
      <c r="J144" s="157"/>
      <c r="K144" s="157"/>
      <c r="L144" s="157"/>
      <c r="M144" s="157"/>
      <c r="N144" s="157"/>
      <c r="O144" s="164"/>
      <c r="P144" s="164"/>
      <c r="Q144" s="164"/>
      <c r="R144" s="164"/>
      <c r="S144" s="164"/>
      <c r="T144" s="164"/>
      <c r="U144" s="163"/>
      <c r="V144" s="159"/>
      <c r="W144" s="159"/>
      <c r="X144" s="158"/>
    </row>
    <row r="145">
      <c r="A145" s="161" t="s">
        <v>746</v>
      </c>
      <c r="B145" s="161" t="s">
        <v>747</v>
      </c>
      <c r="C145" s="161" t="s">
        <v>748</v>
      </c>
      <c r="D145" s="161" t="s">
        <v>253</v>
      </c>
      <c r="E145" s="161" t="s">
        <v>254</v>
      </c>
      <c r="F145" s="161" t="s">
        <v>31</v>
      </c>
      <c r="G145" s="161" t="s">
        <v>32</v>
      </c>
      <c r="H145" s="161" t="s">
        <v>33</v>
      </c>
      <c r="I145" s="161" t="s">
        <v>34</v>
      </c>
      <c r="J145" s="161" t="s">
        <v>749</v>
      </c>
      <c r="K145" s="161" t="s">
        <v>257</v>
      </c>
      <c r="L145" s="161" t="s">
        <v>750</v>
      </c>
      <c r="M145" s="161" t="s">
        <v>36</v>
      </c>
      <c r="N145" s="161" t="s">
        <v>261</v>
      </c>
      <c r="O145" s="161" t="s">
        <v>751</v>
      </c>
      <c r="P145" s="162" t="s">
        <v>752</v>
      </c>
      <c r="Q145" s="162" t="s">
        <v>753</v>
      </c>
      <c r="R145" s="162" t="s">
        <v>754</v>
      </c>
      <c r="S145" s="161" t="s">
        <v>755</v>
      </c>
      <c r="T145" s="162" t="s">
        <v>756</v>
      </c>
      <c r="U145" s="162" t="s">
        <v>757</v>
      </c>
      <c r="V145" s="162" t="s">
        <v>758</v>
      </c>
      <c r="W145" s="162" t="s">
        <v>759</v>
      </c>
      <c r="X145" s="209" t="s">
        <v>703</v>
      </c>
    </row>
    <row r="146">
      <c r="A146" s="163">
        <f t="shared" ref="A146:A155" si="25">RANK(M146,$M$146:$M$155)</f>
        <v>1</v>
      </c>
      <c r="B146" s="163">
        <f t="shared" ref="B146:B155" si="26">RANK(W146,$W$146:$W$155)</f>
        <v>1</v>
      </c>
      <c r="C146" s="163"/>
      <c r="D146" s="163" t="str">
        <f>IFERROR(__xludf.DUMMYFUNCTION("FILTER(Roster!A$2:A175,Roster!$H$2:$H175=""M"",Roster!$J$2:$J175=$D144)"),"Badeaux")</f>
        <v>Badeaux</v>
      </c>
      <c r="E146" s="163" t="str">
        <f>IFERROR(__xludf.DUMMYFUNCTION("FILTER(Roster!B$2:B175,Roster!$H$2:$H175=""M"",Roster!$J$2:$J175=$D144)"),"Jessie")</f>
        <v>Jessie</v>
      </c>
      <c r="F146" s="163" t="str">
        <f>IFERROR(__xludf.DUMMYFUNCTION("FILTER(Roster!D$2:D175,Roster!$H$2:$H175=""M"",Roster!$J$2:$J175=$D144)"),"4 - Sun")</f>
        <v>4 - Sun</v>
      </c>
      <c r="G146" s="163" t="str">
        <f>IFERROR(__xludf.DUMMYFUNCTION("FILTER(Roster!E$2:E175,Roster!$H$2:$H175=""M"",Roster!$J$2:$J175=$D144)"),"")</f>
        <v/>
      </c>
      <c r="H146" s="163" t="str">
        <f>IFERROR(__xludf.DUMMYFUNCTION("FILTER(Roster!F$2:F175,Roster!$H$2:$H175=""M"",Roster!$J$2:$J175=$D144)"),"")</f>
        <v/>
      </c>
      <c r="I146" s="163" t="str">
        <f>IFERROR(__xludf.DUMMYFUNCTION("FILTER(Roster!G$2:G175,Roster!$H$2:$H175=""M"",Roster!$J$2:$J175=$D144)"),"")</f>
        <v/>
      </c>
      <c r="J146" s="163" t="str">
        <f>IFERROR(__xludf.DUMMYFUNCTION("FILTER(Roster!H$2:H175,Roster!$H$2:$H175=""M"",Roster!$J$2:$J175=$D144)"),"M")</f>
        <v>M</v>
      </c>
      <c r="K146" s="163" t="str">
        <f>IFERROR(__xludf.DUMMYFUNCTION("FILTER(Roster!I$2:I175,Roster!$H$2:$H175=""M"",Roster!$J$2:$J175=$D144)"),"E")</f>
        <v>E</v>
      </c>
      <c r="L146" s="163">
        <f>IFERROR(__xludf.DUMMYFUNCTION("FILTER(Roster!J$2:J175,Roster!$H$2:$H175=""M"",Roster!$J$2:$J175=$D144)"),125.0)</f>
        <v>125</v>
      </c>
      <c r="M146" s="163">
        <f>IFERROR(__xludf.DUMMYFUNCTION("FILTER(Roster!M$2:M175,Roster!$H$2:$H175=""M"",Roster!$J$2:$J175=$D144)"),930.0)</f>
        <v>930</v>
      </c>
      <c r="N146" s="163" t="str">
        <f>IFERROR(__xludf.DUMMYFUNCTION("FILTER(Roster!N$2:N175,Roster!$H$2:$H175=""M"",Roster!$J$2:$J175=$D144)"),"")</f>
        <v/>
      </c>
      <c r="O146" s="164">
        <f t="array" ref="O146">INDEX('Best Lifts'!E$1:E$268,MATCH(1,($D146='Best Lifts'!$A:$A)*($E146='Best Lifts'!$B:$B),0))</f>
        <v>297.5</v>
      </c>
      <c r="P146" s="164">
        <f t="array" ref="P146">INDEX('Best Lifts'!F$1:F$268,MATCH(1,($D146='Best Lifts'!$A:$A)*($E146='Best Lifts'!$B:$B),0))</f>
        <v>182.5</v>
      </c>
      <c r="Q146" s="164">
        <f t="array" ref="Q146">INDEX('Best Lifts'!G$1:G$268,MATCH(1,($D146='Best Lifts'!$A:$A)*($E146='Best Lifts'!$B:$B),0))</f>
        <v>280</v>
      </c>
      <c r="R146" s="164">
        <f t="array" ref="R146">INDEX('Best Lifts'!H$1:H$268,MATCH(1,($D146='Best Lifts'!$A:$A)*($E146='Best Lifts'!$B:$B),0))</f>
        <v>760</v>
      </c>
      <c r="S146" s="164">
        <f t="array" ref="S146">INDEX('Best Lifts'!I$1:I175,MATCH(1,($D146='Best Lifts'!$A:$A)*($E146='Best Lifts'!$B:$B),0))</f>
        <v>367.5</v>
      </c>
      <c r="T146" s="164">
        <f t="array" ref="T146">INDEX('Best Lifts'!J$1:J$268,MATCH(1,($D146='Best Lifts'!$A:$A)*($E146='Best Lifts'!$B:$B),0))</f>
        <v>272.5</v>
      </c>
      <c r="U146" s="164">
        <f t="array" ref="U146">INDEX('Best Lifts'!K$1:K$268,MATCH(1,($D146='Best Lifts'!$A:$A)*($E146='Best Lifts'!$B:$B),0))</f>
        <v>290</v>
      </c>
      <c r="V146" s="164">
        <f t="array" ref="V146">INDEX('Best Lifts'!L$1:L$268,MATCH(1,($D146='Best Lifts'!$A:$A)*($E146='Best Lifts'!$B:$B),0))</f>
        <v>930</v>
      </c>
      <c r="W146" s="164">
        <f t="shared" ref="W146:W155" si="27">IF(ISNA(SUM(S146:U146)),0,SUM(S146:U146))</f>
        <v>930</v>
      </c>
      <c r="X146" s="164" t="str">
        <f t="array" ref="X146">INDEX('Best Lifts'!M$1:M$258,MATCH(1,($D146='Best Lifts'!$A:$A)*($E146='Best Lifts'!$B:$B),0))</f>
        <v/>
      </c>
    </row>
    <row r="147">
      <c r="A147" s="163">
        <f t="shared" si="25"/>
        <v>2</v>
      </c>
      <c r="B147" s="163">
        <f t="shared" si="26"/>
        <v>2</v>
      </c>
      <c r="C147" s="163"/>
      <c r="D147" s="163" t="str">
        <f>IFERROR(__xludf.DUMMYFUNCTION("""COMPUTED_VALUE"""),"Ruff")</f>
        <v>Ruff</v>
      </c>
      <c r="E147" s="163" t="str">
        <f>IFERROR(__xludf.DUMMYFUNCTION("""COMPUTED_VALUE"""),"Seth")</f>
        <v>Seth</v>
      </c>
      <c r="F147" s="163" t="str">
        <f>IFERROR(__xludf.DUMMYFUNCTION("""COMPUTED_VALUE"""),"4 - Sun")</f>
        <v>4 - Sun</v>
      </c>
      <c r="G147" s="163"/>
      <c r="H147" s="163"/>
      <c r="I147" s="163"/>
      <c r="J147" s="163" t="str">
        <f>IFERROR(__xludf.DUMMYFUNCTION("""COMPUTED_VALUE"""),"M")</f>
        <v>M</v>
      </c>
      <c r="K147" s="163" t="str">
        <f>IFERROR(__xludf.DUMMYFUNCTION("""COMPUTED_VALUE"""),"E")</f>
        <v>E</v>
      </c>
      <c r="L147" s="163">
        <f>IFERROR(__xludf.DUMMYFUNCTION("""COMPUTED_VALUE"""),125.0)</f>
        <v>125</v>
      </c>
      <c r="M147" s="163">
        <f>IFERROR(__xludf.DUMMYFUNCTION("""COMPUTED_VALUE"""),925.0)</f>
        <v>925</v>
      </c>
      <c r="N147" s="163"/>
      <c r="O147" s="164">
        <f t="array" ref="O147">INDEX('Best Lifts'!E$1:E$268,MATCH(1,($D147='Best Lifts'!$A:$A)*($E147='Best Lifts'!$B:$B),0))</f>
        <v>337.5</v>
      </c>
      <c r="P147" s="164">
        <f t="array" ref="P147">INDEX('Best Lifts'!F$1:F$268,MATCH(1,($D147='Best Lifts'!$A:$A)*($E147='Best Lifts'!$B:$B),0))</f>
        <v>172.5</v>
      </c>
      <c r="Q147" s="164">
        <f t="array" ref="Q147">INDEX('Best Lifts'!G$1:G$268,MATCH(1,($D147='Best Lifts'!$A:$A)*($E147='Best Lifts'!$B:$B),0))</f>
        <v>327.5</v>
      </c>
      <c r="R147" s="164">
        <f t="array" ref="R147">INDEX('Best Lifts'!H$1:H$268,MATCH(1,($D147='Best Lifts'!$A:$A)*($E147='Best Lifts'!$B:$B),0))</f>
        <v>837.5</v>
      </c>
      <c r="S147" s="164">
        <f t="array" ref="S147">INDEX('Best Lifts'!I$1:I175,MATCH(1,($D147='Best Lifts'!$A:$A)*($E147='Best Lifts'!$B:$B),0))</f>
        <v>367.5</v>
      </c>
      <c r="T147" s="164">
        <f t="array" ref="T147">INDEX('Best Lifts'!J$1:J$268,MATCH(1,($D147='Best Lifts'!$A:$A)*($E147='Best Lifts'!$B:$B),0))</f>
        <v>232.5</v>
      </c>
      <c r="U147" s="164">
        <f t="array" ref="U147">INDEX('Best Lifts'!K$1:K$268,MATCH(1,($D147='Best Lifts'!$A:$A)*($E147='Best Lifts'!$B:$B),0))</f>
        <v>325</v>
      </c>
      <c r="V147" s="164">
        <f t="array" ref="V147">INDEX('Best Lifts'!L$1:L$268,MATCH(1,($D147='Best Lifts'!$A:$A)*($E147='Best Lifts'!$B:$B),0))</f>
        <v>925</v>
      </c>
      <c r="W147" s="164">
        <f t="shared" si="27"/>
        <v>925</v>
      </c>
      <c r="X147" s="164" t="str">
        <f t="array" ref="X147">INDEX('Best Lifts'!M$1:M$258,MATCH(1,($D147='Best Lifts'!$A:$A)*($E147='Best Lifts'!$B:$B),0))</f>
        <v/>
      </c>
    </row>
    <row r="148">
      <c r="A148" s="163">
        <f t="shared" si="25"/>
        <v>3</v>
      </c>
      <c r="B148" s="163">
        <f t="shared" si="26"/>
        <v>3</v>
      </c>
      <c r="C148" s="163"/>
      <c r="D148" s="163" t="str">
        <f>IFERROR(__xludf.DUMMYFUNCTION("""COMPUTED_VALUE"""),"Huerta")</f>
        <v>Huerta</v>
      </c>
      <c r="E148" s="163" t="str">
        <f>IFERROR(__xludf.DUMMYFUNCTION("""COMPUTED_VALUE"""),"Vincent")</f>
        <v>Vincent</v>
      </c>
      <c r="F148" s="163" t="str">
        <f>IFERROR(__xludf.DUMMYFUNCTION("""COMPUTED_VALUE"""),"4 - Sun")</f>
        <v>4 - Sun</v>
      </c>
      <c r="G148" s="163"/>
      <c r="H148" s="163"/>
      <c r="I148" s="163"/>
      <c r="J148" s="163" t="str">
        <f>IFERROR(__xludf.DUMMYFUNCTION("""COMPUTED_VALUE"""),"M")</f>
        <v>M</v>
      </c>
      <c r="K148" s="163" t="str">
        <f>IFERROR(__xludf.DUMMYFUNCTION("""COMPUTED_VALUE"""),"E")</f>
        <v>E</v>
      </c>
      <c r="L148" s="163">
        <f>IFERROR(__xludf.DUMMYFUNCTION("""COMPUTED_VALUE"""),125.0)</f>
        <v>125</v>
      </c>
      <c r="M148" s="163">
        <f>IFERROR(__xludf.DUMMYFUNCTION("""COMPUTED_VALUE"""),915.0)</f>
        <v>915</v>
      </c>
      <c r="N148" s="163"/>
      <c r="O148" s="164" t="str">
        <f t="array" ref="O148">INDEX('Best Lifts'!E$1:E$268,MATCH(1,($D148='Best Lifts'!$A:$A)*($E148='Best Lifts'!$B:$B),0))</f>
        <v>#N/A</v>
      </c>
      <c r="P148" s="164" t="str">
        <f t="array" ref="P148">INDEX('Best Lifts'!F$1:F$268,MATCH(1,($D148='Best Lifts'!$A:$A)*($E148='Best Lifts'!$B:$B),0))</f>
        <v/>
      </c>
      <c r="Q148" s="164" t="str">
        <f t="array" ref="Q148">INDEX('Best Lifts'!G$1:G$268,MATCH(1,($D148='Best Lifts'!$A:$A)*($E148='Best Lifts'!$B:$B),0))</f>
        <v/>
      </c>
      <c r="R148" s="164" t="str">
        <f t="array" ref="R148">INDEX('Best Lifts'!H$1:H$268,MATCH(1,($D148='Best Lifts'!$A:$A)*($E148='Best Lifts'!$B:$B),0))</f>
        <v/>
      </c>
      <c r="S148" s="164">
        <f t="array" ref="S148">INDEX('Best Lifts'!I$1:I175,MATCH(1,($D148='Best Lifts'!$A:$A)*($E148='Best Lifts'!$B:$B),0))</f>
        <v>375</v>
      </c>
      <c r="T148" s="164">
        <f t="array" ref="T148">INDEX('Best Lifts'!J$1:J$268,MATCH(1,($D148='Best Lifts'!$A:$A)*($E148='Best Lifts'!$B:$B),0))</f>
        <v>237.5</v>
      </c>
      <c r="U148" s="164">
        <f t="array" ref="U148">INDEX('Best Lifts'!K$1:K$268,MATCH(1,($D148='Best Lifts'!$A:$A)*($E148='Best Lifts'!$B:$B),0))</f>
        <v>302.5</v>
      </c>
      <c r="V148" s="164">
        <f t="array" ref="V148">INDEX('Best Lifts'!L$1:L$268,MATCH(1,($D148='Best Lifts'!$A:$A)*($E148='Best Lifts'!$B:$B),0))</f>
        <v>915</v>
      </c>
      <c r="W148" s="164">
        <f t="shared" si="27"/>
        <v>915</v>
      </c>
      <c r="X148" s="164" t="str">
        <f t="array" ref="X148">INDEX('Best Lifts'!M$1:M$258,MATCH(1,($D148='Best Lifts'!$A:$A)*($E148='Best Lifts'!$B:$B),0))</f>
        <v/>
      </c>
    </row>
    <row r="149">
      <c r="A149" s="163">
        <f t="shared" si="25"/>
        <v>4</v>
      </c>
      <c r="B149" s="163">
        <f t="shared" si="26"/>
        <v>4</v>
      </c>
      <c r="C149" s="163"/>
      <c r="D149" s="163" t="str">
        <f>IFERROR(__xludf.DUMMYFUNCTION("""COMPUTED_VALUE"""),"Uhl")</f>
        <v>Uhl</v>
      </c>
      <c r="E149" s="163" t="str">
        <f>IFERROR(__xludf.DUMMYFUNCTION("""COMPUTED_VALUE"""),"Francisco")</f>
        <v>Francisco</v>
      </c>
      <c r="F149" s="163" t="str">
        <f>IFERROR(__xludf.DUMMYFUNCTION("""COMPUTED_VALUE"""),"4 - Sun")</f>
        <v>4 - Sun</v>
      </c>
      <c r="G149" s="163"/>
      <c r="H149" s="163"/>
      <c r="I149" s="163"/>
      <c r="J149" s="163" t="str">
        <f>IFERROR(__xludf.DUMMYFUNCTION("""COMPUTED_VALUE"""),"M")</f>
        <v>M</v>
      </c>
      <c r="K149" s="163" t="str">
        <f>IFERROR(__xludf.DUMMYFUNCTION("""COMPUTED_VALUE"""),"E")</f>
        <v>E</v>
      </c>
      <c r="L149" s="163">
        <f>IFERROR(__xludf.DUMMYFUNCTION("""COMPUTED_VALUE"""),125.0)</f>
        <v>125</v>
      </c>
      <c r="M149" s="163">
        <f>IFERROR(__xludf.DUMMYFUNCTION("""COMPUTED_VALUE"""),762.5)</f>
        <v>762.5</v>
      </c>
      <c r="N149" s="163"/>
      <c r="O149" s="164">
        <f t="array" ref="O149">INDEX('Best Lifts'!E$1:E$268,MATCH(1,($D149='Best Lifts'!$A:$A)*($E149='Best Lifts'!$B:$B),0))</f>
        <v>200</v>
      </c>
      <c r="P149" s="164">
        <f t="array" ref="P149">INDEX('Best Lifts'!F$1:F$268,MATCH(1,($D149='Best Lifts'!$A:$A)*($E149='Best Lifts'!$B:$B),0))</f>
        <v>150</v>
      </c>
      <c r="Q149" s="164">
        <f t="array" ref="Q149">INDEX('Best Lifts'!G$1:G$268,MATCH(1,($D149='Best Lifts'!$A:$A)*($E149='Best Lifts'!$B:$B),0))</f>
        <v>230</v>
      </c>
      <c r="R149" s="164">
        <f t="array" ref="R149">INDEX('Best Lifts'!H$1:H$268,MATCH(1,($D149='Best Lifts'!$A:$A)*($E149='Best Lifts'!$B:$B),0))</f>
        <v>580</v>
      </c>
      <c r="S149" s="164">
        <f t="array" ref="S149">INDEX('Best Lifts'!I$1:I175,MATCH(1,($D149='Best Lifts'!$A:$A)*($E149='Best Lifts'!$B:$B),0))</f>
        <v>277.5</v>
      </c>
      <c r="T149" s="164">
        <f t="array" ref="T149">INDEX('Best Lifts'!J$1:J$268,MATCH(1,($D149='Best Lifts'!$A:$A)*($E149='Best Lifts'!$B:$B),0))</f>
        <v>205</v>
      </c>
      <c r="U149" s="164">
        <f t="array" ref="U149">INDEX('Best Lifts'!K$1:K$268,MATCH(1,($D149='Best Lifts'!$A:$A)*($E149='Best Lifts'!$B:$B),0))</f>
        <v>302.5</v>
      </c>
      <c r="V149" s="164">
        <f t="array" ref="V149">INDEX('Best Lifts'!L$1:L$268,MATCH(1,($D149='Best Lifts'!$A:$A)*($E149='Best Lifts'!$B:$B),0))</f>
        <v>762.5</v>
      </c>
      <c r="W149" s="164">
        <f t="shared" si="27"/>
        <v>785</v>
      </c>
      <c r="X149" s="164" t="str">
        <f t="array" ref="X149">INDEX('Best Lifts'!M$1:M$258,MATCH(1,($D149='Best Lifts'!$A:$A)*($E149='Best Lifts'!$B:$B),0))</f>
        <v/>
      </c>
    </row>
    <row r="150">
      <c r="A150" s="163">
        <f t="shared" si="25"/>
        <v>5</v>
      </c>
      <c r="B150" s="163">
        <f t="shared" si="26"/>
        <v>6</v>
      </c>
      <c r="C150" s="163"/>
      <c r="D150" s="163" t="str">
        <f>IFERROR(__xludf.DUMMYFUNCTION("""COMPUTED_VALUE"""),"Gibson-Todd")</f>
        <v>Gibson-Todd</v>
      </c>
      <c r="E150" s="163" t="str">
        <f>IFERROR(__xludf.DUMMYFUNCTION("""COMPUTED_VALUE"""),"Seth")</f>
        <v>Seth</v>
      </c>
      <c r="F150" s="163" t="str">
        <f>IFERROR(__xludf.DUMMYFUNCTION("""COMPUTED_VALUE"""),"4 - Sun")</f>
        <v>4 - Sun</v>
      </c>
      <c r="G150" s="163"/>
      <c r="H150" s="163"/>
      <c r="I150" s="163"/>
      <c r="J150" s="163" t="str">
        <f>IFERROR(__xludf.DUMMYFUNCTION("""COMPUTED_VALUE"""),"M")</f>
        <v>M</v>
      </c>
      <c r="K150" s="163" t="str">
        <f>IFERROR(__xludf.DUMMYFUNCTION("""COMPUTED_VALUE"""),"E")</f>
        <v>E</v>
      </c>
      <c r="L150" s="163">
        <f>IFERROR(__xludf.DUMMYFUNCTION("""COMPUTED_VALUE"""),125.0)</f>
        <v>125</v>
      </c>
      <c r="M150" s="163">
        <f>IFERROR(__xludf.DUMMYFUNCTION("""COMPUTED_VALUE"""),722.5)</f>
        <v>722.5</v>
      </c>
      <c r="N150" s="163"/>
      <c r="O150" s="164" t="str">
        <f t="array" ref="O150">INDEX('Best Lifts'!E$1:E$268,MATCH(1,($D150='Best Lifts'!$A:$A)*($E150='Best Lifts'!$B:$B),0))</f>
        <v>#N/A</v>
      </c>
      <c r="P150" s="164" t="str">
        <f t="array" ref="P150">INDEX('Best Lifts'!F$1:F$268,MATCH(1,($D150='Best Lifts'!$A:$A)*($E150='Best Lifts'!$B:$B),0))</f>
        <v/>
      </c>
      <c r="Q150" s="164" t="str">
        <f t="array" ref="Q150">INDEX('Best Lifts'!G$1:G$268,MATCH(1,($D150='Best Lifts'!$A:$A)*($E150='Best Lifts'!$B:$B),0))</f>
        <v/>
      </c>
      <c r="R150" s="164" t="str">
        <f t="array" ref="R150">INDEX('Best Lifts'!H$1:H$268,MATCH(1,($D150='Best Lifts'!$A:$A)*($E150='Best Lifts'!$B:$B),0))</f>
        <v/>
      </c>
      <c r="S150" s="164">
        <f t="array" ref="S150">INDEX('Best Lifts'!I$1:I175,MATCH(1,($D150='Best Lifts'!$A:$A)*($E150='Best Lifts'!$B:$B),0))</f>
        <v>262.5</v>
      </c>
      <c r="T150" s="164">
        <f t="array" ref="T150">INDEX('Best Lifts'!J$1:J$268,MATCH(1,($D150='Best Lifts'!$A:$A)*($E150='Best Lifts'!$B:$B),0))</f>
        <v>175</v>
      </c>
      <c r="U150" s="164">
        <f t="array" ref="U150">INDEX('Best Lifts'!K$1:K$268,MATCH(1,($D150='Best Lifts'!$A:$A)*($E150='Best Lifts'!$B:$B),0))</f>
        <v>285</v>
      </c>
      <c r="V150" s="164">
        <f t="array" ref="V150">INDEX('Best Lifts'!L$1:L$268,MATCH(1,($D150='Best Lifts'!$A:$A)*($E150='Best Lifts'!$B:$B),0))</f>
        <v>722.5</v>
      </c>
      <c r="W150" s="164">
        <f t="shared" si="27"/>
        <v>722.5</v>
      </c>
      <c r="X150" s="164" t="str">
        <f t="array" ref="X150">INDEX('Best Lifts'!M$1:M$258,MATCH(1,($D150='Best Lifts'!$A:$A)*($E150='Best Lifts'!$B:$B),0))</f>
        <v/>
      </c>
    </row>
    <row r="151">
      <c r="A151" s="163">
        <f t="shared" si="25"/>
        <v>6</v>
      </c>
      <c r="B151" s="163">
        <f t="shared" si="26"/>
        <v>8</v>
      </c>
      <c r="C151" s="163"/>
      <c r="D151" s="163" t="str">
        <f>IFERROR(__xludf.DUMMYFUNCTION("""COMPUTED_VALUE"""),"Alpha")</f>
        <v>Alpha</v>
      </c>
      <c r="E151" s="163" t="str">
        <f>IFERROR(__xludf.DUMMYFUNCTION("""COMPUTED_VALUE"""),"Logan")</f>
        <v>Logan</v>
      </c>
      <c r="F151" s="163" t="str">
        <f>IFERROR(__xludf.DUMMYFUNCTION("""COMPUTED_VALUE"""),"4 - Sun")</f>
        <v>4 - Sun</v>
      </c>
      <c r="G151" s="163"/>
      <c r="H151" s="163"/>
      <c r="I151" s="163"/>
      <c r="J151" s="163" t="str">
        <f>IFERROR(__xludf.DUMMYFUNCTION("""COMPUTED_VALUE"""),"M")</f>
        <v>M</v>
      </c>
      <c r="K151" s="163" t="str">
        <f>IFERROR(__xludf.DUMMYFUNCTION("""COMPUTED_VALUE"""),"E")</f>
        <v>E</v>
      </c>
      <c r="L151" s="163">
        <f>IFERROR(__xludf.DUMMYFUNCTION("""COMPUTED_VALUE"""),125.0)</f>
        <v>125</v>
      </c>
      <c r="M151" s="163">
        <f>IFERROR(__xludf.DUMMYFUNCTION("""COMPUTED_VALUE"""),712.5)</f>
        <v>712.5</v>
      </c>
      <c r="N151" s="163"/>
      <c r="O151" s="164" t="str">
        <f t="array" ref="O151">INDEX('Best Lifts'!E$1:E$268,MATCH(1,($D151='Best Lifts'!$A:$A)*($E151='Best Lifts'!$B:$B),0))</f>
        <v>#N/A</v>
      </c>
      <c r="P151" s="164" t="str">
        <f t="array" ref="P151">INDEX('Best Lifts'!F$1:F$268,MATCH(1,($D151='Best Lifts'!$A:$A)*($E151='Best Lifts'!$B:$B),0))</f>
        <v/>
      </c>
      <c r="Q151" s="164" t="str">
        <f t="array" ref="Q151">INDEX('Best Lifts'!G$1:G$268,MATCH(1,($D151='Best Lifts'!$A:$A)*($E151='Best Lifts'!$B:$B),0))</f>
        <v/>
      </c>
      <c r="R151" s="164" t="str">
        <f t="array" ref="R151">INDEX('Best Lifts'!H$1:H$268,MATCH(1,($D151='Best Lifts'!$A:$A)*($E151='Best Lifts'!$B:$B),0))</f>
        <v/>
      </c>
      <c r="S151" s="164">
        <f t="array" ref="S151">INDEX('Best Lifts'!I$1:I175,MATCH(1,($D151='Best Lifts'!$A:$A)*($E151='Best Lifts'!$B:$B),0))</f>
        <v>287.5</v>
      </c>
      <c r="T151" s="164">
        <f t="array" ref="T151">INDEX('Best Lifts'!J$1:J$268,MATCH(1,($D151='Best Lifts'!$A:$A)*($E151='Best Lifts'!$B:$B),0))</f>
        <v>190</v>
      </c>
      <c r="U151" s="164">
        <f t="array" ref="U151">INDEX('Best Lifts'!K$1:K$268,MATCH(1,($D151='Best Lifts'!$A:$A)*($E151='Best Lifts'!$B:$B),0))</f>
        <v>235.8</v>
      </c>
      <c r="V151" s="164">
        <f t="array" ref="V151">INDEX('Best Lifts'!L$1:L$268,MATCH(1,($D151='Best Lifts'!$A:$A)*($E151='Best Lifts'!$B:$B),0))</f>
        <v>712.5</v>
      </c>
      <c r="W151" s="164">
        <f t="shared" si="27"/>
        <v>713.3</v>
      </c>
      <c r="X151" s="164" t="str">
        <f t="array" ref="X151">INDEX('Best Lifts'!M$1:M$258,MATCH(1,($D151='Best Lifts'!$A:$A)*($E151='Best Lifts'!$B:$B),0))</f>
        <v/>
      </c>
    </row>
    <row r="152">
      <c r="A152" s="163">
        <f t="shared" si="25"/>
        <v>7</v>
      </c>
      <c r="B152" s="163">
        <f t="shared" si="26"/>
        <v>7</v>
      </c>
      <c r="C152" s="163"/>
      <c r="D152" s="163" t="str">
        <f>IFERROR(__xludf.DUMMYFUNCTION("""COMPUTED_VALUE"""),"Pepin-Woods")</f>
        <v>Pepin-Woods</v>
      </c>
      <c r="E152" s="163" t="str">
        <f>IFERROR(__xludf.DUMMYFUNCTION("""COMPUTED_VALUE"""),"Charlie")</f>
        <v>Charlie</v>
      </c>
      <c r="F152" s="163" t="str">
        <f>IFERROR(__xludf.DUMMYFUNCTION("""COMPUTED_VALUE"""),"4 - Sun")</f>
        <v>4 - Sun</v>
      </c>
      <c r="G152" s="163"/>
      <c r="H152" s="163"/>
      <c r="I152" s="163"/>
      <c r="J152" s="163" t="str">
        <f>IFERROR(__xludf.DUMMYFUNCTION("""COMPUTED_VALUE"""),"M")</f>
        <v>M</v>
      </c>
      <c r="K152" s="163" t="str">
        <f>IFERROR(__xludf.DUMMYFUNCTION("""COMPUTED_VALUE"""),"E")</f>
        <v>E</v>
      </c>
      <c r="L152" s="163">
        <f>IFERROR(__xludf.DUMMYFUNCTION("""COMPUTED_VALUE"""),125.0)</f>
        <v>125</v>
      </c>
      <c r="M152" s="163">
        <f>IFERROR(__xludf.DUMMYFUNCTION("""COMPUTED_VALUE"""),705.0)</f>
        <v>705</v>
      </c>
      <c r="N152" s="163"/>
      <c r="O152" s="164">
        <f t="array" ref="O152">INDEX('Best Lifts'!E$1:E$268,MATCH(1,($D152='Best Lifts'!$A:$A)*($E152='Best Lifts'!$B:$B),0))</f>
        <v>252.5</v>
      </c>
      <c r="P152" s="164">
        <f t="array" ref="P152">INDEX('Best Lifts'!F$1:F$268,MATCH(1,($D152='Best Lifts'!$A:$A)*($E152='Best Lifts'!$B:$B),0))</f>
        <v>152.5</v>
      </c>
      <c r="Q152" s="164">
        <f t="array" ref="Q152">INDEX('Best Lifts'!G$1:G$268,MATCH(1,($D152='Best Lifts'!$A:$A)*($E152='Best Lifts'!$B:$B),0))</f>
        <v>267.5</v>
      </c>
      <c r="R152" s="164">
        <f t="array" ref="R152">INDEX('Best Lifts'!H$1:H$268,MATCH(1,($D152='Best Lifts'!$A:$A)*($E152='Best Lifts'!$B:$B),0))</f>
        <v>672.5</v>
      </c>
      <c r="S152" s="164">
        <f t="array" ref="S152">INDEX('Best Lifts'!I$1:I175,MATCH(1,($D152='Best Lifts'!$A:$A)*($E152='Best Lifts'!$B:$B),0))</f>
        <v>272.5</v>
      </c>
      <c r="T152" s="164">
        <f t="array" ref="T152">INDEX('Best Lifts'!J$1:J$268,MATCH(1,($D152='Best Lifts'!$A:$A)*($E152='Best Lifts'!$B:$B),0))</f>
        <v>175</v>
      </c>
      <c r="U152" s="164">
        <f t="array" ref="U152">INDEX('Best Lifts'!K$1:K$268,MATCH(1,($D152='Best Lifts'!$A:$A)*($E152='Best Lifts'!$B:$B),0))</f>
        <v>272.5</v>
      </c>
      <c r="V152" s="164">
        <f t="array" ref="V152">INDEX('Best Lifts'!L$1:L$268,MATCH(1,($D152='Best Lifts'!$A:$A)*($E152='Best Lifts'!$B:$B),0))</f>
        <v>705</v>
      </c>
      <c r="W152" s="164">
        <f t="shared" si="27"/>
        <v>720</v>
      </c>
      <c r="X152" s="164" t="str">
        <f t="array" ref="X152">INDEX('Best Lifts'!M$1:M$258,MATCH(1,($D152='Best Lifts'!$A:$A)*($E152='Best Lifts'!$B:$B),0))</f>
        <v/>
      </c>
    </row>
    <row r="153">
      <c r="A153" s="163">
        <f t="shared" si="25"/>
        <v>8</v>
      </c>
      <c r="B153" s="163">
        <f t="shared" si="26"/>
        <v>9</v>
      </c>
      <c r="C153" s="163"/>
      <c r="D153" s="163" t="str">
        <f>IFERROR(__xludf.DUMMYFUNCTION("""COMPUTED_VALUE"""),"Perez")</f>
        <v>Perez</v>
      </c>
      <c r="E153" s="163" t="str">
        <f>IFERROR(__xludf.DUMMYFUNCTION("""COMPUTED_VALUE"""),"Jesse")</f>
        <v>Jesse</v>
      </c>
      <c r="F153" s="163" t="str">
        <f>IFERROR(__xludf.DUMMYFUNCTION("""COMPUTED_VALUE"""),"4 - Sun")</f>
        <v>4 - Sun</v>
      </c>
      <c r="G153" s="163"/>
      <c r="H153" s="163"/>
      <c r="I153" s="163"/>
      <c r="J153" s="163" t="str">
        <f>IFERROR(__xludf.DUMMYFUNCTION("""COMPUTED_VALUE"""),"M")</f>
        <v>M</v>
      </c>
      <c r="K153" s="163" t="str">
        <f>IFERROR(__xludf.DUMMYFUNCTION("""COMPUTED_VALUE"""),"E")</f>
        <v>E</v>
      </c>
      <c r="L153" s="163">
        <f>IFERROR(__xludf.DUMMYFUNCTION("""COMPUTED_VALUE"""),125.0)</f>
        <v>125</v>
      </c>
      <c r="M153" s="163">
        <f>IFERROR(__xludf.DUMMYFUNCTION("""COMPUTED_VALUE"""),627.5)</f>
        <v>627.5</v>
      </c>
      <c r="N153" s="163"/>
      <c r="O153" s="164">
        <f t="array" ref="O153">INDEX('Best Lifts'!E$1:E$268,MATCH(1,($D153='Best Lifts'!$A:$A)*($E153='Best Lifts'!$B:$B),0))</f>
        <v>240</v>
      </c>
      <c r="P153" s="164">
        <f t="array" ref="P153">INDEX('Best Lifts'!F$1:F$268,MATCH(1,($D153='Best Lifts'!$A:$A)*($E153='Best Lifts'!$B:$B),0))</f>
        <v>167.5</v>
      </c>
      <c r="Q153" s="164">
        <f t="array" ref="Q153">INDEX('Best Lifts'!G$1:G$268,MATCH(1,($D153='Best Lifts'!$A:$A)*($E153='Best Lifts'!$B:$B),0))</f>
        <v>280</v>
      </c>
      <c r="R153" s="164">
        <f t="array" ref="R153">INDEX('Best Lifts'!H$1:H$268,MATCH(1,($D153='Best Lifts'!$A:$A)*($E153='Best Lifts'!$B:$B),0))</f>
        <v>670</v>
      </c>
      <c r="S153" s="164">
        <f t="array" ref="S153">INDEX('Best Lifts'!I$1:I175,MATCH(1,($D153='Best Lifts'!$A:$A)*($E153='Best Lifts'!$B:$B),0))</f>
        <v>258.5</v>
      </c>
      <c r="T153" s="164">
        <f t="array" ref="T153">INDEX('Best Lifts'!J$1:J$268,MATCH(1,($D153='Best Lifts'!$A:$A)*($E153='Best Lifts'!$B:$B),0))</f>
        <v>165.5</v>
      </c>
      <c r="U153" s="164">
        <f t="array" ref="U153">INDEX('Best Lifts'!K$1:K$268,MATCH(1,($D153='Best Lifts'!$A:$A)*($E153='Best Lifts'!$B:$B),0))</f>
        <v>215.4</v>
      </c>
      <c r="V153" s="164">
        <f t="array" ref="V153">INDEX('Best Lifts'!L$1:L$268,MATCH(1,($D153='Best Lifts'!$A:$A)*($E153='Best Lifts'!$B:$B),0))</f>
        <v>632.7</v>
      </c>
      <c r="W153" s="164">
        <f t="shared" si="27"/>
        <v>639.4</v>
      </c>
      <c r="X153" s="164" t="str">
        <f t="array" ref="X153">INDEX('Best Lifts'!M$1:M$258,MATCH(1,($D153='Best Lifts'!$A:$A)*($E153='Best Lifts'!$B:$B),0))</f>
        <v/>
      </c>
    </row>
    <row r="154">
      <c r="A154" s="163">
        <f t="shared" si="25"/>
        <v>9</v>
      </c>
      <c r="B154" s="163">
        <f t="shared" si="26"/>
        <v>5</v>
      </c>
      <c r="C154" s="163"/>
      <c r="D154" s="163" t="str">
        <f>IFERROR(__xludf.DUMMYFUNCTION("""COMPUTED_VALUE"""),"Gallegos III")</f>
        <v>Gallegos III</v>
      </c>
      <c r="E154" s="163" t="str">
        <f>IFERROR(__xludf.DUMMYFUNCTION("""COMPUTED_VALUE"""),"Arturo")</f>
        <v>Arturo</v>
      </c>
      <c r="F154" s="163" t="str">
        <f>IFERROR(__xludf.DUMMYFUNCTION("""COMPUTED_VALUE"""),"4 - Sun")</f>
        <v>4 - Sun</v>
      </c>
      <c r="G154" s="163"/>
      <c r="H154" s="163"/>
      <c r="I154" s="163"/>
      <c r="J154" s="163" t="str">
        <f>IFERROR(__xludf.DUMMYFUNCTION("""COMPUTED_VALUE"""),"M")</f>
        <v>M</v>
      </c>
      <c r="K154" s="163" t="str">
        <f>IFERROR(__xludf.DUMMYFUNCTION("""COMPUTED_VALUE"""),"E")</f>
        <v>E</v>
      </c>
      <c r="L154" s="163">
        <f>IFERROR(__xludf.DUMMYFUNCTION("""COMPUTED_VALUE"""),125.0)</f>
        <v>125</v>
      </c>
      <c r="M154" s="163">
        <f>IFERROR(__xludf.DUMMYFUNCTION("""COMPUTED_VALUE"""),625.0)</f>
        <v>625</v>
      </c>
      <c r="N154" s="163"/>
      <c r="O154" s="164">
        <f t="array" ref="O154">INDEX('Best Lifts'!E$1:E$268,MATCH(1,($D154='Best Lifts'!$A:$A)*($E154='Best Lifts'!$B:$B),0))</f>
        <v>235</v>
      </c>
      <c r="P154" s="164">
        <f t="array" ref="P154">INDEX('Best Lifts'!F$1:F$268,MATCH(1,($D154='Best Lifts'!$A:$A)*($E154='Best Lifts'!$B:$B),0))</f>
        <v>130</v>
      </c>
      <c r="Q154" s="164">
        <f t="array" ref="Q154">INDEX('Best Lifts'!G$1:G$268,MATCH(1,($D154='Best Lifts'!$A:$A)*($E154='Best Lifts'!$B:$B),0))</f>
        <v>260</v>
      </c>
      <c r="R154" s="164">
        <f t="array" ref="R154">INDEX('Best Lifts'!H$1:H$268,MATCH(1,($D154='Best Lifts'!$A:$A)*($E154='Best Lifts'!$B:$B),0))</f>
        <v>625</v>
      </c>
      <c r="S154" s="164">
        <f t="array" ref="S154">INDEX('Best Lifts'!I$1:I175,MATCH(1,($D154='Best Lifts'!$A:$A)*($E154='Best Lifts'!$B:$B),0))</f>
        <v>317.5</v>
      </c>
      <c r="T154" s="164">
        <f t="array" ref="T154">INDEX('Best Lifts'!J$1:J$268,MATCH(1,($D154='Best Lifts'!$A:$A)*($E154='Best Lifts'!$B:$B),0))</f>
        <v>154.2</v>
      </c>
      <c r="U154" s="164">
        <f t="array" ref="U154">INDEX('Best Lifts'!K$1:K$268,MATCH(1,($D154='Best Lifts'!$A:$A)*($E154='Best Lifts'!$B:$B),0))</f>
        <v>263</v>
      </c>
      <c r="V154" s="164">
        <f t="array" ref="V154">INDEX('Best Lifts'!L$1:L$268,MATCH(1,($D154='Best Lifts'!$A:$A)*($E154='Best Lifts'!$B:$B),0))</f>
        <v>734.8</v>
      </c>
      <c r="W154" s="164">
        <f t="shared" si="27"/>
        <v>734.7</v>
      </c>
      <c r="X154" s="164" t="str">
        <f t="array" ref="X154">INDEX('Best Lifts'!M$1:M$258,MATCH(1,($D154='Best Lifts'!$A:$A)*($E154='Best Lifts'!$B:$B),0))</f>
        <v/>
      </c>
    </row>
    <row r="155">
      <c r="A155" s="163">
        <f t="shared" si="25"/>
        <v>10</v>
      </c>
      <c r="B155" s="163">
        <f t="shared" si="26"/>
        <v>10</v>
      </c>
      <c r="C155" s="163"/>
      <c r="D155" s="163" t="str">
        <f>IFERROR(__xludf.DUMMYFUNCTION("""COMPUTED_VALUE"""),"Rayburn")</f>
        <v>Rayburn</v>
      </c>
      <c r="E155" s="163" t="str">
        <f>IFERROR(__xludf.DUMMYFUNCTION("""COMPUTED_VALUE"""),"Joshua")</f>
        <v>Joshua</v>
      </c>
      <c r="F155" s="163" t="str">
        <f>IFERROR(__xludf.DUMMYFUNCTION("""COMPUTED_VALUE"""),"4 - Sun")</f>
        <v>4 - Sun</v>
      </c>
      <c r="G155" s="163"/>
      <c r="H155" s="163"/>
      <c r="I155" s="163"/>
      <c r="J155" s="163" t="str">
        <f>IFERROR(__xludf.DUMMYFUNCTION("""COMPUTED_VALUE"""),"M")</f>
        <v>M</v>
      </c>
      <c r="K155" s="163" t="str">
        <f>IFERROR(__xludf.DUMMYFUNCTION("""COMPUTED_VALUE"""),"E")</f>
        <v>E</v>
      </c>
      <c r="L155" s="163">
        <f>IFERROR(__xludf.DUMMYFUNCTION("""COMPUTED_VALUE"""),125.0)</f>
        <v>125</v>
      </c>
      <c r="M155" s="163">
        <f>IFERROR(__xludf.DUMMYFUNCTION("""COMPUTED_VALUE"""),600.0)</f>
        <v>600</v>
      </c>
      <c r="N155" s="163"/>
      <c r="O155" s="164">
        <f t="array" ref="O155">INDEX('Best Lifts'!E$1:E$268,MATCH(1,($D155='Best Lifts'!$A:$A)*($E155='Best Lifts'!$B:$B),0))</f>
        <v>247.5</v>
      </c>
      <c r="P155" s="164">
        <f t="array" ref="P155">INDEX('Best Lifts'!F$1:F$268,MATCH(1,($D155='Best Lifts'!$A:$A)*($E155='Best Lifts'!$B:$B),0))</f>
        <v>132.5</v>
      </c>
      <c r="Q155" s="164">
        <f t="array" ref="Q155">INDEX('Best Lifts'!G$1:G$268,MATCH(1,($D155='Best Lifts'!$A:$A)*($E155='Best Lifts'!$B:$B),0))</f>
        <v>225</v>
      </c>
      <c r="R155" s="164">
        <f t="array" ref="R155">INDEX('Best Lifts'!H$1:H$268,MATCH(1,($D155='Best Lifts'!$A:$A)*($E155='Best Lifts'!$B:$B),0))</f>
        <v>600</v>
      </c>
      <c r="S155" s="164" t="str">
        <f t="array" ref="S155">INDEX('Best Lifts'!I$1:I175,MATCH(1,($D155='Best Lifts'!$A:$A)*($E155='Best Lifts'!$B:$B),0))</f>
        <v>#N/A</v>
      </c>
      <c r="T155" s="164" t="str">
        <f t="array" ref="T155">INDEX('Best Lifts'!J$1:J$268,MATCH(1,($D155='Best Lifts'!$A:$A)*($E155='Best Lifts'!$B:$B),0))</f>
        <v/>
      </c>
      <c r="U155" s="164" t="str">
        <f t="array" ref="U155">INDEX('Best Lifts'!K$1:K$268,MATCH(1,($D155='Best Lifts'!$A:$A)*($E155='Best Lifts'!$B:$B),0))</f>
        <v/>
      </c>
      <c r="V155" s="164" t="str">
        <f t="array" ref="V155">INDEX('Best Lifts'!L$1:L$268,MATCH(1,($D155='Best Lifts'!$A:$A)*($E155='Best Lifts'!$B:$B),0))</f>
        <v/>
      </c>
      <c r="W155" s="164">
        <f t="shared" si="27"/>
        <v>0</v>
      </c>
      <c r="X155" s="164" t="str">
        <f t="array" ref="X155">INDEX('Best Lifts'!M$1:M$258,MATCH(1,($D155='Best Lifts'!$A:$A)*($E155='Best Lifts'!$B:$B),0))</f>
        <v/>
      </c>
    </row>
    <row r="156">
      <c r="A156" s="154"/>
      <c r="B156" s="154"/>
      <c r="C156" s="154"/>
      <c r="D156" s="154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8"/>
      <c r="Q156" s="158"/>
      <c r="R156" s="159"/>
      <c r="S156" s="160"/>
      <c r="T156" s="158"/>
      <c r="U156" s="158"/>
      <c r="V156" s="159"/>
      <c r="W156" s="159"/>
      <c r="X156" s="158"/>
    </row>
    <row r="157">
      <c r="A157" s="154"/>
      <c r="B157" s="154"/>
      <c r="C157" s="154"/>
      <c r="D157" s="155">
        <v>140.0</v>
      </c>
      <c r="E157" s="156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8"/>
      <c r="Q157" s="158"/>
      <c r="R157" s="159"/>
      <c r="S157" s="160"/>
      <c r="T157" s="158"/>
      <c r="U157" s="158"/>
      <c r="V157" s="159"/>
      <c r="W157" s="159"/>
      <c r="X157" s="158"/>
    </row>
    <row r="158">
      <c r="A158" s="161" t="s">
        <v>746</v>
      </c>
      <c r="B158" s="161" t="s">
        <v>747</v>
      </c>
      <c r="C158" s="161" t="s">
        <v>748</v>
      </c>
      <c r="D158" s="161" t="s">
        <v>253</v>
      </c>
      <c r="E158" s="161" t="s">
        <v>254</v>
      </c>
      <c r="F158" s="161" t="s">
        <v>31</v>
      </c>
      <c r="G158" s="161" t="s">
        <v>32</v>
      </c>
      <c r="H158" s="161" t="s">
        <v>33</v>
      </c>
      <c r="I158" s="161" t="s">
        <v>34</v>
      </c>
      <c r="J158" s="161" t="s">
        <v>749</v>
      </c>
      <c r="K158" s="161" t="s">
        <v>257</v>
      </c>
      <c r="L158" s="161" t="s">
        <v>750</v>
      </c>
      <c r="M158" s="161" t="s">
        <v>36</v>
      </c>
      <c r="N158" s="161" t="s">
        <v>261</v>
      </c>
      <c r="O158" s="161" t="s">
        <v>751</v>
      </c>
      <c r="P158" s="162" t="s">
        <v>752</v>
      </c>
      <c r="Q158" s="162" t="s">
        <v>753</v>
      </c>
      <c r="R158" s="162" t="s">
        <v>754</v>
      </c>
      <c r="S158" s="161" t="s">
        <v>755</v>
      </c>
      <c r="T158" s="162" t="s">
        <v>756</v>
      </c>
      <c r="U158" s="162" t="s">
        <v>757</v>
      </c>
      <c r="V158" s="162" t="s">
        <v>758</v>
      </c>
      <c r="W158" s="162" t="s">
        <v>759</v>
      </c>
      <c r="X158" s="209" t="s">
        <v>703</v>
      </c>
    </row>
    <row r="159">
      <c r="A159" s="163">
        <f t="shared" ref="A159:A165" si="28">RANK(M159,$M$159:$M$166)</f>
        <v>1</v>
      </c>
      <c r="B159" s="163" t="str">
        <f t="shared" ref="B159:B165" si="29">RANK(W159,$W$159:$W$165)</f>
        <v>Loading...</v>
      </c>
      <c r="C159" s="163"/>
      <c r="D159" s="163" t="str">
        <f>IFERROR(__xludf.DUMMYFUNCTION("FILTER(Roster!A$2:A175,Roster!$H$2:$H175=""M"",Roster!$J$2:$J175=$D157)"),"Belgard")</f>
        <v>Belgard</v>
      </c>
      <c r="E159" s="163" t="str">
        <f>IFERROR(__xludf.DUMMYFUNCTION("FILTER(Roster!B$2:B175,Roster!$H$2:$H175=""M"",Roster!$J$2:$J175=$D157)"),"Corbyn")</f>
        <v>Corbyn</v>
      </c>
      <c r="F159" s="163" t="str">
        <f>IFERROR(__xludf.DUMMYFUNCTION("FILTER(Roster!D$2:D175,Roster!$H$2:$H175=""M"",Roster!$J$2:$J175=$D157)"),"4 - Sun")</f>
        <v>4 - Sun</v>
      </c>
      <c r="G159" s="163" t="str">
        <f>IFERROR(__xludf.DUMMYFUNCTION("FILTER(Roster!E$2:E175,Roster!$H$2:$H175=""M"",Roster!$J$2:$J175=$D157)"),"")</f>
        <v/>
      </c>
      <c r="H159" s="163" t="str">
        <f>IFERROR(__xludf.DUMMYFUNCTION("FILTER(Roster!F$2:F175,Roster!$H$2:$H175=""M"",Roster!$J$2:$J175=$D157)"),"")</f>
        <v/>
      </c>
      <c r="I159" s="163" t="str">
        <f>IFERROR(__xludf.DUMMYFUNCTION("FILTER(Roster!G$2:G175,Roster!$H$2:$H175=""M"",Roster!$J$2:$J175=$D157)"),"")</f>
        <v/>
      </c>
      <c r="J159" s="163" t="str">
        <f>IFERROR(__xludf.DUMMYFUNCTION("FILTER(Roster!H$2:H175,Roster!$H$2:$H175=""M"",Roster!$J$2:$J175=$D157)"),"M")</f>
        <v>M</v>
      </c>
      <c r="K159" s="163" t="str">
        <f>IFERROR(__xludf.DUMMYFUNCTION("FILTER(Roster!I$2:I175,Roster!$H$2:$H175=""M"",Roster!$J$2:$J175=$D157)"),"E")</f>
        <v>E</v>
      </c>
      <c r="L159" s="163">
        <f>IFERROR(__xludf.DUMMYFUNCTION("FILTER(Roster!J$2:J175,Roster!$H$2:$H175=""M"",Roster!$J$2:$J175=$D157)"),140.0)</f>
        <v>140</v>
      </c>
      <c r="M159" s="163">
        <f>IFERROR(__xludf.DUMMYFUNCTION("FILTER(Roster!M$2:M175,Roster!$H$2:$H175=""M"",Roster!$J$2:$J175=$D157)"),877.5)</f>
        <v>877.5</v>
      </c>
      <c r="N159" s="163" t="str">
        <f>IFERROR(__xludf.DUMMYFUNCTION("FILTER(Roster!N$2:N175,Roster!$H$2:$H175=""M"",Roster!$J$2:$J175=$D157)"),"")</f>
        <v/>
      </c>
      <c r="O159" s="164">
        <f t="array" ref="O159">INDEX('Best Lifts'!E$1:E$268,MATCH(1,($D159='Best Lifts'!$A:$A)*($E159='Best Lifts'!$B:$B),0))</f>
        <v>302.5</v>
      </c>
      <c r="P159" s="164">
        <f t="array" ref="P159">INDEX('Best Lifts'!F$1:F$268,MATCH(1,($D159='Best Lifts'!$A:$A)*($E159='Best Lifts'!$B:$B),0))</f>
        <v>192.5</v>
      </c>
      <c r="Q159" s="164">
        <f t="array" ref="Q159">INDEX('Best Lifts'!G$1:G$268,MATCH(1,($D159='Best Lifts'!$A:$A)*($E159='Best Lifts'!$B:$B),0))</f>
        <v>295</v>
      </c>
      <c r="R159" s="164">
        <f t="array" ref="R159">INDEX('Best Lifts'!H$1:H$268,MATCH(1,($D159='Best Lifts'!$A:$A)*($E159='Best Lifts'!$B:$B),0))</f>
        <v>782.5</v>
      </c>
      <c r="S159" s="164">
        <f t="array" ref="S159">INDEX('Best Lifts'!I$1:I175,MATCH(1,($D159='Best Lifts'!$A:$A)*($E159='Best Lifts'!$B:$B),0))</f>
        <v>342.5</v>
      </c>
      <c r="T159" s="164">
        <f t="array" ref="T159">INDEX('Best Lifts'!J$1:J$268,MATCH(1,($D159='Best Lifts'!$A:$A)*($E159='Best Lifts'!$B:$B),0))</f>
        <v>232.5</v>
      </c>
      <c r="U159" s="164">
        <f t="array" ref="U159">INDEX('Best Lifts'!K$1:K$268,MATCH(1,($D159='Best Lifts'!$A:$A)*($E159='Best Lifts'!$B:$B),0))</f>
        <v>302.5</v>
      </c>
      <c r="V159" s="164">
        <f t="array" ref="V159">INDEX('Best Lifts'!L$1:L$268,MATCH(1,($D159='Best Lifts'!$A:$A)*($E159='Best Lifts'!$B:$B),0))</f>
        <v>877.5</v>
      </c>
      <c r="W159" s="164">
        <f t="shared" ref="W159:W164" si="30">IF(ISNA(SUM(S159:U159)),0,SUM(S159:U159))</f>
        <v>877.5</v>
      </c>
      <c r="X159" s="66"/>
    </row>
    <row r="160">
      <c r="A160" s="163">
        <f t="shared" si="28"/>
        <v>2</v>
      </c>
      <c r="B160" s="163" t="str">
        <f t="shared" si="29"/>
        <v>Loading...</v>
      </c>
      <c r="C160" s="163"/>
      <c r="D160" s="163" t="str">
        <f>IFERROR(__xludf.DUMMYFUNCTION("""COMPUTED_VALUE"""),"Henke")</f>
        <v>Henke</v>
      </c>
      <c r="E160" s="163" t="str">
        <f>IFERROR(__xludf.DUMMYFUNCTION("""COMPUTED_VALUE"""),"Landon")</f>
        <v>Landon</v>
      </c>
      <c r="F160" s="163" t="str">
        <f>IFERROR(__xludf.DUMMYFUNCTION("""COMPUTED_VALUE"""),"4 - Sun")</f>
        <v>4 - Sun</v>
      </c>
      <c r="G160" s="163"/>
      <c r="H160" s="163"/>
      <c r="I160" s="163"/>
      <c r="J160" s="163" t="str">
        <f>IFERROR(__xludf.DUMMYFUNCTION("""COMPUTED_VALUE"""),"M")</f>
        <v>M</v>
      </c>
      <c r="K160" s="163" t="str">
        <f>IFERROR(__xludf.DUMMYFUNCTION("""COMPUTED_VALUE"""),"E")</f>
        <v>E</v>
      </c>
      <c r="L160" s="163">
        <f>IFERROR(__xludf.DUMMYFUNCTION("""COMPUTED_VALUE"""),140.0)</f>
        <v>140</v>
      </c>
      <c r="M160" s="163">
        <f>IFERROR(__xludf.DUMMYFUNCTION("""COMPUTED_VALUE"""),815.0)</f>
        <v>815</v>
      </c>
      <c r="N160" s="163"/>
      <c r="O160" s="164" t="str">
        <f t="array" ref="O160">INDEX('Best Lifts'!E$1:E$268,MATCH(1,($D160='Best Lifts'!$A:$A)*($E160='Best Lifts'!$B:$B),0))</f>
        <v>Loading...</v>
      </c>
      <c r="P160" s="164" t="str">
        <f t="array" ref="P160">INDEX('Best Lifts'!F$1:F$268,MATCH(1,($D160='Best Lifts'!$A:$A)*($E160='Best Lifts'!$B:$B),0))</f>
        <v/>
      </c>
      <c r="Q160" s="164" t="str">
        <f t="array" ref="Q160">INDEX('Best Lifts'!G$1:G$268,MATCH(1,($D160='Best Lifts'!$A:$A)*($E160='Best Lifts'!$B:$B),0))</f>
        <v/>
      </c>
      <c r="R160" s="164" t="str">
        <f t="array" ref="R160">INDEX('Best Lifts'!H$1:H$268,MATCH(1,($D160='Best Lifts'!$A:$A)*($E160='Best Lifts'!$B:$B),0))</f>
        <v/>
      </c>
      <c r="S160" s="164" t="str">
        <f t="array" ref="S160">INDEX('Best Lifts'!I$1:I175,MATCH(1,($D160='Best Lifts'!$A:$A)*($E160='Best Lifts'!$B:$B),0))</f>
        <v>Loading...</v>
      </c>
      <c r="T160" s="164" t="str">
        <f t="array" ref="T160">INDEX('Best Lifts'!J$1:J$268,MATCH(1,($D160='Best Lifts'!$A:$A)*($E160='Best Lifts'!$B:$B),0))</f>
        <v/>
      </c>
      <c r="U160" s="164" t="str">
        <f t="array" ref="U160">INDEX('Best Lifts'!K$1:K$268,MATCH(1,($D160='Best Lifts'!$A:$A)*($E160='Best Lifts'!$B:$B),0))</f>
        <v/>
      </c>
      <c r="V160" s="164" t="str">
        <f t="array" ref="V160">INDEX('Best Lifts'!L$1:L$268,MATCH(1,($D160='Best Lifts'!$A:$A)*($E160='Best Lifts'!$B:$B),0))</f>
        <v/>
      </c>
      <c r="W160" s="164" t="str">
        <f t="shared" si="30"/>
        <v>Loading...</v>
      </c>
      <c r="X160" s="66"/>
    </row>
    <row r="161">
      <c r="A161" s="163">
        <f t="shared" si="28"/>
        <v>3</v>
      </c>
      <c r="B161" s="163" t="str">
        <f t="shared" si="29"/>
        <v>Loading...</v>
      </c>
      <c r="C161" s="163"/>
      <c r="D161" s="163" t="str">
        <f>IFERROR(__xludf.DUMMYFUNCTION("""COMPUTED_VALUE"""),"Guevara")</f>
        <v>Guevara</v>
      </c>
      <c r="E161" s="163" t="str">
        <f>IFERROR(__xludf.DUMMYFUNCTION("""COMPUTED_VALUE"""),"Bartol")</f>
        <v>Bartol</v>
      </c>
      <c r="F161" s="163" t="str">
        <f>IFERROR(__xludf.DUMMYFUNCTION("""COMPUTED_VALUE"""),"4 - Sun")</f>
        <v>4 - Sun</v>
      </c>
      <c r="G161" s="163"/>
      <c r="H161" s="163"/>
      <c r="I161" s="163"/>
      <c r="J161" s="163" t="str">
        <f>IFERROR(__xludf.DUMMYFUNCTION("""COMPUTED_VALUE"""),"M")</f>
        <v>M</v>
      </c>
      <c r="K161" s="163" t="str">
        <f>IFERROR(__xludf.DUMMYFUNCTION("""COMPUTED_VALUE"""),"E")</f>
        <v>E</v>
      </c>
      <c r="L161" s="163">
        <f>IFERROR(__xludf.DUMMYFUNCTION("""COMPUTED_VALUE"""),140.0)</f>
        <v>140</v>
      </c>
      <c r="M161" s="163">
        <f>IFERROR(__xludf.DUMMYFUNCTION("""COMPUTED_VALUE"""),787.5)</f>
        <v>787.5</v>
      </c>
      <c r="N161" s="163"/>
      <c r="O161" s="164">
        <f t="array" ref="O161">INDEX('Best Lifts'!E$1:E$268,MATCH(1,($D161='Best Lifts'!$A:$A)*($E161='Best Lifts'!$B:$B),0))</f>
        <v>255</v>
      </c>
      <c r="P161" s="164">
        <f t="array" ref="P161">INDEX('Best Lifts'!F$1:F$268,MATCH(1,($D161='Best Lifts'!$A:$A)*($E161='Best Lifts'!$B:$B),0))</f>
        <v>170</v>
      </c>
      <c r="Q161" s="164">
        <f t="array" ref="Q161">INDEX('Best Lifts'!G$1:G$268,MATCH(1,($D161='Best Lifts'!$A:$A)*($E161='Best Lifts'!$B:$B),0))</f>
        <v>242.5</v>
      </c>
      <c r="R161" s="164">
        <f t="array" ref="R161">INDEX('Best Lifts'!H$1:H$268,MATCH(1,($D161='Best Lifts'!$A:$A)*($E161='Best Lifts'!$B:$B),0))</f>
        <v>667.5</v>
      </c>
      <c r="S161" s="164">
        <f t="array" ref="S161">INDEX('Best Lifts'!I$1:I175,MATCH(1,($D161='Best Lifts'!$A:$A)*($E161='Best Lifts'!$B:$B),0))</f>
        <v>345</v>
      </c>
      <c r="T161" s="164">
        <f t="array" ref="T161">INDEX('Best Lifts'!J$1:J$268,MATCH(1,($D161='Best Lifts'!$A:$A)*($E161='Best Lifts'!$B:$B),0))</f>
        <v>207.5</v>
      </c>
      <c r="U161" s="164">
        <f t="array" ref="U161">INDEX('Best Lifts'!K$1:K$268,MATCH(1,($D161='Best Lifts'!$A:$A)*($E161='Best Lifts'!$B:$B),0))</f>
        <v>235</v>
      </c>
      <c r="V161" s="164">
        <f t="array" ref="V161">INDEX('Best Lifts'!L$1:L$268,MATCH(1,($D161='Best Lifts'!$A:$A)*($E161='Best Lifts'!$B:$B),0))</f>
        <v>787.5</v>
      </c>
      <c r="W161" s="164">
        <f t="shared" si="30"/>
        <v>787.5</v>
      </c>
      <c r="X161" s="66"/>
    </row>
    <row r="162">
      <c r="A162" s="163">
        <f t="shared" si="28"/>
        <v>4</v>
      </c>
      <c r="B162" s="163" t="str">
        <f t="shared" si="29"/>
        <v>Loading...</v>
      </c>
      <c r="C162" s="163"/>
      <c r="D162" s="163" t="str">
        <f>IFERROR(__xludf.DUMMYFUNCTION("""COMPUTED_VALUE"""),"Reffner")</f>
        <v>Reffner</v>
      </c>
      <c r="E162" s="163" t="str">
        <f>IFERROR(__xludf.DUMMYFUNCTION("""COMPUTED_VALUE"""),"Michael")</f>
        <v>Michael</v>
      </c>
      <c r="F162" s="163" t="str">
        <f>IFERROR(__xludf.DUMMYFUNCTION("""COMPUTED_VALUE"""),"4 - Sun")</f>
        <v>4 - Sun</v>
      </c>
      <c r="G162" s="163"/>
      <c r="H162" s="163"/>
      <c r="I162" s="163"/>
      <c r="J162" s="163" t="str">
        <f>IFERROR(__xludf.DUMMYFUNCTION("""COMPUTED_VALUE"""),"M")</f>
        <v>M</v>
      </c>
      <c r="K162" s="163" t="str">
        <f>IFERROR(__xludf.DUMMYFUNCTION("""COMPUTED_VALUE"""),"E")</f>
        <v>E</v>
      </c>
      <c r="L162" s="163">
        <f>IFERROR(__xludf.DUMMYFUNCTION("""COMPUTED_VALUE"""),140.0)</f>
        <v>140</v>
      </c>
      <c r="M162" s="163">
        <f>IFERROR(__xludf.DUMMYFUNCTION("""COMPUTED_VALUE"""),735.0)</f>
        <v>735</v>
      </c>
      <c r="N162" s="163"/>
      <c r="O162" s="164">
        <f t="array" ref="O162">INDEX('Best Lifts'!E$1:E$268,MATCH(1,($D162='Best Lifts'!$A:$A)*($E162='Best Lifts'!$B:$B),0))</f>
        <v>272.5</v>
      </c>
      <c r="P162" s="164">
        <f t="array" ref="P162">INDEX('Best Lifts'!F$1:F$268,MATCH(1,($D162='Best Lifts'!$A:$A)*($E162='Best Lifts'!$B:$B),0))</f>
        <v>195</v>
      </c>
      <c r="Q162" s="164">
        <f t="array" ref="Q162">INDEX('Best Lifts'!G$1:G$268,MATCH(1,($D162='Best Lifts'!$A:$A)*($E162='Best Lifts'!$B:$B),0))</f>
        <v>275</v>
      </c>
      <c r="R162" s="164">
        <f t="array" ref="R162">INDEX('Best Lifts'!H$1:H$268,MATCH(1,($D162='Best Lifts'!$A:$A)*($E162='Best Lifts'!$B:$B),0))</f>
        <v>742.5</v>
      </c>
      <c r="S162" s="164">
        <f t="array" ref="S162">INDEX('Best Lifts'!I$1:I175,MATCH(1,($D162='Best Lifts'!$A:$A)*($E162='Best Lifts'!$B:$B),0))</f>
        <v>317.5</v>
      </c>
      <c r="T162" s="164">
        <f t="array" ref="T162">INDEX('Best Lifts'!J$1:J$268,MATCH(1,($D162='Best Lifts'!$A:$A)*($E162='Best Lifts'!$B:$B),0))</f>
        <v>187.5</v>
      </c>
      <c r="U162" s="164">
        <f t="array" ref="U162">INDEX('Best Lifts'!K$1:K$268,MATCH(1,($D162='Best Lifts'!$A:$A)*($E162='Best Lifts'!$B:$B),0))</f>
        <v>277.5</v>
      </c>
      <c r="V162" s="164">
        <f t="array" ref="V162">INDEX('Best Lifts'!L$1:L$268,MATCH(1,($D162='Best Lifts'!$A:$A)*($E162='Best Lifts'!$B:$B),0))</f>
        <v>782.5</v>
      </c>
      <c r="W162" s="164">
        <f t="shared" si="30"/>
        <v>782.5</v>
      </c>
      <c r="X162" s="66"/>
    </row>
    <row r="163">
      <c r="A163" s="163">
        <f t="shared" si="28"/>
        <v>5</v>
      </c>
      <c r="B163" s="163" t="str">
        <f t="shared" si="29"/>
        <v>Loading...</v>
      </c>
      <c r="C163" s="163"/>
      <c r="D163" s="163" t="str">
        <f>IFERROR(__xludf.DUMMYFUNCTION("""COMPUTED_VALUE"""),"Taylor")</f>
        <v>Taylor</v>
      </c>
      <c r="E163" s="163" t="str">
        <f>IFERROR(__xludf.DUMMYFUNCTION("""COMPUTED_VALUE"""),"Joshua")</f>
        <v>Joshua</v>
      </c>
      <c r="F163" s="163" t="str">
        <f>IFERROR(__xludf.DUMMYFUNCTION("""COMPUTED_VALUE"""),"4 - Sun")</f>
        <v>4 - Sun</v>
      </c>
      <c r="G163" s="163"/>
      <c r="H163" s="163"/>
      <c r="I163" s="163"/>
      <c r="J163" s="163" t="str">
        <f>IFERROR(__xludf.DUMMYFUNCTION("""COMPUTED_VALUE"""),"M")</f>
        <v>M</v>
      </c>
      <c r="K163" s="163" t="str">
        <f>IFERROR(__xludf.DUMMYFUNCTION("""COMPUTED_VALUE"""),"E")</f>
        <v>E</v>
      </c>
      <c r="L163" s="163">
        <f>IFERROR(__xludf.DUMMYFUNCTION("""COMPUTED_VALUE"""),140.0)</f>
        <v>140</v>
      </c>
      <c r="M163" s="163">
        <f>IFERROR(__xludf.DUMMYFUNCTION("""COMPUTED_VALUE"""),720.0)</f>
        <v>720</v>
      </c>
      <c r="N163" s="163"/>
      <c r="O163" s="164">
        <f t="array" ref="O163">INDEX('Best Lifts'!E$1:E$268,MATCH(1,($D163='Best Lifts'!$A:$A)*($E163='Best Lifts'!$B:$B),0))</f>
        <v>222.5</v>
      </c>
      <c r="P163" s="164">
        <f t="array" ref="P163">INDEX('Best Lifts'!F$1:F$268,MATCH(1,($D163='Best Lifts'!$A:$A)*($E163='Best Lifts'!$B:$B),0))</f>
        <v>165</v>
      </c>
      <c r="Q163" s="164">
        <f t="array" ref="Q163">INDEX('Best Lifts'!G$1:G$268,MATCH(1,($D163='Best Lifts'!$A:$A)*($E163='Best Lifts'!$B:$B),0))</f>
        <v>237.5</v>
      </c>
      <c r="R163" s="164">
        <f t="array" ref="R163">INDEX('Best Lifts'!H$1:H$268,MATCH(1,($D163='Best Lifts'!$A:$A)*($E163='Best Lifts'!$B:$B),0))</f>
        <v>597.5</v>
      </c>
      <c r="S163" s="164">
        <f t="array" ref="S163">INDEX('Best Lifts'!I$1:I175,MATCH(1,($D163='Best Lifts'!$A:$A)*($E163='Best Lifts'!$B:$B),0))</f>
        <v>300</v>
      </c>
      <c r="T163" s="164">
        <f t="array" ref="T163">INDEX('Best Lifts'!J$1:J$268,MATCH(1,($D163='Best Lifts'!$A:$A)*($E163='Best Lifts'!$B:$B),0))</f>
        <v>165</v>
      </c>
      <c r="U163" s="164">
        <f t="array" ref="U163">INDEX('Best Lifts'!K$1:K$268,MATCH(1,($D163='Best Lifts'!$A:$A)*($E163='Best Lifts'!$B:$B),0))</f>
        <v>260</v>
      </c>
      <c r="V163" s="164">
        <f t="array" ref="V163">INDEX('Best Lifts'!L$1:L$268,MATCH(1,($D163='Best Lifts'!$A:$A)*($E163='Best Lifts'!$B:$B),0))</f>
        <v>720</v>
      </c>
      <c r="W163" s="164">
        <f t="shared" si="30"/>
        <v>725</v>
      </c>
      <c r="X163" s="66"/>
    </row>
    <row r="164">
      <c r="A164" s="163">
        <f t="shared" si="28"/>
        <v>6</v>
      </c>
      <c r="B164" s="163" t="str">
        <f t="shared" si="29"/>
        <v>Loading...</v>
      </c>
      <c r="C164" s="163"/>
      <c r="D164" s="163" t="str">
        <f>IFERROR(__xludf.DUMMYFUNCTION("""COMPUTED_VALUE"""),"Bowman")</f>
        <v>Bowman</v>
      </c>
      <c r="E164" s="163" t="str">
        <f>IFERROR(__xludf.DUMMYFUNCTION("""COMPUTED_VALUE"""),"Nicholas")</f>
        <v>Nicholas</v>
      </c>
      <c r="F164" s="163" t="str">
        <f>IFERROR(__xludf.DUMMYFUNCTION("""COMPUTED_VALUE"""),"4 - Sun")</f>
        <v>4 - Sun</v>
      </c>
      <c r="G164" s="163"/>
      <c r="H164" s="163"/>
      <c r="I164" s="163"/>
      <c r="J164" s="163" t="str">
        <f>IFERROR(__xludf.DUMMYFUNCTION("""COMPUTED_VALUE"""),"M")</f>
        <v>M</v>
      </c>
      <c r="K164" s="163" t="str">
        <f>IFERROR(__xludf.DUMMYFUNCTION("""COMPUTED_VALUE"""),"E")</f>
        <v>E</v>
      </c>
      <c r="L164" s="163">
        <f>IFERROR(__xludf.DUMMYFUNCTION("""COMPUTED_VALUE"""),140.0)</f>
        <v>140</v>
      </c>
      <c r="M164" s="163">
        <f>IFERROR(__xludf.DUMMYFUNCTION("""COMPUTED_VALUE"""),700.0)</f>
        <v>700</v>
      </c>
      <c r="N164" s="163"/>
      <c r="O164" s="164">
        <f t="array" ref="O164">INDEX('Best Lifts'!E$1:E$268,MATCH(1,($D164='Best Lifts'!$A:$A)*($E164='Best Lifts'!$B:$B),0))</f>
        <v>192.8</v>
      </c>
      <c r="P164" s="164">
        <f t="array" ref="P164">INDEX('Best Lifts'!F$1:F$268,MATCH(1,($D164='Best Lifts'!$A:$A)*($E164='Best Lifts'!$B:$B),0))</f>
        <v>95</v>
      </c>
      <c r="Q164" s="164">
        <f t="array" ref="Q164">INDEX('Best Lifts'!G$1:G$268,MATCH(1,($D164='Best Lifts'!$A:$A)*($E164='Best Lifts'!$B:$B),0))</f>
        <v>205</v>
      </c>
      <c r="R164" s="164">
        <f t="array" ref="R164">INDEX('Best Lifts'!H$1:H$268,MATCH(1,($D164='Best Lifts'!$A:$A)*($E164='Best Lifts'!$B:$B),0))</f>
        <v>492.5</v>
      </c>
      <c r="S164" s="164">
        <f t="array" ref="S164">INDEX('Best Lifts'!I$1:I175,MATCH(1,($D164='Best Lifts'!$A:$A)*($E164='Best Lifts'!$B:$B),0))</f>
        <v>290</v>
      </c>
      <c r="T164" s="164">
        <f t="array" ref="T164">INDEX('Best Lifts'!J$1:J$268,MATCH(1,($D164='Best Lifts'!$A:$A)*($E164='Best Lifts'!$B:$B),0))</f>
        <v>185</v>
      </c>
      <c r="U164" s="164">
        <f t="array" ref="U164">INDEX('Best Lifts'!K$1:K$268,MATCH(1,($D164='Best Lifts'!$A:$A)*($E164='Best Lifts'!$B:$B),0))</f>
        <v>232.5</v>
      </c>
      <c r="V164" s="164">
        <f t="array" ref="V164">INDEX('Best Lifts'!L$1:L$268,MATCH(1,($D164='Best Lifts'!$A:$A)*($E164='Best Lifts'!$B:$B),0))</f>
        <v>700</v>
      </c>
      <c r="W164" s="164">
        <f t="shared" si="30"/>
        <v>707.5</v>
      </c>
      <c r="X164" s="66"/>
    </row>
    <row r="165">
      <c r="A165" s="163">
        <f t="shared" si="28"/>
        <v>7</v>
      </c>
      <c r="B165" s="163" t="str">
        <f t="shared" si="29"/>
        <v>Loading...</v>
      </c>
      <c r="C165" s="66"/>
      <c r="D165" s="66" t="str">
        <f>IFERROR(__xludf.DUMMYFUNCTION("""COMPUTED_VALUE"""),"Bijeaux")</f>
        <v>Bijeaux</v>
      </c>
      <c r="E165" s="66" t="str">
        <f>IFERROR(__xludf.DUMMYFUNCTION("""COMPUTED_VALUE"""),"Trey")</f>
        <v>Trey</v>
      </c>
      <c r="F165" s="66" t="str">
        <f>IFERROR(__xludf.DUMMYFUNCTION("""COMPUTED_VALUE"""),"4 - Sun")</f>
        <v>4 - Sun</v>
      </c>
      <c r="G165" s="66"/>
      <c r="H165" s="66"/>
      <c r="I165" s="66"/>
      <c r="J165" s="66" t="str">
        <f>IFERROR(__xludf.DUMMYFUNCTION("""COMPUTED_VALUE"""),"M")</f>
        <v>M</v>
      </c>
      <c r="K165" s="66" t="str">
        <f>IFERROR(__xludf.DUMMYFUNCTION("""COMPUTED_VALUE"""),"E")</f>
        <v>E</v>
      </c>
      <c r="L165" s="66">
        <f>IFERROR(__xludf.DUMMYFUNCTION("""COMPUTED_VALUE"""),140.0)</f>
        <v>140</v>
      </c>
      <c r="M165" s="66">
        <f>IFERROR(__xludf.DUMMYFUNCTION("""COMPUTED_VALUE"""),682.5)</f>
        <v>682.5</v>
      </c>
      <c r="N165" s="66"/>
      <c r="O165" s="163"/>
      <c r="P165" s="163"/>
      <c r="Q165" s="163"/>
      <c r="R165" s="163"/>
      <c r="S165" s="164">
        <f t="array" ref="S165">INDEX('Best Lifts'!I$1:I175,MATCH(1,($D165='Best Lifts'!$A:$A)*($E165='Best Lifts'!$B:$B),0))</f>
        <v>272.5</v>
      </c>
      <c r="T165" s="66"/>
      <c r="U165" s="66"/>
      <c r="V165" s="66"/>
      <c r="W165" s="66"/>
      <c r="X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163"/>
      <c r="P166" s="163"/>
      <c r="Q166" s="163"/>
      <c r="R166" s="163"/>
      <c r="S166" s="163"/>
      <c r="T166" s="66"/>
      <c r="U166" s="66"/>
      <c r="V166" s="66"/>
      <c r="W166" s="66"/>
      <c r="X166" s="66"/>
    </row>
    <row r="167">
      <c r="A167" s="154"/>
      <c r="B167" s="154"/>
      <c r="C167" s="154"/>
      <c r="D167" s="155" t="s">
        <v>276</v>
      </c>
      <c r="E167" s="156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8"/>
      <c r="Q167" s="158"/>
      <c r="R167" s="159"/>
      <c r="S167" s="160"/>
      <c r="T167" s="158"/>
      <c r="U167" s="158"/>
      <c r="V167" s="159"/>
      <c r="W167" s="159"/>
      <c r="X167" s="158"/>
    </row>
    <row r="168">
      <c r="A168" s="161" t="s">
        <v>746</v>
      </c>
      <c r="B168" s="161" t="s">
        <v>747</v>
      </c>
      <c r="C168" s="161" t="s">
        <v>748</v>
      </c>
      <c r="D168" s="161" t="s">
        <v>253</v>
      </c>
      <c r="E168" s="161" t="s">
        <v>254</v>
      </c>
      <c r="F168" s="161" t="s">
        <v>31</v>
      </c>
      <c r="G168" s="161" t="s">
        <v>32</v>
      </c>
      <c r="H168" s="161" t="s">
        <v>33</v>
      </c>
      <c r="I168" s="161" t="s">
        <v>34</v>
      </c>
      <c r="J168" s="161" t="s">
        <v>749</v>
      </c>
      <c r="K168" s="161" t="s">
        <v>257</v>
      </c>
      <c r="L168" s="161" t="s">
        <v>750</v>
      </c>
      <c r="M168" s="161" t="s">
        <v>36</v>
      </c>
      <c r="N168" s="161" t="s">
        <v>261</v>
      </c>
      <c r="O168" s="161" t="s">
        <v>751</v>
      </c>
      <c r="P168" s="162" t="s">
        <v>752</v>
      </c>
      <c r="Q168" s="162" t="s">
        <v>753</v>
      </c>
      <c r="R168" s="162" t="s">
        <v>754</v>
      </c>
      <c r="S168" s="161" t="s">
        <v>755</v>
      </c>
      <c r="T168" s="162" t="s">
        <v>756</v>
      </c>
      <c r="U168" s="162" t="s">
        <v>757</v>
      </c>
      <c r="V168" s="162" t="s">
        <v>758</v>
      </c>
      <c r="W168" s="162" t="s">
        <v>759</v>
      </c>
      <c r="X168" s="209" t="s">
        <v>703</v>
      </c>
    </row>
    <row r="169">
      <c r="A169" s="163">
        <f t="shared" ref="A169:A171" si="31">RANK(M169,$M$169:$M$171)</f>
        <v>1</v>
      </c>
      <c r="B169" s="163">
        <f t="shared" ref="B169:B171" si="32">RANK(W169,$W$169:$W$171)</f>
        <v>1</v>
      </c>
      <c r="C169" s="163"/>
      <c r="D169" s="163" t="str">
        <f>IFERROR(__xludf.DUMMYFUNCTION("FILTER(Roster!A$2:A175,Roster!$H$2:$H175=""M"",Roster!$J$2:$J175=$D167)"),"Bowring")</f>
        <v>Bowring</v>
      </c>
      <c r="E169" s="163" t="str">
        <f>IFERROR(__xludf.DUMMYFUNCTION("FILTER(Roster!B$2:B175,Roster!$H$2:$H175=""M"",Roster!$J$2:$J175=$D167)"),"Ray")</f>
        <v>Ray</v>
      </c>
      <c r="F169" s="163" t="str">
        <f>IFERROR(__xludf.DUMMYFUNCTION("FILTER(Roster!D$2:D175,Roster!$H$2:$H175=""M"",Roster!$J$2:$J175=$D167)"),"4 - Sun")</f>
        <v>4 - Sun</v>
      </c>
      <c r="G169" s="163" t="str">
        <f>IFERROR(__xludf.DUMMYFUNCTION("FILTER(Roster!E$2:E175,Roster!$H$2:$H175=""M"",Roster!$J$2:$J175=$D167)"),"")</f>
        <v/>
      </c>
      <c r="H169" s="163" t="str">
        <f>IFERROR(__xludf.DUMMYFUNCTION("FILTER(Roster!F$2:F175,Roster!$H$2:$H175=""M"",Roster!$J$2:$J175=$D167)"),"")</f>
        <v/>
      </c>
      <c r="I169" s="163" t="str">
        <f>IFERROR(__xludf.DUMMYFUNCTION("FILTER(Roster!G$2:G175,Roster!$H$2:$H175=""M"",Roster!$J$2:$J175=$D167)"),"")</f>
        <v/>
      </c>
      <c r="J169" s="163" t="str">
        <f>IFERROR(__xludf.DUMMYFUNCTION("FILTER(Roster!H$2:H175,Roster!$H$2:$H175=""M"",Roster!$J$2:$J175=$D167)"),"M")</f>
        <v>M</v>
      </c>
      <c r="K169" s="163" t="str">
        <f>IFERROR(__xludf.DUMMYFUNCTION("FILTER(Roster!I$2:I175,Roster!$H$2:$H175=""M"",Roster!$J$2:$J175=$D167)"),"E")</f>
        <v>E</v>
      </c>
      <c r="L169" s="163" t="str">
        <f>IFERROR(__xludf.DUMMYFUNCTION("FILTER(Roster!J$2:J175,Roster!$H$2:$H175=""M"",Roster!$J$2:$J175=$D167)"),"140+")</f>
        <v>140+</v>
      </c>
      <c r="M169" s="163">
        <f>IFERROR(__xludf.DUMMYFUNCTION("FILTER(Roster!M$2:M175,Roster!$H$2:$H175=""M"",Roster!$J$2:$J175=$D167)"),900.0)</f>
        <v>900</v>
      </c>
      <c r="N169" s="163" t="str">
        <f>IFERROR(__xludf.DUMMYFUNCTION("FILTER(Roster!N$2:N175,Roster!$H$2:$H175=""M"",Roster!$J$2:$J175=$D167)"),"")</f>
        <v/>
      </c>
      <c r="O169" s="164">
        <f t="array" ref="O169">INDEX('Best Lifts'!E$1:E$268,MATCH(1,($D169='Best Lifts'!$A:$A)*($E169='Best Lifts'!$B:$B),0))</f>
        <v>355</v>
      </c>
      <c r="P169" s="164">
        <f t="array" ref="P169">INDEX('Best Lifts'!F$1:F$268,MATCH(1,($D169='Best Lifts'!$A:$A)*($E169='Best Lifts'!$B:$B),0))</f>
        <v>207.5</v>
      </c>
      <c r="Q169" s="164">
        <f t="array" ref="Q169">INDEX('Best Lifts'!G$1:G$268,MATCH(1,($D169='Best Lifts'!$A:$A)*($E169='Best Lifts'!$B:$B),0))</f>
        <v>345</v>
      </c>
      <c r="R169" s="164">
        <f t="array" ref="R169">INDEX('Best Lifts'!H$1:H$268,MATCH(1,($D169='Best Lifts'!$A:$A)*($E169='Best Lifts'!$B:$B),0))</f>
        <v>897.5</v>
      </c>
      <c r="S169" s="164">
        <f t="array" ref="S169">INDEX('Best Lifts'!I$1:I175,MATCH(1,($D169='Best Lifts'!$A:$A)*($E169='Best Lifts'!$B:$B),0))</f>
        <v>435</v>
      </c>
      <c r="T169" s="164">
        <f t="array" ref="T169">INDEX('Best Lifts'!J$1:J$268,MATCH(1,($D169='Best Lifts'!$A:$A)*($E169='Best Lifts'!$B:$B),0))</f>
        <v>262.5</v>
      </c>
      <c r="U169" s="164">
        <f t="array" ref="U169">INDEX('Best Lifts'!K$1:K$268,MATCH(1,($D169='Best Lifts'!$A:$A)*($E169='Best Lifts'!$B:$B),0))</f>
        <v>335</v>
      </c>
      <c r="V169" s="164">
        <f t="array" ref="V169">INDEX('Best Lifts'!L$1:L$268,MATCH(1,($D169='Best Lifts'!$A:$A)*($E169='Best Lifts'!$B:$B),0))</f>
        <v>1030</v>
      </c>
      <c r="W169" s="164">
        <f t="shared" ref="W169:W171" si="33">IF(ISNA(SUM(S169:U169)),0,SUM(S169:U169))</f>
        <v>1032.5</v>
      </c>
      <c r="X169" s="66"/>
    </row>
    <row r="170">
      <c r="A170" s="163">
        <f t="shared" si="31"/>
        <v>2</v>
      </c>
      <c r="B170" s="163">
        <f t="shared" si="32"/>
        <v>2</v>
      </c>
      <c r="C170" s="163"/>
      <c r="D170" s="163" t="str">
        <f>IFERROR(__xludf.DUMMYFUNCTION("""COMPUTED_VALUE"""),"Jennings")</f>
        <v>Jennings</v>
      </c>
      <c r="E170" s="163" t="str">
        <f>IFERROR(__xludf.DUMMYFUNCTION("""COMPUTED_VALUE"""),"Camron")</f>
        <v>Camron</v>
      </c>
      <c r="F170" s="163" t="str">
        <f>IFERROR(__xludf.DUMMYFUNCTION("""COMPUTED_VALUE"""),"4 - Sun")</f>
        <v>4 - Sun</v>
      </c>
      <c r="G170" s="163"/>
      <c r="H170" s="163"/>
      <c r="I170" s="163"/>
      <c r="J170" s="163" t="str">
        <f>IFERROR(__xludf.DUMMYFUNCTION("""COMPUTED_VALUE"""),"M")</f>
        <v>M</v>
      </c>
      <c r="K170" s="163" t="str">
        <f>IFERROR(__xludf.DUMMYFUNCTION("""COMPUTED_VALUE"""),"E")</f>
        <v>E</v>
      </c>
      <c r="L170" s="163" t="str">
        <f>IFERROR(__xludf.DUMMYFUNCTION("""COMPUTED_VALUE"""),"140+")</f>
        <v>140+</v>
      </c>
      <c r="M170" s="163">
        <f>IFERROR(__xludf.DUMMYFUNCTION("""COMPUTED_VALUE"""),865.0)</f>
        <v>865</v>
      </c>
      <c r="N170" s="163"/>
      <c r="O170" s="164" t="str">
        <f t="array" ref="O170">INDEX('Best Lifts'!E$1:E$268,MATCH(1,($D170='Best Lifts'!$A:$A)*($E170='Best Lifts'!$B:$B),0))</f>
        <v>#N/A</v>
      </c>
      <c r="P170" s="164" t="str">
        <f t="array" ref="P170">INDEX('Best Lifts'!F$1:F$268,MATCH(1,($D170='Best Lifts'!$A:$A)*($E170='Best Lifts'!$B:$B),0))</f>
        <v/>
      </c>
      <c r="Q170" s="164" t="str">
        <f t="array" ref="Q170">INDEX('Best Lifts'!G$1:G$268,MATCH(1,($D170='Best Lifts'!$A:$A)*($E170='Best Lifts'!$B:$B),0))</f>
        <v/>
      </c>
      <c r="R170" s="164" t="str">
        <f t="array" ref="R170">INDEX('Best Lifts'!H$1:H$268,MATCH(1,($D170='Best Lifts'!$A:$A)*($E170='Best Lifts'!$B:$B),0))</f>
        <v/>
      </c>
      <c r="S170" s="164">
        <f t="array" ref="S170">INDEX('Best Lifts'!I$1:I175,MATCH(1,($D170='Best Lifts'!$A:$A)*($E170='Best Lifts'!$B:$B),0))</f>
        <v>375</v>
      </c>
      <c r="T170" s="164">
        <f t="array" ref="T170">INDEX('Best Lifts'!J$1:J$268,MATCH(1,($D170='Best Lifts'!$A:$A)*($E170='Best Lifts'!$B:$B),0))</f>
        <v>220</v>
      </c>
      <c r="U170" s="164">
        <f t="array" ref="U170">INDEX('Best Lifts'!K$1:K$268,MATCH(1,($D170='Best Lifts'!$A:$A)*($E170='Best Lifts'!$B:$B),0))</f>
        <v>270</v>
      </c>
      <c r="V170" s="164">
        <f t="array" ref="V170">INDEX('Best Lifts'!L$1:L$268,MATCH(1,($D170='Best Lifts'!$A:$A)*($E170='Best Lifts'!$B:$B),0))</f>
        <v>865</v>
      </c>
      <c r="W170" s="164">
        <f t="shared" si="33"/>
        <v>865</v>
      </c>
      <c r="X170" s="66"/>
    </row>
    <row r="171">
      <c r="A171" s="163">
        <f t="shared" si="31"/>
        <v>3</v>
      </c>
      <c r="B171" s="163">
        <f t="shared" si="32"/>
        <v>3</v>
      </c>
      <c r="C171" s="163"/>
      <c r="D171" s="163" t="str">
        <f>IFERROR(__xludf.DUMMYFUNCTION("""COMPUTED_VALUE"""),"Green")</f>
        <v>Green</v>
      </c>
      <c r="E171" s="163" t="str">
        <f>IFERROR(__xludf.DUMMYFUNCTION("""COMPUTED_VALUE"""),"William")</f>
        <v>William</v>
      </c>
      <c r="F171" s="163" t="str">
        <f>IFERROR(__xludf.DUMMYFUNCTION("""COMPUTED_VALUE"""),"4 - Sun")</f>
        <v>4 - Sun</v>
      </c>
      <c r="G171" s="163"/>
      <c r="H171" s="163"/>
      <c r="I171" s="163"/>
      <c r="J171" s="163" t="str">
        <f>IFERROR(__xludf.DUMMYFUNCTION("""COMPUTED_VALUE"""),"M")</f>
        <v>M</v>
      </c>
      <c r="K171" s="163" t="str">
        <f>IFERROR(__xludf.DUMMYFUNCTION("""COMPUTED_VALUE"""),"E")</f>
        <v>E</v>
      </c>
      <c r="L171" s="163" t="str">
        <f>IFERROR(__xludf.DUMMYFUNCTION("""COMPUTED_VALUE"""),"140+")</f>
        <v>140+</v>
      </c>
      <c r="M171" s="163">
        <f>IFERROR(__xludf.DUMMYFUNCTION("""COMPUTED_VALUE"""),710.0)</f>
        <v>710</v>
      </c>
      <c r="N171" s="163"/>
      <c r="O171" s="164">
        <f t="array" ref="O171">INDEX('Best Lifts'!E$1:E$268,MATCH(1,($D171='Best Lifts'!$A:$A)*($E171='Best Lifts'!$B:$B),0))</f>
        <v>252.5</v>
      </c>
      <c r="P171" s="164">
        <f t="array" ref="P171">INDEX('Best Lifts'!F$1:F$268,MATCH(1,($D171='Best Lifts'!$A:$A)*($E171='Best Lifts'!$B:$B),0))</f>
        <v>175</v>
      </c>
      <c r="Q171" s="164">
        <f t="array" ref="Q171">INDEX('Best Lifts'!G$1:G$268,MATCH(1,($D171='Best Lifts'!$A:$A)*($E171='Best Lifts'!$B:$B),0))</f>
        <v>272.5</v>
      </c>
      <c r="R171" s="164">
        <f t="array" ref="R171">INDEX('Best Lifts'!H$1:H$268,MATCH(1,($D171='Best Lifts'!$A:$A)*($E171='Best Lifts'!$B:$B),0))</f>
        <v>695</v>
      </c>
      <c r="S171" s="164">
        <f t="array" ref="S171">INDEX('Best Lifts'!I$1:I175,MATCH(1,($D171='Best Lifts'!$A:$A)*($E171='Best Lifts'!$B:$B),0))</f>
        <v>275</v>
      </c>
      <c r="T171" s="164">
        <f t="array" ref="T171">INDEX('Best Lifts'!J$1:J$268,MATCH(1,($D171='Best Lifts'!$A:$A)*($E171='Best Lifts'!$B:$B),0))</f>
        <v>160</v>
      </c>
      <c r="U171" s="164">
        <f t="array" ref="U171">INDEX('Best Lifts'!K$1:K$268,MATCH(1,($D171='Best Lifts'!$A:$A)*($E171='Best Lifts'!$B:$B),0))</f>
        <v>287.5</v>
      </c>
      <c r="V171" s="164">
        <f t="array" ref="V171">INDEX('Best Lifts'!L$1:L$268,MATCH(1,($D171='Best Lifts'!$A:$A)*($E171='Best Lifts'!$B:$B),0))</f>
        <v>710</v>
      </c>
      <c r="W171" s="164">
        <f t="shared" si="33"/>
        <v>722.5</v>
      </c>
      <c r="X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164"/>
      <c r="P172" s="164"/>
      <c r="Q172" s="164"/>
      <c r="R172" s="164"/>
      <c r="S172" s="164"/>
      <c r="T172" s="164"/>
      <c r="U172" s="163"/>
      <c r="V172" s="66"/>
      <c r="W172" s="66"/>
      <c r="X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210"/>
      <c r="P173" s="210"/>
      <c r="Q173" s="210"/>
      <c r="R173" s="210"/>
      <c r="S173" s="210"/>
      <c r="T173" s="163"/>
      <c r="U173" s="66"/>
      <c r="V173" s="66"/>
      <c r="W173" s="66"/>
      <c r="X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210"/>
      <c r="P174" s="210"/>
      <c r="Q174" s="210"/>
      <c r="R174" s="210"/>
      <c r="S174" s="210"/>
      <c r="T174" s="163"/>
      <c r="U174" s="66"/>
      <c r="V174" s="66"/>
      <c r="W174" s="66"/>
      <c r="X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210"/>
      <c r="P175" s="210"/>
      <c r="Q175" s="210"/>
      <c r="R175" s="210"/>
      <c r="S175" s="210"/>
      <c r="T175" s="163"/>
      <c r="U175" s="66"/>
      <c r="V175" s="66"/>
      <c r="W175" s="66"/>
      <c r="X175" s="66"/>
    </row>
  </sheetData>
  <autoFilter ref="$D$2:$X$175">
    <sortState ref="D2:X175">
      <sortCondition ref="L2:L175"/>
    </sortState>
  </autoFilter>
  <mergeCells count="12">
    <mergeCell ref="D104:E104"/>
    <mergeCell ref="D129:E129"/>
    <mergeCell ref="D144:E144"/>
    <mergeCell ref="D157:E157"/>
    <mergeCell ref="D167:E167"/>
    <mergeCell ref="D1:E1"/>
    <mergeCell ref="D5:E5"/>
    <mergeCell ref="D10:E10"/>
    <mergeCell ref="D21:E21"/>
    <mergeCell ref="D36:E36"/>
    <mergeCell ref="D55:E55"/>
    <mergeCell ref="D78:E78"/>
  </mergeCells>
  <conditionalFormatting sqref="O3:X3 O7:X8 O12:R20 S12:S21 T12:V20 W12:X19 O23:X34 O38:R51 S38:W53 X38:X51 O57:X76 O80:X103 O106:X128 O131:T144 U131:X142 O146:X155 O159:R164 S159:S165 T159:W164 O169:T172 U169:W171">
    <cfRule type="expression" dxfId="5" priority="1">
      <formula>$N3="Northeastern University - F-C"</formula>
    </cfRule>
  </conditionalFormatting>
  <conditionalFormatting sqref="A3:X3 A7:X8 A12:R19 S12:S21 T12:X19 A23:X34 A38:X54 A57:X76 A80:X103 A106:X128 A131:X143 A146:X155 A159:B165 C159:R164 S159:S165 T159:X164 A169:X171">
    <cfRule type="expression" dxfId="8" priority="2">
      <formula>$N3="Northeastern University - M-C"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7.25"/>
    <col customWidth="1" min="3" max="3" width="7.63"/>
    <col customWidth="1" min="4" max="4" width="12.63"/>
    <col customWidth="1" min="5" max="5" width="9.88"/>
    <col customWidth="1" min="6" max="6" width="6.88"/>
    <col customWidth="1" min="7" max="7" width="5.38"/>
    <col customWidth="1" min="8" max="8" width="5.63"/>
    <col customWidth="1" min="9" max="9" width="6.63"/>
    <col customWidth="1" min="10" max="10" width="7.63"/>
    <col customWidth="1" min="11" max="11" width="6.88"/>
    <col customWidth="1" min="12" max="13" width="8.88"/>
    <col customWidth="1" min="14" max="14" width="7.75"/>
    <col customWidth="1" min="15" max="15" width="9.0"/>
    <col customWidth="1" min="16" max="16" width="12.63"/>
    <col customWidth="1" min="17" max="17" width="9.88"/>
    <col customWidth="1" min="18" max="18" width="6.88"/>
    <col customWidth="1" min="19" max="19" width="5.38"/>
    <col customWidth="1" min="20" max="20" width="5.63"/>
    <col customWidth="1" min="21" max="21" width="6.63"/>
    <col customWidth="1" min="22" max="22" width="7.63"/>
    <col customWidth="1" min="23" max="23" width="6.88"/>
    <col customWidth="1" min="24" max="25" width="8.88"/>
    <col customWidth="1" min="26" max="26" width="7.75"/>
    <col customWidth="1" min="27" max="27" width="9.0"/>
    <col customWidth="1" min="28" max="28" width="12.63"/>
    <col customWidth="1" min="29" max="29" width="9.88"/>
    <col customWidth="1" min="30" max="30" width="6.88"/>
    <col customWidth="1" min="31" max="31" width="5.38"/>
    <col customWidth="1" min="32" max="32" width="5.63"/>
    <col customWidth="1" min="33" max="33" width="6.63"/>
    <col customWidth="1" min="34" max="34" width="7.63"/>
    <col customWidth="1" min="35" max="35" width="6.88"/>
    <col customWidth="1" min="36" max="37" width="8.88"/>
    <col customWidth="1" min="38" max="38" width="7.75"/>
    <col customWidth="1" min="39" max="39" width="9.0"/>
    <col customWidth="1" min="40" max="40" width="12.63"/>
    <col customWidth="1" min="41" max="41" width="9.88"/>
    <col customWidth="1" min="42" max="42" width="6.88"/>
    <col customWidth="1" min="43" max="43" width="5.38"/>
    <col customWidth="1" min="44" max="44" width="5.63"/>
    <col customWidth="1" min="45" max="45" width="6.63"/>
    <col customWidth="1" min="46" max="46" width="7.63"/>
    <col customWidth="1" min="47" max="47" width="6.88"/>
    <col customWidth="1" min="48" max="49" width="8.88"/>
    <col customWidth="1" min="50" max="50" width="7.75"/>
    <col customWidth="1" min="51" max="51" width="9.0"/>
    <col customWidth="1" min="52" max="52" width="12.63"/>
    <col customWidth="1" min="53" max="53" width="9.88"/>
    <col customWidth="1" min="54" max="54" width="6.88"/>
    <col customWidth="1" min="55" max="55" width="5.38"/>
    <col customWidth="1" min="56" max="56" width="5.63"/>
    <col customWidth="1" min="57" max="57" width="6.63"/>
    <col customWidth="1" min="58" max="58" width="7.63"/>
    <col customWidth="1" min="59" max="59" width="6.88"/>
    <col customWidth="1" min="60" max="61" width="8.88"/>
    <col customWidth="1" min="62" max="62" width="7.75"/>
    <col customWidth="1" min="63" max="63" width="9.0"/>
    <col customWidth="1" min="64" max="64" width="12.63"/>
    <col customWidth="1" min="65" max="65" width="9.88"/>
    <col customWidth="1" min="66" max="66" width="6.88"/>
    <col customWidth="1" min="67" max="67" width="5.38"/>
    <col customWidth="1" min="68" max="68" width="5.63"/>
    <col customWidth="1" min="69" max="69" width="6.63"/>
    <col customWidth="1" min="70" max="70" width="7.63"/>
    <col customWidth="1" min="71" max="71" width="6.88"/>
    <col customWidth="1" min="72" max="73" width="8.88"/>
    <col customWidth="1" min="74" max="74" width="7.75"/>
    <col customWidth="1" min="75" max="75" width="9.0"/>
    <col customWidth="1" min="76" max="76" width="12.63"/>
    <col customWidth="1" min="77" max="77" width="9.88"/>
    <col customWidth="1" min="78" max="78" width="6.88"/>
    <col customWidth="1" min="79" max="79" width="5.38"/>
    <col customWidth="1" min="80" max="80" width="5.63"/>
    <col customWidth="1" min="81" max="81" width="6.63"/>
    <col customWidth="1" min="82" max="82" width="7.63"/>
    <col customWidth="1" min="83" max="83" width="6.88"/>
    <col customWidth="1" min="84" max="85" width="8.88"/>
    <col customWidth="1" min="86" max="86" width="7.75"/>
    <col customWidth="1" min="87" max="87" width="9.0"/>
    <col customWidth="1" min="88" max="88" width="12.63"/>
    <col customWidth="1" min="89" max="89" width="9.88"/>
    <col customWidth="1" min="90" max="90" width="6.88"/>
    <col customWidth="1" min="91" max="91" width="5.38"/>
    <col customWidth="1" min="92" max="92" width="5.63"/>
    <col customWidth="1" min="93" max="93" width="6.63"/>
    <col customWidth="1" min="94" max="94" width="7.63"/>
    <col customWidth="1" min="95" max="95" width="6.88"/>
    <col customWidth="1" min="96" max="97" width="8.88"/>
    <col customWidth="1" min="98" max="98" width="7.75"/>
    <col customWidth="1" min="99" max="99" width="9.0"/>
    <col customWidth="1" min="100" max="100" width="12.63"/>
    <col customWidth="1" min="101" max="101" width="9.88"/>
    <col customWidth="1" min="102" max="102" width="6.88"/>
    <col customWidth="1" min="103" max="103" width="5.38"/>
    <col customWidth="1" min="104" max="104" width="5.63"/>
    <col customWidth="1" min="105" max="105" width="6.63"/>
    <col customWidth="1" min="106" max="106" width="7.63"/>
    <col customWidth="1" min="107" max="107" width="6.88"/>
    <col customWidth="1" min="108" max="109" width="8.88"/>
    <col customWidth="1" min="110" max="110" width="7.75"/>
    <col customWidth="1" min="111" max="111" width="9.0"/>
    <col customWidth="1" min="112" max="112" width="12.63"/>
    <col customWidth="1" min="113" max="113" width="9.88"/>
    <col customWidth="1" min="114" max="114" width="6.88"/>
    <col customWidth="1" min="115" max="115" width="5.38"/>
    <col customWidth="1" min="116" max="116" width="5.63"/>
    <col customWidth="1" min="117" max="117" width="6.63"/>
    <col customWidth="1" min="118" max="118" width="7.63"/>
    <col customWidth="1" min="119" max="119" width="6.88"/>
    <col customWidth="1" min="120" max="121" width="8.88"/>
    <col customWidth="1" min="122" max="122" width="7.75"/>
    <col customWidth="1" min="123" max="123" width="9.0"/>
    <col customWidth="1" min="124" max="124" width="12.63"/>
    <col customWidth="1" min="125" max="125" width="9.88"/>
    <col customWidth="1" min="126" max="126" width="6.88"/>
    <col customWidth="1" min="127" max="127" width="5.38"/>
    <col customWidth="1" min="128" max="128" width="5.63"/>
    <col customWidth="1" min="129" max="129" width="6.63"/>
    <col customWidth="1" min="130" max="130" width="7.63"/>
    <col customWidth="1" min="131" max="131" width="6.88"/>
    <col customWidth="1" min="132" max="133" width="8.88"/>
    <col customWidth="1" min="134" max="134" width="7.75"/>
    <col customWidth="1" min="135" max="135" width="9.0"/>
    <col customWidth="1" min="136" max="136" width="12.63"/>
    <col customWidth="1" min="137" max="137" width="9.88"/>
    <col customWidth="1" min="138" max="138" width="6.88"/>
    <col customWidth="1" min="139" max="139" width="5.38"/>
    <col customWidth="1" min="140" max="140" width="5.63"/>
    <col customWidth="1" min="141" max="141" width="6.63"/>
    <col customWidth="1" min="142" max="142" width="7.63"/>
    <col customWidth="1" min="143" max="143" width="6.88"/>
    <col customWidth="1" min="144" max="145" width="8.88"/>
    <col customWidth="1" min="146" max="146" width="7.75"/>
    <col customWidth="1" min="147" max="147" width="9.0"/>
  </cols>
  <sheetData>
    <row r="1">
      <c r="A1" s="211"/>
      <c r="B1" s="212"/>
      <c r="C1" s="213"/>
      <c r="D1" s="171" t="s">
        <v>782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3"/>
      <c r="P1" s="171" t="s">
        <v>783</v>
      </c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  <c r="AB1" s="171" t="s">
        <v>784</v>
      </c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3"/>
      <c r="AN1" s="171" t="s">
        <v>785</v>
      </c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3"/>
      <c r="AZ1" s="171" t="s">
        <v>786</v>
      </c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3"/>
      <c r="BL1" s="171" t="s">
        <v>787</v>
      </c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3"/>
      <c r="BX1" s="171" t="s">
        <v>788</v>
      </c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3"/>
      <c r="CJ1" s="171" t="s">
        <v>789</v>
      </c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3"/>
      <c r="CV1" s="171" t="s">
        <v>790</v>
      </c>
      <c r="CW1" s="172"/>
      <c r="CX1" s="172"/>
      <c r="CY1" s="172"/>
      <c r="CZ1" s="172"/>
      <c r="DA1" s="172"/>
      <c r="DB1" s="172"/>
      <c r="DC1" s="172"/>
      <c r="DD1" s="172"/>
      <c r="DE1" s="172"/>
      <c r="DF1" s="172"/>
      <c r="DG1" s="173"/>
      <c r="DH1" s="171" t="s">
        <v>791</v>
      </c>
      <c r="DI1" s="172"/>
      <c r="DJ1" s="172"/>
      <c r="DK1" s="172"/>
      <c r="DL1" s="172"/>
      <c r="DM1" s="172"/>
      <c r="DN1" s="172"/>
      <c r="DO1" s="172"/>
      <c r="DP1" s="172"/>
      <c r="DQ1" s="172"/>
      <c r="DR1" s="172"/>
      <c r="DS1" s="173"/>
      <c r="DT1" s="171" t="s">
        <v>792</v>
      </c>
      <c r="DU1" s="172"/>
      <c r="DV1" s="172"/>
      <c r="DW1" s="172"/>
      <c r="DX1" s="172"/>
      <c r="DY1" s="172"/>
      <c r="DZ1" s="172"/>
      <c r="EA1" s="172"/>
      <c r="EB1" s="172"/>
      <c r="EC1" s="172"/>
      <c r="ED1" s="172"/>
      <c r="EE1" s="173"/>
      <c r="EF1" s="171" t="s">
        <v>793</v>
      </c>
      <c r="EG1" s="172"/>
      <c r="EH1" s="172"/>
      <c r="EI1" s="172"/>
      <c r="EJ1" s="172"/>
      <c r="EK1" s="172"/>
      <c r="EL1" s="172"/>
      <c r="EM1" s="172"/>
      <c r="EN1" s="172"/>
      <c r="EO1" s="172"/>
      <c r="EP1" s="172"/>
      <c r="EQ1" s="173"/>
    </row>
    <row r="2" ht="26.25" customHeight="1">
      <c r="A2" s="214"/>
      <c r="B2" s="214"/>
      <c r="C2" s="215"/>
      <c r="D2" s="174"/>
      <c r="E2" s="175"/>
      <c r="F2" s="175"/>
      <c r="G2" s="175"/>
      <c r="H2" s="175"/>
      <c r="I2" s="175"/>
      <c r="J2" s="175"/>
      <c r="K2" s="176" t="s">
        <v>772</v>
      </c>
      <c r="L2" s="177">
        <f t="shared" ref="L2:M2" si="1">SUM(SORTN(L4:L25,5,0,1,false))</f>
        <v>0</v>
      </c>
      <c r="M2" s="177">
        <f t="shared" si="1"/>
        <v>0</v>
      </c>
      <c r="N2" s="178" t="s">
        <v>773</v>
      </c>
      <c r="O2" s="177">
        <f t="array" ref="O2">SUM(SORTN(O4:O25,5,0,1,false))</f>
        <v>0</v>
      </c>
      <c r="P2" s="174"/>
      <c r="Q2" s="175"/>
      <c r="R2" s="175"/>
      <c r="S2" s="175"/>
      <c r="T2" s="175"/>
      <c r="U2" s="175"/>
      <c r="V2" s="175"/>
      <c r="W2" s="176" t="s">
        <v>794</v>
      </c>
      <c r="X2" s="177">
        <f t="shared" ref="X2:Y2" si="2">SUM(SORTN(X4:X25,5,0,1,false))</f>
        <v>0</v>
      </c>
      <c r="Y2" s="177">
        <f t="shared" si="2"/>
        <v>0</v>
      </c>
      <c r="Z2" s="178" t="s">
        <v>773</v>
      </c>
      <c r="AA2" s="177">
        <f t="array" ref="AA2">SUM(SORTN(AA4:AA25,5,0,1,false))</f>
        <v>0</v>
      </c>
      <c r="AB2" s="174"/>
      <c r="AC2" s="175"/>
      <c r="AD2" s="175"/>
      <c r="AE2" s="175"/>
      <c r="AF2" s="175"/>
      <c r="AG2" s="175"/>
      <c r="AH2" s="175"/>
      <c r="AI2" s="176" t="s">
        <v>794</v>
      </c>
      <c r="AJ2" s="177">
        <f t="shared" ref="AJ2:AK2" si="3">SUM(SORTN(AJ4:AJ25,5,0,1,false))</f>
        <v>0</v>
      </c>
      <c r="AK2" s="177">
        <f t="shared" si="3"/>
        <v>0</v>
      </c>
      <c r="AL2" s="178" t="s">
        <v>773</v>
      </c>
      <c r="AM2" s="177">
        <f t="array" ref="AM2">SUM(SORTN(AM4:AM25,5,0,1,false))</f>
        <v>0</v>
      </c>
      <c r="AN2" s="174"/>
      <c r="AO2" s="175"/>
      <c r="AP2" s="175"/>
      <c r="AQ2" s="175"/>
      <c r="AR2" s="175"/>
      <c r="AS2" s="175"/>
      <c r="AT2" s="175"/>
      <c r="AU2" s="176" t="s">
        <v>794</v>
      </c>
      <c r="AV2" s="177">
        <f t="shared" ref="AV2:AW2" si="4">SUM(SORTN(AV4:AV25,5,0,1,false))</f>
        <v>0</v>
      </c>
      <c r="AW2" s="177">
        <f t="shared" si="4"/>
        <v>0</v>
      </c>
      <c r="AX2" s="178" t="s">
        <v>773</v>
      </c>
      <c r="AY2" s="177">
        <f t="array" ref="AY2">SUM(SORTN(AY4:AY25,5,0,1,false))</f>
        <v>0</v>
      </c>
      <c r="AZ2" s="174"/>
      <c r="BA2" s="175"/>
      <c r="BB2" s="175"/>
      <c r="BC2" s="175"/>
      <c r="BD2" s="175"/>
      <c r="BE2" s="175"/>
      <c r="BF2" s="175"/>
      <c r="BG2" s="176" t="s">
        <v>794</v>
      </c>
      <c r="BH2" s="177">
        <f t="shared" ref="BH2:BI2" si="5">SUM(SORTN(BH4:BH25,5,0,1,false))</f>
        <v>0</v>
      </c>
      <c r="BI2" s="177">
        <f t="shared" si="5"/>
        <v>0</v>
      </c>
      <c r="BJ2" s="178" t="s">
        <v>773</v>
      </c>
      <c r="BK2" s="177">
        <f t="array" ref="BK2">SUM(SORTN(BK4:BK25,5,0,1,false))</f>
        <v>0</v>
      </c>
      <c r="BL2" s="174"/>
      <c r="BM2" s="175"/>
      <c r="BN2" s="175"/>
      <c r="BO2" s="175"/>
      <c r="BP2" s="175"/>
      <c r="BQ2" s="175"/>
      <c r="BR2" s="175"/>
      <c r="BS2" s="176" t="s">
        <v>794</v>
      </c>
      <c r="BT2" s="177">
        <f t="shared" ref="BT2:BU2" si="6">SUM(SORTN(BT4:BT25,5,0,1,false))</f>
        <v>0</v>
      </c>
      <c r="BU2" s="177">
        <f t="shared" si="6"/>
        <v>0</v>
      </c>
      <c r="BV2" s="178" t="s">
        <v>773</v>
      </c>
      <c r="BW2" s="177">
        <f t="array" ref="BW2">SUM(SORTN(BW4:BW25,5,0,1,false))</f>
        <v>0</v>
      </c>
      <c r="BX2" s="174"/>
      <c r="BY2" s="175"/>
      <c r="BZ2" s="175"/>
      <c r="CA2" s="175"/>
      <c r="CB2" s="175"/>
      <c r="CC2" s="175"/>
      <c r="CD2" s="175"/>
      <c r="CE2" s="176" t="s">
        <v>794</v>
      </c>
      <c r="CF2" s="177">
        <f t="shared" ref="CF2:CG2" si="7">SUM(SORTN(CF4:CF25,5,0,1,false))</f>
        <v>0</v>
      </c>
      <c r="CG2" s="177">
        <f t="shared" si="7"/>
        <v>0</v>
      </c>
      <c r="CH2" s="178" t="s">
        <v>773</v>
      </c>
      <c r="CI2" s="177">
        <f t="array" ref="CI2">SUM(SORTN(CI4:CI25,5,0,1,false))</f>
        <v>0</v>
      </c>
      <c r="CJ2" s="174"/>
      <c r="CK2" s="175"/>
      <c r="CL2" s="175"/>
      <c r="CM2" s="175"/>
      <c r="CN2" s="175"/>
      <c r="CO2" s="175"/>
      <c r="CP2" s="175"/>
      <c r="CQ2" s="176" t="s">
        <v>794</v>
      </c>
      <c r="CR2" s="177">
        <f t="shared" ref="CR2:CS2" si="8">SUM(SORTN(CR4:CR25,5,0,1,false))</f>
        <v>0</v>
      </c>
      <c r="CS2" s="177">
        <f t="shared" si="8"/>
        <v>0</v>
      </c>
      <c r="CT2" s="178" t="s">
        <v>773</v>
      </c>
      <c r="CU2" s="177">
        <f t="array" ref="CU2">SUM(SORTN(CU4:CU25,5,0,1,false))</f>
        <v>0</v>
      </c>
      <c r="CV2" s="174"/>
      <c r="CW2" s="175"/>
      <c r="CX2" s="175"/>
      <c r="CY2" s="175"/>
      <c r="CZ2" s="175"/>
      <c r="DA2" s="175"/>
      <c r="DB2" s="175"/>
      <c r="DC2" s="176" t="s">
        <v>794</v>
      </c>
      <c r="DD2" s="177">
        <f t="shared" ref="DD2:DE2" si="9">SUM(SORTN(DD4:DD25,5,0,1,false))</f>
        <v>0</v>
      </c>
      <c r="DE2" s="177">
        <f t="shared" si="9"/>
        <v>0</v>
      </c>
      <c r="DF2" s="178"/>
      <c r="DG2" s="177">
        <f t="array" ref="DG2">SUM(SORTN(DG4:DG25,5,0,1,false))</f>
        <v>0</v>
      </c>
      <c r="DH2" s="174"/>
      <c r="DI2" s="175"/>
      <c r="DJ2" s="175"/>
      <c r="DK2" s="175"/>
      <c r="DL2" s="175"/>
      <c r="DM2" s="175"/>
      <c r="DN2" s="175"/>
      <c r="DO2" s="176" t="s">
        <v>794</v>
      </c>
      <c r="DP2" s="177">
        <f t="shared" ref="DP2:DQ2" si="10">SUM(SORTN(DP4:DP25,5,0,1,false))</f>
        <v>0</v>
      </c>
      <c r="DQ2" s="177">
        <f t="shared" si="10"/>
        <v>0</v>
      </c>
      <c r="DR2" s="178"/>
      <c r="DS2" s="177">
        <f t="array" ref="DS2">SUM(SORTN(DS4:DS25,5,0,1,false))</f>
        <v>0</v>
      </c>
      <c r="DT2" s="174"/>
      <c r="DU2" s="175"/>
      <c r="DV2" s="175"/>
      <c r="DW2" s="175"/>
      <c r="DX2" s="175"/>
      <c r="DY2" s="175"/>
      <c r="DZ2" s="175"/>
      <c r="EA2" s="176" t="s">
        <v>794</v>
      </c>
      <c r="EB2" s="177">
        <f t="shared" ref="EB2:EC2" si="11">SUM(SORTN(EB4:EB25,5,0,1,false))</f>
        <v>0</v>
      </c>
      <c r="EC2" s="177">
        <f t="shared" si="11"/>
        <v>0</v>
      </c>
      <c r="ED2" s="178"/>
      <c r="EE2" s="177">
        <f t="array" ref="EE2">SUM(SORTN(EE4:EE25,5,0,1,false))</f>
        <v>0</v>
      </c>
      <c r="EF2" s="174"/>
      <c r="EG2" s="175"/>
      <c r="EH2" s="175"/>
      <c r="EI2" s="175"/>
      <c r="EJ2" s="175"/>
      <c r="EK2" s="175"/>
      <c r="EL2" s="175"/>
      <c r="EM2" s="176" t="s">
        <v>794</v>
      </c>
      <c r="EN2" s="177">
        <f t="shared" ref="EN2:EO2" si="12">SUM(SORTN(EN4:EN25,5,0,1,false))</f>
        <v>0</v>
      </c>
      <c r="EO2" s="177">
        <f t="shared" si="12"/>
        <v>0</v>
      </c>
      <c r="EP2" s="178"/>
      <c r="EQ2" s="177">
        <f t="array" ref="EQ2">SUM(SORTN(EQ4:EQ25,5,0,1,false))</f>
        <v>0</v>
      </c>
    </row>
    <row r="3">
      <c r="A3" s="214"/>
      <c r="B3" s="214"/>
      <c r="C3" s="215"/>
      <c r="D3" s="179" t="s">
        <v>27</v>
      </c>
      <c r="E3" s="180" t="s">
        <v>26</v>
      </c>
      <c r="F3" s="181" t="s">
        <v>29</v>
      </c>
      <c r="G3" s="181" t="s">
        <v>36</v>
      </c>
      <c r="H3" s="181" t="s">
        <v>774</v>
      </c>
      <c r="I3" s="180" t="s">
        <v>795</v>
      </c>
      <c r="J3" s="180" t="s">
        <v>776</v>
      </c>
      <c r="K3" s="180" t="s">
        <v>796</v>
      </c>
      <c r="L3" s="180" t="s">
        <v>772</v>
      </c>
      <c r="M3" s="180" t="s">
        <v>777</v>
      </c>
      <c r="N3" s="180" t="s">
        <v>778</v>
      </c>
      <c r="O3" s="182" t="s">
        <v>779</v>
      </c>
      <c r="P3" s="179" t="s">
        <v>27</v>
      </c>
      <c r="Q3" s="180" t="s">
        <v>26</v>
      </c>
      <c r="R3" s="181" t="s">
        <v>29</v>
      </c>
      <c r="S3" s="181" t="s">
        <v>36</v>
      </c>
      <c r="T3" s="181" t="s">
        <v>774</v>
      </c>
      <c r="U3" s="180" t="s">
        <v>795</v>
      </c>
      <c r="V3" s="180" t="s">
        <v>776</v>
      </c>
      <c r="W3" s="180" t="s">
        <v>796</v>
      </c>
      <c r="X3" s="180" t="s">
        <v>772</v>
      </c>
      <c r="Y3" s="180" t="s">
        <v>777</v>
      </c>
      <c r="Z3" s="180" t="s">
        <v>778</v>
      </c>
      <c r="AA3" s="182" t="s">
        <v>779</v>
      </c>
      <c r="AB3" s="179" t="s">
        <v>27</v>
      </c>
      <c r="AC3" s="180" t="s">
        <v>26</v>
      </c>
      <c r="AD3" s="181" t="s">
        <v>29</v>
      </c>
      <c r="AE3" s="181" t="s">
        <v>36</v>
      </c>
      <c r="AF3" s="181" t="s">
        <v>774</v>
      </c>
      <c r="AG3" s="180" t="s">
        <v>795</v>
      </c>
      <c r="AH3" s="180" t="s">
        <v>776</v>
      </c>
      <c r="AI3" s="180" t="s">
        <v>796</v>
      </c>
      <c r="AJ3" s="180" t="s">
        <v>772</v>
      </c>
      <c r="AK3" s="180" t="s">
        <v>777</v>
      </c>
      <c r="AL3" s="180" t="s">
        <v>778</v>
      </c>
      <c r="AM3" s="182" t="s">
        <v>779</v>
      </c>
      <c r="AN3" s="179" t="s">
        <v>27</v>
      </c>
      <c r="AO3" s="180" t="s">
        <v>26</v>
      </c>
      <c r="AP3" s="181" t="s">
        <v>29</v>
      </c>
      <c r="AQ3" s="181" t="s">
        <v>36</v>
      </c>
      <c r="AR3" s="181" t="s">
        <v>774</v>
      </c>
      <c r="AS3" s="180" t="s">
        <v>795</v>
      </c>
      <c r="AT3" s="180" t="s">
        <v>776</v>
      </c>
      <c r="AU3" s="180" t="s">
        <v>796</v>
      </c>
      <c r="AV3" s="180" t="s">
        <v>772</v>
      </c>
      <c r="AW3" s="180" t="s">
        <v>777</v>
      </c>
      <c r="AX3" s="180" t="s">
        <v>778</v>
      </c>
      <c r="AY3" s="182" t="s">
        <v>779</v>
      </c>
      <c r="AZ3" s="179" t="s">
        <v>27</v>
      </c>
      <c r="BA3" s="180" t="s">
        <v>26</v>
      </c>
      <c r="BB3" s="181" t="s">
        <v>29</v>
      </c>
      <c r="BC3" s="181" t="s">
        <v>36</v>
      </c>
      <c r="BD3" s="181" t="s">
        <v>774</v>
      </c>
      <c r="BE3" s="180" t="s">
        <v>795</v>
      </c>
      <c r="BF3" s="180" t="s">
        <v>776</v>
      </c>
      <c r="BG3" s="180" t="s">
        <v>796</v>
      </c>
      <c r="BH3" s="180" t="s">
        <v>772</v>
      </c>
      <c r="BI3" s="180" t="s">
        <v>777</v>
      </c>
      <c r="BJ3" s="180" t="s">
        <v>778</v>
      </c>
      <c r="BK3" s="182" t="s">
        <v>779</v>
      </c>
      <c r="BL3" s="179" t="s">
        <v>27</v>
      </c>
      <c r="BM3" s="180" t="s">
        <v>26</v>
      </c>
      <c r="BN3" s="181" t="s">
        <v>29</v>
      </c>
      <c r="BO3" s="181" t="s">
        <v>36</v>
      </c>
      <c r="BP3" s="181" t="s">
        <v>774</v>
      </c>
      <c r="BQ3" s="180" t="s">
        <v>795</v>
      </c>
      <c r="BR3" s="180" t="s">
        <v>776</v>
      </c>
      <c r="BS3" s="180" t="s">
        <v>796</v>
      </c>
      <c r="BT3" s="180" t="s">
        <v>772</v>
      </c>
      <c r="BU3" s="180" t="s">
        <v>777</v>
      </c>
      <c r="BV3" s="180" t="s">
        <v>778</v>
      </c>
      <c r="BW3" s="182" t="s">
        <v>779</v>
      </c>
      <c r="BX3" s="179" t="s">
        <v>27</v>
      </c>
      <c r="BY3" s="180" t="s">
        <v>26</v>
      </c>
      <c r="BZ3" s="181" t="s">
        <v>29</v>
      </c>
      <c r="CA3" s="181" t="s">
        <v>36</v>
      </c>
      <c r="CB3" s="181" t="s">
        <v>774</v>
      </c>
      <c r="CC3" s="180" t="s">
        <v>795</v>
      </c>
      <c r="CD3" s="180" t="s">
        <v>776</v>
      </c>
      <c r="CE3" s="180" t="s">
        <v>796</v>
      </c>
      <c r="CF3" s="180" t="s">
        <v>772</v>
      </c>
      <c r="CG3" s="180" t="s">
        <v>777</v>
      </c>
      <c r="CH3" s="180" t="s">
        <v>778</v>
      </c>
      <c r="CI3" s="182" t="s">
        <v>779</v>
      </c>
      <c r="CJ3" s="179" t="s">
        <v>27</v>
      </c>
      <c r="CK3" s="180" t="s">
        <v>26</v>
      </c>
      <c r="CL3" s="181" t="s">
        <v>29</v>
      </c>
      <c r="CM3" s="181" t="s">
        <v>36</v>
      </c>
      <c r="CN3" s="181" t="s">
        <v>774</v>
      </c>
      <c r="CO3" s="180" t="s">
        <v>795</v>
      </c>
      <c r="CP3" s="180" t="s">
        <v>776</v>
      </c>
      <c r="CQ3" s="180" t="s">
        <v>797</v>
      </c>
      <c r="CR3" s="180" t="s">
        <v>772</v>
      </c>
      <c r="CS3" s="180" t="s">
        <v>777</v>
      </c>
      <c r="CT3" s="180" t="s">
        <v>778</v>
      </c>
      <c r="CU3" s="182" t="s">
        <v>779</v>
      </c>
      <c r="CV3" s="179" t="s">
        <v>27</v>
      </c>
      <c r="CW3" s="180" t="s">
        <v>26</v>
      </c>
      <c r="CX3" s="181" t="s">
        <v>29</v>
      </c>
      <c r="CY3" s="181" t="s">
        <v>36</v>
      </c>
      <c r="CZ3" s="181" t="s">
        <v>774</v>
      </c>
      <c r="DA3" s="180" t="s">
        <v>795</v>
      </c>
      <c r="DB3" s="180" t="s">
        <v>776</v>
      </c>
      <c r="DC3" s="180" t="s">
        <v>796</v>
      </c>
      <c r="DD3" s="180" t="s">
        <v>772</v>
      </c>
      <c r="DE3" s="180" t="s">
        <v>777</v>
      </c>
      <c r="DF3" s="180" t="s">
        <v>778</v>
      </c>
      <c r="DG3" s="182" t="s">
        <v>779</v>
      </c>
      <c r="DH3" s="179" t="s">
        <v>27</v>
      </c>
      <c r="DI3" s="180" t="s">
        <v>26</v>
      </c>
      <c r="DJ3" s="181" t="s">
        <v>29</v>
      </c>
      <c r="DK3" s="181" t="s">
        <v>36</v>
      </c>
      <c r="DL3" s="181" t="s">
        <v>774</v>
      </c>
      <c r="DM3" s="180" t="s">
        <v>795</v>
      </c>
      <c r="DN3" s="180" t="s">
        <v>776</v>
      </c>
      <c r="DO3" s="180" t="s">
        <v>797</v>
      </c>
      <c r="DP3" s="180" t="s">
        <v>772</v>
      </c>
      <c r="DQ3" s="180" t="s">
        <v>777</v>
      </c>
      <c r="DR3" s="180" t="s">
        <v>778</v>
      </c>
      <c r="DS3" s="182" t="s">
        <v>779</v>
      </c>
      <c r="DT3" s="179" t="s">
        <v>27</v>
      </c>
      <c r="DU3" s="180" t="s">
        <v>26</v>
      </c>
      <c r="DV3" s="181" t="s">
        <v>29</v>
      </c>
      <c r="DW3" s="181" t="s">
        <v>36</v>
      </c>
      <c r="DX3" s="181" t="s">
        <v>774</v>
      </c>
      <c r="DY3" s="180" t="s">
        <v>795</v>
      </c>
      <c r="DZ3" s="180" t="s">
        <v>776</v>
      </c>
      <c r="EA3" s="180" t="s">
        <v>797</v>
      </c>
      <c r="EB3" s="180" t="s">
        <v>772</v>
      </c>
      <c r="EC3" s="180" t="s">
        <v>777</v>
      </c>
      <c r="ED3" s="180" t="s">
        <v>778</v>
      </c>
      <c r="EE3" s="182" t="s">
        <v>779</v>
      </c>
      <c r="EF3" s="179" t="s">
        <v>27</v>
      </c>
      <c r="EG3" s="180" t="s">
        <v>26</v>
      </c>
      <c r="EH3" s="181" t="s">
        <v>29</v>
      </c>
      <c r="EI3" s="181" t="s">
        <v>36</v>
      </c>
      <c r="EJ3" s="181" t="s">
        <v>774</v>
      </c>
      <c r="EK3" s="180" t="s">
        <v>795</v>
      </c>
      <c r="EL3" s="180" t="s">
        <v>776</v>
      </c>
      <c r="EM3" s="180" t="s">
        <v>797</v>
      </c>
      <c r="EN3" s="180" t="s">
        <v>772</v>
      </c>
      <c r="EO3" s="180" t="s">
        <v>777</v>
      </c>
      <c r="EP3" s="180" t="s">
        <v>778</v>
      </c>
      <c r="EQ3" s="182" t="s">
        <v>779</v>
      </c>
    </row>
    <row r="4">
      <c r="A4" s="183"/>
      <c r="B4" s="184" t="s">
        <v>780</v>
      </c>
      <c r="C4" s="185" t="s">
        <v>748</v>
      </c>
      <c r="D4" s="186" t="str">
        <f>IFERROR(__xludf.DUMMYFUNCTION("FILTER('Rankings-Men'!$D3:$D115,'Rankings-Men'!$N$3:$N115=D$1)"),"#N/A")</f>
        <v>#N/A</v>
      </c>
      <c r="E4" s="66" t="str">
        <f>IFERROR(__xludf.DUMMYFUNCTION("FILTER('Rankings-Men'!$E3:$E115,'Rankings-Men'!$N$3:$N115=D$1)"),"#N/A")</f>
        <v>#N/A</v>
      </c>
      <c r="F4" s="187" t="str">
        <f>IFERROR(__xludf.DUMMYFUNCTION("FILTER('Rankings-Men'!$L3:$L115,'Rankings-Men'!$N$3:$N115=D$1)"),"#N/A")</f>
        <v>#N/A</v>
      </c>
      <c r="G4" s="187" t="str">
        <f>IFERROR(__xludf.DUMMYFUNCTION("FILTER('Rankings-Men'!$M3:$M115,'Rankings-Men'!$N$3:$N115=D$1)"),"#N/A")</f>
        <v>#N/A</v>
      </c>
      <c r="H4" s="187" t="str">
        <f>IFERROR(__xludf.DUMMYFUNCTION("FILTER('Rankings-Men'!$A3:$A115,'Rankings-Men'!$N$3:$N115=D$1)"),"#N/A")</f>
        <v>#N/A</v>
      </c>
      <c r="I4" s="187" t="str">
        <f>IFERROR(__xludf.DUMMYFUNCTION("FILTER('Rankings-Men'!$B3:$B115,'Rankings-Men'!$N$3:$N115=D$1)"),"#N/A")</f>
        <v>#N/A</v>
      </c>
      <c r="J4" s="187">
        <f>COUNTIF('Rankings-Men'!$L:$L,F4)</f>
        <v>0</v>
      </c>
      <c r="K4" s="196"/>
      <c r="L4" s="187">
        <f t="shared" ref="L4:M4" si="13">IFNA(INDEX($P$83:$Q$112,MATCH(H4,$P$83:$P112,0),2),0)</f>
        <v>0</v>
      </c>
      <c r="M4" s="187">
        <f t="shared" si="13"/>
        <v>0</v>
      </c>
      <c r="N4" s="187" t="str">
        <f t="array" ref="N4">INDEX('Rankings-Men'!$C:$C,MATCH(1,(D4='Rankings-Men'!$D:$D)*(E4='Rankings-Men'!$E:$E),0))</f>
        <v>#N/A</v>
      </c>
      <c r="O4" s="188">
        <f t="shared" ref="O4:O17" si="26">IFNA(INDEX($P$83:$Q$112,MATCH(N4,$P$83:$P112,0),2),0)</f>
        <v>0</v>
      </c>
      <c r="P4" s="186" t="str">
        <f>IFERROR(__xludf.DUMMYFUNCTION("FILTER('Rankings-Men'!$D3:$D115,'Rankings-Men'!$N$3:$N115=P$1)"),"#N/A")</f>
        <v>#N/A</v>
      </c>
      <c r="Q4" s="187" t="str">
        <f>IFERROR(__xludf.DUMMYFUNCTION("FILTER('Rankings-Men'!$E3:$E115,'Rankings-Men'!$N$3:$N115=P$1)"),"#N/A")</f>
        <v>#N/A</v>
      </c>
      <c r="R4" s="187" t="str">
        <f>IFERROR(__xludf.DUMMYFUNCTION("FILTER('Rankings-Men'!$L3:$L115,'Rankings-Men'!$N$3:$N115=P$1)"),"#N/A")</f>
        <v>#N/A</v>
      </c>
      <c r="S4" s="187" t="str">
        <f>IFERROR(__xludf.DUMMYFUNCTION("FILTER('Rankings-Men'!$M3:$M115,'Rankings-Men'!$N$3:$N115=P$1)"),"#N/A")</f>
        <v>#N/A</v>
      </c>
      <c r="T4" s="187" t="str">
        <f>IFERROR(__xludf.DUMMYFUNCTION("FILTER('Rankings-Men'!$A3:$A115,'Rankings-Men'!$N$3:$N115=P$1)"),"#N/A")</f>
        <v>#N/A</v>
      </c>
      <c r="U4" s="187" t="str">
        <f>IFERROR(__xludf.DUMMYFUNCTION("FILTER('Rankings-Men'!$B3:$B115,'Rankings-Men'!$N$3:$N115=P$1)"),"#N/A")</f>
        <v>#N/A</v>
      </c>
      <c r="V4" s="187">
        <f>COUNTIF('Rankings-Men'!$L:$L,R4)</f>
        <v>0</v>
      </c>
      <c r="W4" s="196"/>
      <c r="X4" s="187">
        <f t="shared" ref="X4:Y4" si="14">IFNA(INDEX($P$83:$Q$112,MATCH(T4,$P$83:$P112,0),2),0)</f>
        <v>0</v>
      </c>
      <c r="Y4" s="187">
        <f t="shared" si="14"/>
        <v>0</v>
      </c>
      <c r="Z4" s="187" t="str">
        <f t="array" ref="Z4">INDEX('Rankings-Men'!$C:$C,MATCH(1,(P4='Rankings-Men'!$D:$D)*(Q4='Rankings-Men'!$E:$E),0))</f>
        <v>#N/A</v>
      </c>
      <c r="AA4" s="188">
        <f t="shared" ref="AA4:AA10" si="28">IFNA(INDEX($P$83:$Q$112,MATCH(Z4,$P$83:$P112,0),2),0)</f>
        <v>0</v>
      </c>
      <c r="AB4" s="186" t="str">
        <f>IFERROR(__xludf.DUMMYFUNCTION("FILTER('Rankings-Men'!$D3:$D115,'Rankings-Men'!$N$3:$N115=AB$1)"),"#N/A")</f>
        <v>#N/A</v>
      </c>
      <c r="AC4" s="187" t="str">
        <f>IFERROR(__xludf.DUMMYFUNCTION("FILTER('Rankings-Men'!$E3:$E115,'Rankings-Men'!$N$3:$N115=AB$1)"),"#N/A")</f>
        <v>#N/A</v>
      </c>
      <c r="AD4" s="187" t="str">
        <f>IFERROR(__xludf.DUMMYFUNCTION("FILTER('Rankings-Men'!$L3:$L115,'Rankings-Men'!$N$3:$N115=AB$1)"),"#N/A")</f>
        <v>#N/A</v>
      </c>
      <c r="AE4" s="187" t="str">
        <f>IFERROR(__xludf.DUMMYFUNCTION("FILTER('Rankings-Men'!$M3:$M115,'Rankings-Men'!$N$3:$N115=AB$1)"),"#N/A")</f>
        <v>#N/A</v>
      </c>
      <c r="AF4" s="187" t="str">
        <f>IFERROR(__xludf.DUMMYFUNCTION("FILTER('Rankings-Men'!$A3:$A115,'Rankings-Men'!$N$3:$N115=AB$1)"),"#N/A")</f>
        <v>#N/A</v>
      </c>
      <c r="AG4" s="187" t="str">
        <f>IFERROR(__xludf.DUMMYFUNCTION("FILTER('Rankings-Men'!$B3:$B115,'Rankings-Men'!$N$3:$N115=AB$1)"),"#N/A")</f>
        <v>#N/A</v>
      </c>
      <c r="AH4" s="187">
        <f>COUNTIF('Rankings-Men'!$L:$L,AD4)</f>
        <v>0</v>
      </c>
      <c r="AI4" s="196"/>
      <c r="AJ4" s="187">
        <f t="shared" ref="AJ4:AK4" si="15">IFNA(INDEX($P$83:$Q$112,MATCH(AF4,$P$83:$P112,0),2),0)</f>
        <v>0</v>
      </c>
      <c r="AK4" s="187">
        <f t="shared" si="15"/>
        <v>0</v>
      </c>
      <c r="AL4" s="187" t="str">
        <f t="array" ref="AL4">INDEX('Rankings-Men'!$C:$C,MATCH(1,(AB4='Rankings-Men'!$D:$D)*(AC4='Rankings-Men'!$E:$E),0))</f>
        <v>#N/A</v>
      </c>
      <c r="AM4" s="188">
        <f t="shared" ref="AM4:AM15" si="30">IFNA(INDEX($P$83:$Q$112,MATCH(AL4,$P$83:$P112,0),2),0)</f>
        <v>0</v>
      </c>
      <c r="AN4" s="186" t="str">
        <f>IFERROR(__xludf.DUMMYFUNCTION("FILTER('Rankings-Men'!$D3:$D115,'Rankings-Men'!$N$3:$N115=AN$1)"),"#N/A")</f>
        <v>#N/A</v>
      </c>
      <c r="AO4" s="187" t="str">
        <f>IFERROR(__xludf.DUMMYFUNCTION("FILTER('Rankings-Men'!$E3:$E115,'Rankings-Men'!$N$3:$N115=AN$1)"),"#N/A")</f>
        <v>#N/A</v>
      </c>
      <c r="AP4" s="187" t="str">
        <f>IFERROR(__xludf.DUMMYFUNCTION("FILTER('Rankings-Men'!$L3:$L115,'Rankings-Men'!$N$3:$N115=AN$1)"),"#N/A")</f>
        <v>#N/A</v>
      </c>
      <c r="AQ4" s="187" t="str">
        <f>IFERROR(__xludf.DUMMYFUNCTION("FILTER('Rankings-Men'!$M3:$M115,'Rankings-Men'!$N$3:$N115=AN$1)"),"#N/A")</f>
        <v>#N/A</v>
      </c>
      <c r="AR4" s="187" t="str">
        <f>IFERROR(__xludf.DUMMYFUNCTION("FILTER('Rankings-Men'!$A3:$A115,'Rankings-Men'!$N$3:$N115=AN$1)"),"#N/A")</f>
        <v>#N/A</v>
      </c>
      <c r="AS4" s="187" t="str">
        <f>IFERROR(__xludf.DUMMYFUNCTION("FILTER('Rankings-Men'!$B3:$B115,'Rankings-Men'!$N$3:$N115=AN$1)"),"#N/A")</f>
        <v>#N/A</v>
      </c>
      <c r="AT4" s="187">
        <f>COUNTIF('Rankings-Men'!$L:$L,AP4)</f>
        <v>0</v>
      </c>
      <c r="AU4" s="196"/>
      <c r="AV4" s="187">
        <f t="shared" ref="AV4:AW4" si="16">IFNA(INDEX($P$83:$Q$112,MATCH(AR4,$P$83:$P112,0),2),0)</f>
        <v>0</v>
      </c>
      <c r="AW4" s="187">
        <f t="shared" si="16"/>
        <v>0</v>
      </c>
      <c r="AX4" s="187" t="str">
        <f t="array" ref="AX4">INDEX('Rankings-Men'!$C:$C,MATCH(1,(AN4='Rankings-Men'!$D:$D)*(AO4='Rankings-Men'!$E:$E),0))</f>
        <v>#N/A</v>
      </c>
      <c r="AY4" s="188">
        <f t="shared" ref="AY4:AY20" si="32">IFNA(INDEX($P$83:$Q$112,MATCH(AX4,$P$83:$P112,0),2),0)</f>
        <v>0</v>
      </c>
      <c r="AZ4" s="186" t="str">
        <f>IFERROR(__xludf.DUMMYFUNCTION("FILTER('Rankings-Men'!$D3:$D115,'Rankings-Men'!$N$3:$N115=AZ$1)"),"#N/A")</f>
        <v>#N/A</v>
      </c>
      <c r="BA4" s="187" t="str">
        <f>IFERROR(__xludf.DUMMYFUNCTION("FILTER('Rankings-Men'!$E3:$E115,'Rankings-Men'!$N$3:$N115=AZ$1)"),"#N/A")</f>
        <v>#N/A</v>
      </c>
      <c r="BB4" s="187" t="str">
        <f>IFERROR(__xludf.DUMMYFUNCTION("FILTER('Rankings-Men'!$L3:$L115,'Rankings-Men'!$N$3:$N115=AZ$1)"),"#N/A")</f>
        <v>#N/A</v>
      </c>
      <c r="BC4" s="187" t="str">
        <f>IFERROR(__xludf.DUMMYFUNCTION("FILTER('Rankings-Men'!$M3:$M115,'Rankings-Men'!$N$3:$N115=AZ$1)"),"#N/A")</f>
        <v>#N/A</v>
      </c>
      <c r="BD4" s="187" t="str">
        <f>IFERROR(__xludf.DUMMYFUNCTION("FILTER('Rankings-Men'!$A3:$A115,'Rankings-Men'!$N$3:$N115=AZ$1)"),"#N/A")</f>
        <v>#N/A</v>
      </c>
      <c r="BE4" s="187" t="str">
        <f>IFERROR(__xludf.DUMMYFUNCTION("FILTER('Rankings-Men'!$B3:$B115,'Rankings-Men'!$N$3:$N115=AZ$1)"),"#N/A")</f>
        <v>#N/A</v>
      </c>
      <c r="BF4" s="187">
        <f>COUNTIF('Rankings-Men'!$L:$L,BB4)</f>
        <v>0</v>
      </c>
      <c r="BG4" s="196" t="s">
        <v>798</v>
      </c>
      <c r="BH4" s="187">
        <f t="shared" ref="BH4:BI4" si="17">IFNA(INDEX($P$83:$Q$112,MATCH(BD4,$P$83:$P112,0),2),0)</f>
        <v>0</v>
      </c>
      <c r="BI4" s="187">
        <f t="shared" si="17"/>
        <v>0</v>
      </c>
      <c r="BJ4" s="187" t="str">
        <f t="array" ref="BJ4">INDEX('Rankings-Men'!$C:$C,MATCH(1,(AZ4='Rankings-Men'!$D:$D)*(BA4='Rankings-Men'!$E:$E),0))</f>
        <v>#N/A</v>
      </c>
      <c r="BK4" s="188">
        <f t="array" ref="BK4">IFNA(INDEX($P$83:$Q$112,MATCH(BJ4,$P$83:$P112,0),2),0)</f>
        <v>0</v>
      </c>
      <c r="BL4" s="186" t="str">
        <f>IFERROR(__xludf.DUMMYFUNCTION("FILTER('Rankings-Men'!$D3:$D115,'Rankings-Men'!$N$3:$N115=BL$1)"),"#N/A")</f>
        <v>#N/A</v>
      </c>
      <c r="BM4" s="187" t="str">
        <f>IFERROR(__xludf.DUMMYFUNCTION("FILTER('Rankings-Men'!$E3:$E115,'Rankings-Men'!$N$3:$N115=BL$1)"),"#N/A")</f>
        <v>#N/A</v>
      </c>
      <c r="BN4" s="187" t="str">
        <f>IFERROR(__xludf.DUMMYFUNCTION("FILTER('Rankings-Men'!$L3:$L115,'Rankings-Men'!$N$3:$N115=BL$1)"),"#N/A")</f>
        <v>#N/A</v>
      </c>
      <c r="BO4" s="187" t="str">
        <f>IFERROR(__xludf.DUMMYFUNCTION("FILTER('Rankings-Men'!$M3:$M115,'Rankings-Men'!$N$3:$N115=BL$1)"),"#N/A")</f>
        <v>#N/A</v>
      </c>
      <c r="BP4" s="187" t="str">
        <f>IFERROR(__xludf.DUMMYFUNCTION("FILTER('Rankings-Men'!$A3:$A115,'Rankings-Men'!$N$3:$N115=BL$1)"),"#N/A")</f>
        <v>#N/A</v>
      </c>
      <c r="BQ4" s="187" t="str">
        <f>IFERROR(__xludf.DUMMYFUNCTION("FILTER('Rankings-Men'!$B3:$B115,'Rankings-Men'!$N$3:$N115=BL$1)"),"#N/A")</f>
        <v>#N/A</v>
      </c>
      <c r="BR4" s="187">
        <f>COUNTIF('Rankings-Men'!$L:$L,BN4)</f>
        <v>0</v>
      </c>
      <c r="BS4" s="196"/>
      <c r="BT4" s="187">
        <f t="shared" ref="BT4:BU4" si="18">IFNA(INDEX($P$83:$Q$112,MATCH(BP4,$P$83:$P112,0),2),0)</f>
        <v>0</v>
      </c>
      <c r="BU4" s="187">
        <f t="shared" si="18"/>
        <v>0</v>
      </c>
      <c r="BV4" s="187" t="str">
        <f t="array" ref="BV4">INDEX('Rankings-Men'!$C:$C,MATCH(1,(BL4='Rankings-Men'!$D:$D)*(BM4='Rankings-Men'!$E:$E),0))</f>
        <v>#N/A</v>
      </c>
      <c r="BW4" s="188">
        <f t="shared" ref="BW4:BW14" si="35">IFNA(INDEX($P$83:$Q$112,MATCH(BV4,$P$83:$P112,0),2),0)</f>
        <v>0</v>
      </c>
      <c r="BX4" s="186" t="str">
        <f>IFERROR(__xludf.DUMMYFUNCTION("FILTER('Rankings-Men'!$D3:$D115,'Rankings-Men'!$N$3:$N115=BX$1)"),"#N/A")</f>
        <v>#N/A</v>
      </c>
      <c r="BY4" s="187" t="str">
        <f>IFERROR(__xludf.DUMMYFUNCTION("FILTER('Rankings-Men'!$E3:$E115,'Rankings-Men'!$N$3:$N115=BX$1)"),"#N/A")</f>
        <v>#N/A</v>
      </c>
      <c r="BZ4" s="187" t="str">
        <f>IFERROR(__xludf.DUMMYFUNCTION("FILTER('Rankings-Men'!$L3:$L115,'Rankings-Men'!$N$3:$N115=BX$1)"),"#N/A")</f>
        <v>#N/A</v>
      </c>
      <c r="CA4" s="187" t="str">
        <f>IFERROR(__xludf.DUMMYFUNCTION("FILTER('Rankings-Men'!$M3:$M115,'Rankings-Men'!$N$3:$N115=BX$1)"),"#N/A")</f>
        <v>#N/A</v>
      </c>
      <c r="CB4" s="187" t="str">
        <f>IFERROR(__xludf.DUMMYFUNCTION("FILTER('Rankings-Men'!$A3:$A115,'Rankings-Men'!$N$3:$N115=BX$1)"),"#N/A")</f>
        <v>#N/A</v>
      </c>
      <c r="CC4" s="187" t="str">
        <f>IFERROR(__xludf.DUMMYFUNCTION("FILTER('Rankings-Men'!$B3:$B115,'Rankings-Men'!$N$3:$N115=BX$1)"),"#N/A")</f>
        <v>#N/A</v>
      </c>
      <c r="CD4" s="187">
        <f>COUNTIF('Rankings-Men'!$L:$L,BZ4)</f>
        <v>0</v>
      </c>
      <c r="CE4" s="196"/>
      <c r="CF4" s="187">
        <f t="shared" ref="CF4:CG4" si="19">IFNA(INDEX($P$83:$Q$112,MATCH(CB4,$P$83:$P112,0),2),0)</f>
        <v>0</v>
      </c>
      <c r="CG4" s="187">
        <f t="shared" si="19"/>
        <v>0</v>
      </c>
      <c r="CH4" s="187" t="str">
        <f t="array" ref="CH4">INDEX('Rankings-Men'!$C:$C,MATCH(1,(BX4='Rankings-Men'!$D:$D)*(BY4='Rankings-Men'!$E:$E),0))</f>
        <v>#N/A</v>
      </c>
      <c r="CI4" s="188">
        <f t="shared" ref="CI4:CI9" si="37">IFNA(INDEX($P$83:$Q$112,MATCH(CH4,$P$83:$P112,0),2),0)</f>
        <v>0</v>
      </c>
      <c r="CJ4" s="186" t="str">
        <f>IFERROR(__xludf.DUMMYFUNCTION("FILTER('Rankings-Men'!$D3:$D115,'Rankings-Men'!$N$3:$N115=CJ$1)"),"#N/A")</f>
        <v>#N/A</v>
      </c>
      <c r="CK4" s="187" t="str">
        <f>IFERROR(__xludf.DUMMYFUNCTION("FILTER('Rankings-Men'!$E3:$E115,'Rankings-Men'!$N$3:$N115=CJ$1)"),"#N/A")</f>
        <v>#N/A</v>
      </c>
      <c r="CL4" s="187" t="str">
        <f>IFERROR(__xludf.DUMMYFUNCTION("FILTER('Rankings-Men'!$L3:$L115,'Rankings-Men'!$N$3:$N115=CJ$1)"),"#N/A")</f>
        <v>#N/A</v>
      </c>
      <c r="CM4" s="187" t="str">
        <f>IFERROR(__xludf.DUMMYFUNCTION("FILTER('Rankings-Men'!$M3:$M115,'Rankings-Men'!$N$3:$N115=CJ$1)"),"#N/A")</f>
        <v>#N/A</v>
      </c>
      <c r="CN4" s="187" t="str">
        <f>IFERROR(__xludf.DUMMYFUNCTION("FILTER('Rankings-Men'!$A3:$A115,'Rankings-Men'!$N$3:$N115=CJ$1)"),"#N/A")</f>
        <v>#N/A</v>
      </c>
      <c r="CO4" s="187" t="str">
        <f>IFERROR(__xludf.DUMMYFUNCTION("FILTER('Rankings-Men'!$B3:$B115,'Rankings-Men'!$N$3:$N115=CJ$1)"),"#N/A")</f>
        <v>#N/A</v>
      </c>
      <c r="CP4" s="187">
        <f>COUNTIF('Rankings-Men'!$L:$L,CL4)</f>
        <v>0</v>
      </c>
      <c r="CQ4" s="196"/>
      <c r="CR4" s="187">
        <f t="shared" ref="CR4:CS4" si="20">IFNA(INDEX($P$83:$Q$112,MATCH(CN4,$P$83:$P112,0),2),0)</f>
        <v>0</v>
      </c>
      <c r="CS4" s="187">
        <f t="shared" si="20"/>
        <v>0</v>
      </c>
      <c r="CT4" s="187" t="str">
        <f t="array" ref="CT4">INDEX('Rankings-Men'!$C:$C,MATCH(1,(CJ4='Rankings-Men'!$D:$D)*(CK4='Rankings-Men'!$E:$E),0))</f>
        <v>#N/A</v>
      </c>
      <c r="CU4" s="188">
        <f t="shared" ref="CU4:CU12" si="39">IFNA(INDEX($P$83:$Q$112,MATCH(CT4,$P$83:$P112,0),2),0)</f>
        <v>0</v>
      </c>
      <c r="CV4" s="186" t="str">
        <f>IFERROR(__xludf.DUMMYFUNCTION("FILTER('Rankings-Men'!$D3:$D115,'Rankings-Men'!$N$3:$N115=CV$1)"),"#N/A")</f>
        <v>#N/A</v>
      </c>
      <c r="CW4" s="187" t="str">
        <f>IFERROR(__xludf.DUMMYFUNCTION("FILTER('Rankings-Men'!$E3:$E115,'Rankings-Men'!$N$3:$N115=CV$1)"),"#N/A")</f>
        <v>#N/A</v>
      </c>
      <c r="CX4" s="187" t="str">
        <f>IFERROR(__xludf.DUMMYFUNCTION("FILTER('Rankings-Men'!$L3:$L115,'Rankings-Men'!$N$3:$N115=CV$1)"),"#N/A")</f>
        <v>#N/A</v>
      </c>
      <c r="CY4" s="187" t="str">
        <f>IFERROR(__xludf.DUMMYFUNCTION("FILTER('Rankings-Men'!$M3:$M115,'Rankings-Men'!$N$3:$N115=CV$1)"),"#N/A")</f>
        <v>#N/A</v>
      </c>
      <c r="CZ4" s="187" t="str">
        <f>IFERROR(__xludf.DUMMYFUNCTION("FILTER('Rankings-Men'!$A3:$A115,'Rankings-Men'!$N$3:$N115=CV$1)"),"#N/A")</f>
        <v>#N/A</v>
      </c>
      <c r="DA4" s="187" t="str">
        <f>IFERROR(__xludf.DUMMYFUNCTION("FILTER('Rankings-Men'!$B3:$B115,'Rankings-Men'!$N$3:$N115=CV$1)"),"#N/A")</f>
        <v>#N/A</v>
      </c>
      <c r="DB4" s="187">
        <f>COUNTIF('Rankings-Men'!$L:$L,CX4)</f>
        <v>0</v>
      </c>
      <c r="DC4" s="196" t="s">
        <v>44</v>
      </c>
      <c r="DD4" s="187">
        <f t="shared" ref="DD4:DE4" si="21">IFNA(INDEX($P$83:$Q$112,MATCH(CZ4,$P$83:$P112,0),2),0)</f>
        <v>0</v>
      </c>
      <c r="DE4" s="187">
        <f t="shared" si="21"/>
        <v>0</v>
      </c>
      <c r="DF4" s="187" t="str">
        <f t="array" ref="DF4">INDEX('Rankings-Men'!$C:$C,MATCH(1,(CV4='Rankings-Men'!$D:$D)*(CW4='Rankings-Men'!$E:$E),0))</f>
        <v>#N/A</v>
      </c>
      <c r="DG4" s="188">
        <f t="shared" ref="DG4:DG14" si="41">IFNA(INDEX($P$83:$Q$112,MATCH(DF4,$P$83:$P112,0),2),0)</f>
        <v>0</v>
      </c>
      <c r="DH4" s="186" t="str">
        <f>IFERROR(__xludf.DUMMYFUNCTION("FILTER('Rankings-Men'!$D3:$D115,'Rankings-Men'!$N$3:$N115=DH$1)"),"#N/A")</f>
        <v>#N/A</v>
      </c>
      <c r="DI4" s="187" t="str">
        <f>IFERROR(__xludf.DUMMYFUNCTION("FILTER('Rankings-Men'!$E3:$E115,'Rankings-Men'!$N$3:$N115=DH$1)"),"#N/A")</f>
        <v>#N/A</v>
      </c>
      <c r="DJ4" s="187" t="str">
        <f>IFERROR(__xludf.DUMMYFUNCTION("FILTER('Rankings-Men'!$L3:$L115,'Rankings-Men'!$N$3:$N115=DH$1)"),"#N/A")</f>
        <v>#N/A</v>
      </c>
      <c r="DK4" s="187" t="str">
        <f>IFERROR(__xludf.DUMMYFUNCTION("FILTER('Rankings-Men'!$M3:$M115,'Rankings-Men'!$N$3:$N115=DH$1)"),"#N/A")</f>
        <v>#N/A</v>
      </c>
      <c r="DL4" s="187" t="str">
        <f>IFERROR(__xludf.DUMMYFUNCTION("FILTER('Rankings-Men'!$A3:$A115,'Rankings-Men'!$N$3:$N115=DH$1)"),"#N/A")</f>
        <v>#N/A</v>
      </c>
      <c r="DM4" s="187" t="str">
        <f>IFERROR(__xludf.DUMMYFUNCTION("FILTER('Rankings-Men'!$B3:$B115,'Rankings-Men'!$N$3:$N115=DH$1)"),"#N/A")</f>
        <v>#N/A</v>
      </c>
      <c r="DN4" s="187">
        <f>COUNTIF('Rankings-Men'!$L:$L,DJ4)</f>
        <v>0</v>
      </c>
      <c r="DO4" s="196" t="s">
        <v>44</v>
      </c>
      <c r="DP4" s="187">
        <f t="shared" ref="DP4:DQ4" si="22">IFNA(INDEX($P$83:$Q$112,MATCH(DL4,$P$83:$P112,0),2),0)</f>
        <v>0</v>
      </c>
      <c r="DQ4" s="187">
        <f t="shared" si="22"/>
        <v>0</v>
      </c>
      <c r="DR4" s="187" t="str">
        <f t="array" ref="DR4">INDEX('Rankings-Men'!$C:$C,MATCH(1,(DH4='Rankings-Men'!$D:$D)*(DI4='Rankings-Men'!$E:$E),0))</f>
        <v>#N/A</v>
      </c>
      <c r="DS4" s="188">
        <f t="shared" ref="DS4:DS8" si="43">IFNA(INDEX($P$83:$Q$112,MATCH(DR4,$P$83:$P112,0),2),0)</f>
        <v>0</v>
      </c>
      <c r="DT4" s="186" t="str">
        <f>IFERROR(__xludf.DUMMYFUNCTION("FILTER('Rankings-Men'!$D3:$D115,'Rankings-Men'!$N$3:$N115=DT$1)"),"#N/A")</f>
        <v>#N/A</v>
      </c>
      <c r="DU4" s="187" t="str">
        <f>IFERROR(__xludf.DUMMYFUNCTION("FILTER('Rankings-Men'!$E3:$E115,'Rankings-Men'!$N$3:$N115=DT$1)"),"#N/A")</f>
        <v>#N/A</v>
      </c>
      <c r="DV4" s="187" t="str">
        <f>IFERROR(__xludf.DUMMYFUNCTION("FILTER('Rankings-Men'!$L3:$L115,'Rankings-Men'!$N$3:$N115=DT$1)"),"#N/A")</f>
        <v>#N/A</v>
      </c>
      <c r="DW4" s="187" t="str">
        <f>IFERROR(__xludf.DUMMYFUNCTION("FILTER('Rankings-Men'!$M3:$M115,'Rankings-Men'!$N$3:$N115=DT$1)"),"#N/A")</f>
        <v>#N/A</v>
      </c>
      <c r="DX4" s="187" t="str">
        <f>IFERROR(__xludf.DUMMYFUNCTION("FILTER('Rankings-Men'!$A3:$A115,'Rankings-Men'!$N$3:$N115=DT$1)"),"#N/A")</f>
        <v>#N/A</v>
      </c>
      <c r="DY4" s="187" t="str">
        <f>IFERROR(__xludf.DUMMYFUNCTION("FILTER('Rankings-Men'!$B3:$B115,'Rankings-Men'!$N$3:$N115=DT$1)"),"#N/A")</f>
        <v>#N/A</v>
      </c>
      <c r="DZ4" s="187">
        <f>COUNTIF('Rankings-Men'!$L:$L,DV4)</f>
        <v>0</v>
      </c>
      <c r="EA4" s="196" t="s">
        <v>44</v>
      </c>
      <c r="EB4" s="187">
        <f t="shared" ref="EB4:EC4" si="23">IFNA(INDEX($P$83:$Q$112,MATCH(DX4,$P$83:$P112,0),2),0)</f>
        <v>0</v>
      </c>
      <c r="EC4" s="187">
        <f t="shared" si="23"/>
        <v>0</v>
      </c>
      <c r="ED4" s="187" t="str">
        <f t="array" ref="ED4">INDEX('Rankings-Men'!$C:$C,MATCH(1,(DT4='Rankings-Men'!$D:$D)*(DU4='Rankings-Men'!$E:$E),0))</f>
        <v>#N/A</v>
      </c>
      <c r="EE4" s="188">
        <f t="shared" ref="EE4:EE10" si="45">IFNA(INDEX($P$83:$Q$112,MATCH(ED4,$P$83:$P112,0),2),0)</f>
        <v>0</v>
      </c>
      <c r="EF4" s="186" t="str">
        <f>IFERROR(__xludf.DUMMYFUNCTION("FILTER('Rankings-Men'!$D3:$D115,'Rankings-Men'!$N$3:$N115=EF$1)"),"#N/A")</f>
        <v>#N/A</v>
      </c>
      <c r="EG4" s="187" t="str">
        <f>IFERROR(__xludf.DUMMYFUNCTION("FILTER('Rankings-Men'!$E3:$E115,'Rankings-Men'!$N$3:$N115=EF$1)"),"#N/A")</f>
        <v>#N/A</v>
      </c>
      <c r="EH4" s="187" t="str">
        <f>IFERROR(__xludf.DUMMYFUNCTION("FILTER('Rankings-Men'!$L3:$L115,'Rankings-Men'!$N$3:$N115=EF$1)"),"#N/A")</f>
        <v>#N/A</v>
      </c>
      <c r="EI4" s="187" t="str">
        <f>IFERROR(__xludf.DUMMYFUNCTION("FILTER('Rankings-Men'!$M3:$M115,'Rankings-Men'!$N$3:$N115=EF$1)"),"#N/A")</f>
        <v>#N/A</v>
      </c>
      <c r="EJ4" s="187" t="str">
        <f>IFERROR(__xludf.DUMMYFUNCTION("FILTER('Rankings-Men'!$A3:$A115,'Rankings-Men'!$N$3:$N115=EF$1)"),"#N/A")</f>
        <v>#N/A</v>
      </c>
      <c r="EK4" s="187" t="str">
        <f>IFERROR(__xludf.DUMMYFUNCTION("FILTER('Rankings-Men'!$B3:$B115,'Rankings-Men'!$N$3:$N115=EF$1)"),"#N/A")</f>
        <v>#N/A</v>
      </c>
      <c r="EL4" s="187">
        <f>COUNTIF('Rankings-Men'!$L:$L,EH4)</f>
        <v>0</v>
      </c>
      <c r="EM4" s="196" t="s">
        <v>44</v>
      </c>
      <c r="EN4" s="187">
        <f t="shared" ref="EN4:EO4" si="24">IFNA(INDEX($P$83:$Q$112,MATCH(EJ4,$P$83:$P112,0),2),0)</f>
        <v>0</v>
      </c>
      <c r="EO4" s="187">
        <f t="shared" si="24"/>
        <v>0</v>
      </c>
      <c r="EP4" s="187" t="str">
        <f t="array" ref="EP4">INDEX('Rankings-Men'!$C:$C,MATCH(1,(EF4='Rankings-Men'!$D:$D)*(EG4='Rankings-Men'!$E:$E),0))</f>
        <v>#N/A</v>
      </c>
      <c r="EQ4" s="188">
        <f t="shared" ref="EQ4:EQ9" si="47">IFNA(INDEX($P$83:$Q$112,MATCH(EP4,$P$83:$P112,0),2),0)</f>
        <v>0</v>
      </c>
    </row>
    <row r="5">
      <c r="A5" s="190" t="s">
        <v>784</v>
      </c>
      <c r="B5" s="187">
        <f>'Team Scoring-Men'!midlandwpot</f>
        <v>0</v>
      </c>
      <c r="C5" s="188">
        <f>'Team Scoring-Men'!midlandwactual</f>
        <v>0</v>
      </c>
      <c r="D5" s="186"/>
      <c r="E5" s="66"/>
      <c r="F5" s="187"/>
      <c r="G5" s="187"/>
      <c r="H5" s="187"/>
      <c r="I5" s="187"/>
      <c r="J5" s="187">
        <f>COUNTIF('Rankings-Men'!$L:$L,F5)</f>
        <v>0</v>
      </c>
      <c r="K5" s="196"/>
      <c r="L5" s="187">
        <f t="shared" ref="L5:M5" si="25">IFNA(INDEX($P$83:$Q$112,MATCH(H5,$P$83:$P113,0),2),0)</f>
        <v>0</v>
      </c>
      <c r="M5" s="187">
        <f t="shared" si="25"/>
        <v>0</v>
      </c>
      <c r="N5" s="187" t="str">
        <f t="array" ref="N5">INDEX('Rankings-Men'!$C:$C,MATCH(1,(D5='Rankings-Men'!$D:$D)*(E5='Rankings-Men'!$E:$E),0))</f>
        <v/>
      </c>
      <c r="O5" s="188">
        <f t="shared" si="26"/>
        <v>0</v>
      </c>
      <c r="P5" s="186"/>
      <c r="Q5" s="187"/>
      <c r="R5" s="187"/>
      <c r="S5" s="187"/>
      <c r="T5" s="187"/>
      <c r="U5" s="187"/>
      <c r="V5" s="187">
        <f>COUNTIF('Rankings-Men'!$L:$L,R5)</f>
        <v>0</v>
      </c>
      <c r="W5" s="196"/>
      <c r="X5" s="187">
        <f t="shared" ref="X5:Y5" si="27">IFNA(INDEX($P$83:$Q$112,MATCH(T5,$P$83:$P113,0),2),0)</f>
        <v>0</v>
      </c>
      <c r="Y5" s="187">
        <f t="shared" si="27"/>
        <v>0</v>
      </c>
      <c r="Z5" s="187" t="str">
        <f t="array" ref="Z5">INDEX('Rankings-Men'!$C:$C,MATCH(1,(P5='Rankings-Men'!$D:$D)*(Q5='Rankings-Men'!$E:$E),0))</f>
        <v/>
      </c>
      <c r="AA5" s="188">
        <f t="shared" si="28"/>
        <v>0</v>
      </c>
      <c r="AB5" s="186"/>
      <c r="AC5" s="187"/>
      <c r="AD5" s="187"/>
      <c r="AE5" s="187"/>
      <c r="AF5" s="187"/>
      <c r="AG5" s="187"/>
      <c r="AH5" s="187">
        <f>COUNTIF('Rankings-Men'!$L:$L,AD5)</f>
        <v>0</v>
      </c>
      <c r="AI5" s="196"/>
      <c r="AJ5" s="187">
        <f t="shared" ref="AJ5:AK5" si="29">IFNA(INDEX($P$83:$Q$112,MATCH(AF5,$P$83:$P113,0),2),0)</f>
        <v>0</v>
      </c>
      <c r="AK5" s="187">
        <f t="shared" si="29"/>
        <v>0</v>
      </c>
      <c r="AL5" s="187" t="str">
        <f t="array" ref="AL5">INDEX('Rankings-Men'!$C:$C,MATCH(1,(AB5='Rankings-Men'!$D:$D)*(AC5='Rankings-Men'!$E:$E),0))</f>
        <v/>
      </c>
      <c r="AM5" s="188">
        <f t="shared" si="30"/>
        <v>0</v>
      </c>
      <c r="AN5" s="186"/>
      <c r="AO5" s="187"/>
      <c r="AP5" s="187"/>
      <c r="AQ5" s="187"/>
      <c r="AR5" s="187"/>
      <c r="AS5" s="187"/>
      <c r="AT5" s="187">
        <f>COUNTIF('Rankings-Men'!$L:$L,AP5)</f>
        <v>0</v>
      </c>
      <c r="AU5" s="196"/>
      <c r="AV5" s="187">
        <f t="shared" ref="AV5:AW5" si="31">IFNA(INDEX($P$83:$Q$112,MATCH(AR5,$P$83:$P113,0),2),0)</f>
        <v>0</v>
      </c>
      <c r="AW5" s="187">
        <f t="shared" si="31"/>
        <v>0</v>
      </c>
      <c r="AX5" s="187" t="str">
        <f t="array" ref="AX5">INDEX('Rankings-Men'!$C:$C,MATCH(1,(AN5='Rankings-Men'!$D:$D)*(AO5='Rankings-Men'!$E:$E),0))</f>
        <v/>
      </c>
      <c r="AY5" s="188">
        <f t="shared" si="32"/>
        <v>0</v>
      </c>
      <c r="AZ5" s="186"/>
      <c r="BA5" s="187"/>
      <c r="BB5" s="187"/>
      <c r="BC5" s="187"/>
      <c r="BD5" s="187"/>
      <c r="BE5" s="187"/>
      <c r="BF5" s="187">
        <f>COUNTIF('Rankings-Men'!$L:$L,BB5)</f>
        <v>0</v>
      </c>
      <c r="BG5" s="196"/>
      <c r="BH5" s="187">
        <f t="shared" ref="BH5:BI5" si="33">IFNA(INDEX($P$83:$Q$112,MATCH(BD5,$P$83:$P113,0),2),0)</f>
        <v>0</v>
      </c>
      <c r="BI5" s="187">
        <f t="shared" si="33"/>
        <v>0</v>
      </c>
      <c r="BJ5" s="187"/>
      <c r="BK5" s="188"/>
      <c r="BL5" s="186"/>
      <c r="BM5" s="187"/>
      <c r="BN5" s="187"/>
      <c r="BO5" s="187"/>
      <c r="BP5" s="187"/>
      <c r="BQ5" s="187"/>
      <c r="BR5" s="187">
        <f>COUNTIF('Rankings-Men'!$L:$L,BN5)</f>
        <v>0</v>
      </c>
      <c r="BS5" s="196"/>
      <c r="BT5" s="187">
        <f t="shared" ref="BT5:BU5" si="34">IFNA(INDEX($P$83:$Q$112,MATCH(BP5,$P$83:$P113,0),2),0)</f>
        <v>0</v>
      </c>
      <c r="BU5" s="187">
        <f t="shared" si="34"/>
        <v>0</v>
      </c>
      <c r="BV5" s="187" t="str">
        <f t="array" ref="BV5">INDEX('Rankings-Men'!$C:$C,MATCH(1,(BL5='Rankings-Men'!$D:$D)*(BM5='Rankings-Men'!$E:$E),0))</f>
        <v/>
      </c>
      <c r="BW5" s="188">
        <f t="shared" si="35"/>
        <v>0</v>
      </c>
      <c r="BX5" s="186"/>
      <c r="BY5" s="187"/>
      <c r="BZ5" s="187"/>
      <c r="CA5" s="187"/>
      <c r="CB5" s="187"/>
      <c r="CC5" s="187"/>
      <c r="CD5" s="187">
        <f>COUNTIF('Rankings-Men'!$L:$L,BZ5)</f>
        <v>0</v>
      </c>
      <c r="CE5" s="196"/>
      <c r="CF5" s="187">
        <f t="shared" ref="CF5:CG5" si="36">IFNA(INDEX($P$83:$Q$112,MATCH(CB5,$P$83:$P113,0),2),0)</f>
        <v>0</v>
      </c>
      <c r="CG5" s="187">
        <f t="shared" si="36"/>
        <v>0</v>
      </c>
      <c r="CH5" s="187" t="str">
        <f t="array" ref="CH5">INDEX('Rankings-Men'!$C:$C,MATCH(1,(BX5='Rankings-Men'!$D:$D)*(BY5='Rankings-Men'!$E:$E),0))</f>
        <v/>
      </c>
      <c r="CI5" s="188">
        <f t="shared" si="37"/>
        <v>0</v>
      </c>
      <c r="CJ5" s="186"/>
      <c r="CK5" s="187"/>
      <c r="CL5" s="187"/>
      <c r="CM5" s="187"/>
      <c r="CN5" s="187"/>
      <c r="CO5" s="187"/>
      <c r="CP5" s="187">
        <f>COUNTIF('Rankings-Men'!$L:$L,CL5)</f>
        <v>0</v>
      </c>
      <c r="CQ5" s="196"/>
      <c r="CR5" s="187">
        <f t="shared" ref="CR5:CS5" si="38">IFNA(INDEX($P$83:$Q$112,MATCH(CN5,$P$83:$P113,0),2),0)</f>
        <v>0</v>
      </c>
      <c r="CS5" s="187">
        <f t="shared" si="38"/>
        <v>0</v>
      </c>
      <c r="CT5" s="187" t="str">
        <f t="array" ref="CT5">INDEX('Rankings-Men'!$C:$C,MATCH(1,(CJ5='Rankings-Men'!$D:$D)*(CK5='Rankings-Men'!$E:$E),0))</f>
        <v/>
      </c>
      <c r="CU5" s="188">
        <f t="shared" si="39"/>
        <v>0</v>
      </c>
      <c r="CV5" s="186"/>
      <c r="CW5" s="187"/>
      <c r="CX5" s="187"/>
      <c r="CY5" s="187"/>
      <c r="CZ5" s="187"/>
      <c r="DA5" s="187"/>
      <c r="DB5" s="187">
        <f>COUNTIF('Rankings-Men'!$L:$L,CX5)</f>
        <v>0</v>
      </c>
      <c r="DC5" s="196" t="s">
        <v>44</v>
      </c>
      <c r="DD5" s="187">
        <f t="shared" ref="DD5:DE5" si="40">IFNA(INDEX($P$83:$Q$112,MATCH(CZ5,$P$83:$P113,0),2),0)</f>
        <v>0</v>
      </c>
      <c r="DE5" s="187">
        <f t="shared" si="40"/>
        <v>0</v>
      </c>
      <c r="DF5" s="187" t="str">
        <f t="array" ref="DF5">INDEX('Rankings-Men'!$C:$C,MATCH(1,(CV5='Rankings-Men'!$D:$D)*(CW5='Rankings-Men'!$E:$E),0))</f>
        <v/>
      </c>
      <c r="DG5" s="188">
        <f t="shared" si="41"/>
        <v>0</v>
      </c>
      <c r="DH5" s="186"/>
      <c r="DI5" s="187"/>
      <c r="DJ5" s="187"/>
      <c r="DK5" s="187"/>
      <c r="DL5" s="187"/>
      <c r="DM5" s="187"/>
      <c r="DN5" s="187">
        <f>COUNTIF('Rankings-Men'!$L:$L,DJ5)</f>
        <v>0</v>
      </c>
      <c r="DO5" s="196" t="s">
        <v>44</v>
      </c>
      <c r="DP5" s="187">
        <f t="shared" ref="DP5:DQ5" si="42">IFNA(INDEX($P$83:$Q$112,MATCH(DL5,$P$83:$P113,0),2),0)</f>
        <v>0</v>
      </c>
      <c r="DQ5" s="187">
        <f t="shared" si="42"/>
        <v>0</v>
      </c>
      <c r="DR5" s="187" t="str">
        <f t="array" ref="DR5">INDEX('Rankings-Men'!$C:$C,MATCH(1,(DH5='Rankings-Men'!$D:$D)*(DI5='Rankings-Men'!$E:$E),0))</f>
        <v/>
      </c>
      <c r="DS5" s="188">
        <f t="shared" si="43"/>
        <v>0</v>
      </c>
      <c r="DT5" s="186"/>
      <c r="DU5" s="187"/>
      <c r="DV5" s="187"/>
      <c r="DW5" s="187"/>
      <c r="DX5" s="187"/>
      <c r="DY5" s="187"/>
      <c r="DZ5" s="187">
        <f>COUNTIF('Rankings-Men'!$L:$L,DV5)</f>
        <v>0</v>
      </c>
      <c r="EA5" s="196" t="s">
        <v>44</v>
      </c>
      <c r="EB5" s="187">
        <f t="shared" ref="EB5:EC5" si="44">IFNA(INDEX($P$83:$Q$112,MATCH(DX5,$P$83:$P113,0),2),0)</f>
        <v>0</v>
      </c>
      <c r="EC5" s="187">
        <f t="shared" si="44"/>
        <v>0</v>
      </c>
      <c r="ED5" s="187" t="str">
        <f t="array" ref="ED5">INDEX('Rankings-Men'!$C:$C,MATCH(1,(DT5='Rankings-Men'!$D:$D)*(DU5='Rankings-Men'!$E:$E),0))</f>
        <v/>
      </c>
      <c r="EE5" s="188">
        <f t="shared" si="45"/>
        <v>0</v>
      </c>
      <c r="EF5" s="186"/>
      <c r="EG5" s="187"/>
      <c r="EH5" s="187"/>
      <c r="EI5" s="187"/>
      <c r="EJ5" s="187"/>
      <c r="EK5" s="187"/>
      <c r="EL5" s="187">
        <f>COUNTIF('Rankings-Men'!$L:$L,EH5)</f>
        <v>0</v>
      </c>
      <c r="EM5" s="196" t="s">
        <v>44</v>
      </c>
      <c r="EN5" s="187">
        <f t="shared" ref="EN5:EO5" si="46">IFNA(INDEX($P$83:$Q$112,MATCH(EJ5,$P$83:$P113,0),2),0)</f>
        <v>0</v>
      </c>
      <c r="EO5" s="187">
        <f t="shared" si="46"/>
        <v>0</v>
      </c>
      <c r="EP5" s="187" t="str">
        <f t="array" ref="EP5">INDEX('Rankings-Men'!$C:$C,MATCH(1,(EF5='Rankings-Men'!$D:$D)*(EG5='Rankings-Men'!$E:$E),0))</f>
        <v/>
      </c>
      <c r="EQ5" s="188">
        <f t="shared" si="47"/>
        <v>0</v>
      </c>
    </row>
    <row r="6">
      <c r="A6" s="189" t="s">
        <v>790</v>
      </c>
      <c r="B6" s="187">
        <f>'Team Scoring-Men'!utsawpot</f>
        <v>0</v>
      </c>
      <c r="C6" s="188">
        <f>'Team Scoring-Men'!utsawact</f>
        <v>0</v>
      </c>
      <c r="D6" s="186"/>
      <c r="E6" s="66"/>
      <c r="F6" s="187"/>
      <c r="G6" s="187"/>
      <c r="H6" s="187"/>
      <c r="I6" s="187"/>
      <c r="J6" s="187">
        <f>COUNTIF('Rankings-Men'!$L:$L,F6)</f>
        <v>0</v>
      </c>
      <c r="K6" s="196"/>
      <c r="L6" s="187">
        <f t="shared" ref="L6:M6" si="48">IFNA(INDEX($P$83:$Q$112,MATCH(H6,$P$83:$P114,0),2),0)</f>
        <v>0</v>
      </c>
      <c r="M6" s="187">
        <f t="shared" si="48"/>
        <v>0</v>
      </c>
      <c r="N6" s="187" t="str">
        <f t="array" ref="N6">INDEX('Rankings-Men'!$C:$C,MATCH(1,(D6='Rankings-Men'!$D:$D)*(E6='Rankings-Men'!$E:$E),0))</f>
        <v/>
      </c>
      <c r="O6" s="188">
        <f t="shared" si="26"/>
        <v>0</v>
      </c>
      <c r="P6" s="186"/>
      <c r="Q6" s="187"/>
      <c r="R6" s="187"/>
      <c r="S6" s="187"/>
      <c r="T6" s="187"/>
      <c r="U6" s="187"/>
      <c r="V6" s="187">
        <f>COUNTIF('Rankings-Men'!$L:$L,R6)</f>
        <v>0</v>
      </c>
      <c r="W6" s="196"/>
      <c r="X6" s="187">
        <f t="shared" ref="X6:Y6" si="49">IFNA(INDEX($P$83:$Q$112,MATCH(T6,$P$83:$P114,0),2),0)</f>
        <v>0</v>
      </c>
      <c r="Y6" s="187">
        <f t="shared" si="49"/>
        <v>0</v>
      </c>
      <c r="Z6" s="187" t="str">
        <f t="array" ref="Z6">INDEX('Rankings-Men'!$C:$C,MATCH(1,(P6='Rankings-Men'!$D:$D)*(Q6='Rankings-Men'!$E:$E),0))</f>
        <v/>
      </c>
      <c r="AA6" s="188">
        <f t="shared" si="28"/>
        <v>0</v>
      </c>
      <c r="AB6" s="186"/>
      <c r="AC6" s="187"/>
      <c r="AD6" s="187"/>
      <c r="AE6" s="187"/>
      <c r="AF6" s="187"/>
      <c r="AG6" s="187"/>
      <c r="AH6" s="187">
        <f>COUNTIF('Rankings-Men'!$L:$L,AD6)</f>
        <v>0</v>
      </c>
      <c r="AI6" s="196"/>
      <c r="AJ6" s="187">
        <f t="shared" ref="AJ6:AK6" si="50">IFNA(INDEX($P$83:$Q$112,MATCH(AF6,$P$83:$P114,0),2),0)</f>
        <v>0</v>
      </c>
      <c r="AK6" s="187">
        <f t="shared" si="50"/>
        <v>0</v>
      </c>
      <c r="AL6" s="187" t="str">
        <f t="array" ref="AL6">INDEX('Rankings-Men'!$C:$C,MATCH(1,(AB6='Rankings-Men'!$D:$D)*(AC6='Rankings-Men'!$E:$E),0))</f>
        <v/>
      </c>
      <c r="AM6" s="188">
        <f t="shared" si="30"/>
        <v>0</v>
      </c>
      <c r="AN6" s="186"/>
      <c r="AO6" s="187"/>
      <c r="AP6" s="187"/>
      <c r="AQ6" s="187"/>
      <c r="AR6" s="187"/>
      <c r="AS6" s="187"/>
      <c r="AT6" s="187">
        <f>COUNTIF('Rankings-Men'!$L:$L,AP6)</f>
        <v>0</v>
      </c>
      <c r="AU6" s="196"/>
      <c r="AV6" s="187">
        <f t="shared" ref="AV6:AW6" si="51">IFNA(INDEX($P$83:$Q$112,MATCH(AR6,$P$83:$P114,0),2),0)</f>
        <v>0</v>
      </c>
      <c r="AW6" s="187">
        <f t="shared" si="51"/>
        <v>0</v>
      </c>
      <c r="AX6" s="187" t="str">
        <f t="array" ref="AX6">INDEX('Rankings-Men'!$C:$C,MATCH(1,(AN6='Rankings-Men'!$D:$D)*(AO6='Rankings-Men'!$E:$E),0))</f>
        <v/>
      </c>
      <c r="AY6" s="188">
        <f t="shared" si="32"/>
        <v>0</v>
      </c>
      <c r="AZ6" s="186"/>
      <c r="BA6" s="187"/>
      <c r="BB6" s="187"/>
      <c r="BC6" s="187"/>
      <c r="BD6" s="187"/>
      <c r="BE6" s="187"/>
      <c r="BF6" s="187">
        <f>COUNTIF('Rankings-Men'!$L:$L,BB6)</f>
        <v>0</v>
      </c>
      <c r="BG6" s="196" t="s">
        <v>798</v>
      </c>
      <c r="BH6" s="187">
        <f t="shared" ref="BH6:BI6" si="52">IFNA(INDEX($P$83:$Q$112,MATCH(BD6,$P$83:$P114,0),2),0)</f>
        <v>0</v>
      </c>
      <c r="BI6" s="187">
        <f t="shared" si="52"/>
        <v>0</v>
      </c>
      <c r="BJ6" s="187" t="str">
        <f t="array" ref="BJ6">INDEX('Rankings-Men'!$C:$C,MATCH(1,(AZ6='Rankings-Men'!$D:$D)*(BA6='Rankings-Men'!$E:$E),0))</f>
        <v/>
      </c>
      <c r="BK6" s="188">
        <f t="array" ref="BK6">IFNA(INDEX($P$83:$Q$112,MATCH(BJ6,$P$83:$P114,0),2),0)</f>
        <v>0</v>
      </c>
      <c r="BL6" s="186"/>
      <c r="BM6" s="187"/>
      <c r="BN6" s="187"/>
      <c r="BO6" s="187"/>
      <c r="BP6" s="187"/>
      <c r="BQ6" s="187"/>
      <c r="BR6" s="187">
        <f>COUNTIF('Rankings-Men'!$L:$L,BN6)</f>
        <v>0</v>
      </c>
      <c r="BS6" s="196"/>
      <c r="BT6" s="187">
        <f t="shared" ref="BT6:BU6" si="53">IFNA(INDEX($P$83:$Q$112,MATCH(BP6,$P$83:$P114,0),2),0)</f>
        <v>0</v>
      </c>
      <c r="BU6" s="187">
        <f t="shared" si="53"/>
        <v>0</v>
      </c>
      <c r="BV6" s="187" t="str">
        <f t="array" ref="BV6">INDEX('Rankings-Men'!$C:$C,MATCH(1,(BL6='Rankings-Men'!$D:$D)*(BM6='Rankings-Men'!$E:$E),0))</f>
        <v/>
      </c>
      <c r="BW6" s="188">
        <f t="shared" si="35"/>
        <v>0</v>
      </c>
      <c r="BX6" s="186"/>
      <c r="BY6" s="187"/>
      <c r="BZ6" s="187"/>
      <c r="CA6" s="187"/>
      <c r="CB6" s="187"/>
      <c r="CC6" s="187"/>
      <c r="CD6" s="187">
        <f>COUNTIF('Rankings-Men'!$L:$L,BZ6)</f>
        <v>0</v>
      </c>
      <c r="CE6" s="196"/>
      <c r="CF6" s="187">
        <f t="shared" ref="CF6:CG6" si="54">IFNA(INDEX($P$83:$Q$112,MATCH(CB6,$P$83:$P114,0),2),0)</f>
        <v>0</v>
      </c>
      <c r="CG6" s="187">
        <f t="shared" si="54"/>
        <v>0</v>
      </c>
      <c r="CH6" s="187" t="str">
        <f t="array" ref="CH6">INDEX('Rankings-Men'!$C:$C,MATCH(1,(BX6='Rankings-Men'!$D:$D)*(BY6='Rankings-Men'!$E:$E),0))</f>
        <v/>
      </c>
      <c r="CI6" s="188">
        <f t="shared" si="37"/>
        <v>0</v>
      </c>
      <c r="CJ6" s="186"/>
      <c r="CK6" s="187"/>
      <c r="CL6" s="187"/>
      <c r="CM6" s="187"/>
      <c r="CN6" s="187"/>
      <c r="CO6" s="187"/>
      <c r="CP6" s="187">
        <f>COUNTIF('Rankings-Men'!$L:$L,CL6)</f>
        <v>0</v>
      </c>
      <c r="CQ6" s="196"/>
      <c r="CR6" s="187">
        <f t="shared" ref="CR6:CS6" si="55">IFNA(INDEX($P$83:$Q$112,MATCH(CN6,$P$83:$P114,0),2),0)</f>
        <v>0</v>
      </c>
      <c r="CS6" s="187">
        <f t="shared" si="55"/>
        <v>0</v>
      </c>
      <c r="CT6" s="187" t="str">
        <f t="array" ref="CT6">INDEX('Rankings-Men'!$C:$C,MATCH(1,(CJ6='Rankings-Men'!$D:$D)*(CK6='Rankings-Men'!$E:$E),0))</f>
        <v/>
      </c>
      <c r="CU6" s="188">
        <f t="shared" si="39"/>
        <v>0</v>
      </c>
      <c r="CV6" s="186"/>
      <c r="CW6" s="187"/>
      <c r="CX6" s="187"/>
      <c r="CY6" s="187"/>
      <c r="CZ6" s="187"/>
      <c r="DA6" s="187"/>
      <c r="DB6" s="187">
        <f>COUNTIF('Rankings-Men'!$L:$L,CX6)</f>
        <v>0</v>
      </c>
      <c r="DC6" s="196" t="s">
        <v>44</v>
      </c>
      <c r="DD6" s="187">
        <f t="shared" ref="DD6:DE6" si="56">IFNA(INDEX($P$83:$Q$112,MATCH(CZ6,$P$83:$P114,0),2),0)</f>
        <v>0</v>
      </c>
      <c r="DE6" s="187">
        <f t="shared" si="56"/>
        <v>0</v>
      </c>
      <c r="DF6" s="187" t="str">
        <f t="array" ref="DF6">INDEX('Rankings-Men'!$C:$C,MATCH(1,(CV6='Rankings-Men'!$D:$D)*(CW6='Rankings-Men'!$E:$E),0))</f>
        <v/>
      </c>
      <c r="DG6" s="188">
        <f t="shared" si="41"/>
        <v>0</v>
      </c>
      <c r="DH6" s="186"/>
      <c r="DI6" s="187"/>
      <c r="DJ6" s="187"/>
      <c r="DK6" s="187"/>
      <c r="DL6" s="187"/>
      <c r="DM6" s="187"/>
      <c r="DN6" s="187">
        <f>COUNTIF('Rankings-Men'!$L:$L,DJ6)</f>
        <v>0</v>
      </c>
      <c r="DO6" s="196" t="s">
        <v>44</v>
      </c>
      <c r="DP6" s="187">
        <f t="shared" ref="DP6:DQ6" si="57">IFNA(INDEX($P$83:$Q$112,MATCH(DL6,$P$83:$P114,0),2),0)</f>
        <v>0</v>
      </c>
      <c r="DQ6" s="187">
        <f t="shared" si="57"/>
        <v>0</v>
      </c>
      <c r="DR6" s="187" t="str">
        <f t="array" ref="DR6">INDEX('Rankings-Men'!$C:$C,MATCH(1,(DH6='Rankings-Men'!$D:$D)*(DI6='Rankings-Men'!$E:$E),0))</f>
        <v/>
      </c>
      <c r="DS6" s="188">
        <f t="shared" si="43"/>
        <v>0</v>
      </c>
      <c r="DT6" s="186"/>
      <c r="DU6" s="187"/>
      <c r="DV6" s="187"/>
      <c r="DW6" s="187"/>
      <c r="DX6" s="187"/>
      <c r="DY6" s="187"/>
      <c r="DZ6" s="187">
        <f>COUNTIF('Rankings-Men'!$L:$L,DV6)</f>
        <v>0</v>
      </c>
      <c r="EA6" s="196" t="s">
        <v>44</v>
      </c>
      <c r="EB6" s="187">
        <f t="shared" ref="EB6:EC6" si="58">IFNA(INDEX($P$83:$Q$112,MATCH(DX6,$P$83:$P114,0),2),0)</f>
        <v>0</v>
      </c>
      <c r="EC6" s="187">
        <f t="shared" si="58"/>
        <v>0</v>
      </c>
      <c r="ED6" s="187" t="str">
        <f t="array" ref="ED6">INDEX('Rankings-Men'!$C:$C,MATCH(1,(DT6='Rankings-Men'!$D:$D)*(DU6='Rankings-Men'!$E:$E),0))</f>
        <v/>
      </c>
      <c r="EE6" s="188">
        <f t="shared" si="45"/>
        <v>0</v>
      </c>
      <c r="EF6" s="186"/>
      <c r="EG6" s="187"/>
      <c r="EH6" s="187"/>
      <c r="EI6" s="187"/>
      <c r="EJ6" s="187"/>
      <c r="EK6" s="187"/>
      <c r="EL6" s="187">
        <f>COUNTIF('Rankings-Men'!$L:$L,EH6)</f>
        <v>0</v>
      </c>
      <c r="EM6" s="196" t="s">
        <v>44</v>
      </c>
      <c r="EN6" s="187">
        <f t="shared" ref="EN6:EO6" si="59">IFNA(INDEX($P$83:$Q$112,MATCH(EJ6,$P$83:$P114,0),2),0)</f>
        <v>0</v>
      </c>
      <c r="EO6" s="187">
        <f t="shared" si="59"/>
        <v>0</v>
      </c>
      <c r="EP6" s="187" t="str">
        <f t="array" ref="EP6">INDEX('Rankings-Men'!$C:$C,MATCH(1,(EF6='Rankings-Men'!$D:$D)*(EG6='Rankings-Men'!$E:$E),0))</f>
        <v/>
      </c>
      <c r="EQ6" s="188">
        <f t="shared" si="47"/>
        <v>0</v>
      </c>
    </row>
    <row r="7">
      <c r="A7" s="190" t="s">
        <v>786</v>
      </c>
      <c r="B7" s="187">
        <f>'Team Scoring-Men'!ullwpot</f>
        <v>0</v>
      </c>
      <c r="C7" s="188">
        <f>'Team Scoring-Men'!ullwact</f>
        <v>0</v>
      </c>
      <c r="D7" s="186"/>
      <c r="E7" s="187"/>
      <c r="F7" s="187"/>
      <c r="G7" s="187"/>
      <c r="H7" s="187"/>
      <c r="I7" s="187"/>
      <c r="J7" s="187">
        <f>COUNTIF('Rankings-Men'!$L:$L,F7)</f>
        <v>0</v>
      </c>
      <c r="K7" s="196"/>
      <c r="L7" s="187">
        <f t="shared" ref="L7:M7" si="60">IFNA(INDEX($P$83:$Q$112,MATCH(H7,$P$83:$P115,0),2),0)</f>
        <v>0</v>
      </c>
      <c r="M7" s="187">
        <f t="shared" si="60"/>
        <v>0</v>
      </c>
      <c r="N7" s="187" t="str">
        <f t="array" ref="N7">INDEX('Rankings-Men'!$C:$C,MATCH(1,(D7='Rankings-Men'!$D:$D)*(E7='Rankings-Men'!$E:$E),0))</f>
        <v/>
      </c>
      <c r="O7" s="188">
        <f t="shared" si="26"/>
        <v>0</v>
      </c>
      <c r="P7" s="186"/>
      <c r="Q7" s="187"/>
      <c r="R7" s="187"/>
      <c r="S7" s="187"/>
      <c r="T7" s="187"/>
      <c r="U7" s="187"/>
      <c r="V7" s="187">
        <f>COUNTIF('Rankings-Men'!$L:$L,R7)</f>
        <v>0</v>
      </c>
      <c r="W7" s="196"/>
      <c r="X7" s="187">
        <f t="shared" ref="X7:Y7" si="61">IFNA(INDEX($P$83:$Q$112,MATCH(T7,$P$83:$P115,0),2),0)</f>
        <v>0</v>
      </c>
      <c r="Y7" s="187">
        <f t="shared" si="61"/>
        <v>0</v>
      </c>
      <c r="Z7" s="187" t="str">
        <f t="array" ref="Z7">INDEX('Rankings-Men'!$C:$C,MATCH(1,(P7='Rankings-Men'!$D:$D)*(Q7='Rankings-Men'!$E:$E),0))</f>
        <v/>
      </c>
      <c r="AA7" s="188">
        <f t="shared" si="28"/>
        <v>0</v>
      </c>
      <c r="AB7" s="186"/>
      <c r="AC7" s="187"/>
      <c r="AD7" s="187"/>
      <c r="AE7" s="187"/>
      <c r="AF7" s="187"/>
      <c r="AG7" s="187"/>
      <c r="AH7" s="187">
        <f>COUNTIF('Rankings-Men'!$L:$L,AD7)</f>
        <v>0</v>
      </c>
      <c r="AI7" s="196"/>
      <c r="AJ7" s="187">
        <f t="shared" ref="AJ7:AK7" si="62">IFNA(INDEX($P$83:$Q$112,MATCH(AF7,$P$83:$P115,0),2),0)</f>
        <v>0</v>
      </c>
      <c r="AK7" s="187">
        <f t="shared" si="62"/>
        <v>0</v>
      </c>
      <c r="AL7" s="187" t="str">
        <f t="array" ref="AL7">INDEX('Rankings-Men'!$C:$C,MATCH(1,(AB7='Rankings-Men'!$D:$D)*(AC7='Rankings-Men'!$E:$E),0))</f>
        <v/>
      </c>
      <c r="AM7" s="188">
        <f t="shared" si="30"/>
        <v>0</v>
      </c>
      <c r="AN7" s="186"/>
      <c r="AO7" s="187"/>
      <c r="AP7" s="187"/>
      <c r="AQ7" s="187"/>
      <c r="AR7" s="187"/>
      <c r="AS7" s="187"/>
      <c r="AT7" s="187">
        <f>COUNTIF('Rankings-Men'!$L:$L,AP7)</f>
        <v>0</v>
      </c>
      <c r="AU7" s="196"/>
      <c r="AV7" s="187">
        <f t="shared" ref="AV7:AW7" si="63">IFNA(INDEX($P$83:$Q$112,MATCH(AR7,$P$83:$P115,0),2),0)</f>
        <v>0</v>
      </c>
      <c r="AW7" s="187">
        <f t="shared" si="63"/>
        <v>0</v>
      </c>
      <c r="AX7" s="187" t="str">
        <f t="array" ref="AX7">INDEX('Rankings-Men'!$C:$C,MATCH(1,(AN7='Rankings-Men'!$D:$D)*(AO7='Rankings-Men'!$E:$E),0))</f>
        <v/>
      </c>
      <c r="AY7" s="188">
        <f t="shared" si="32"/>
        <v>0</v>
      </c>
      <c r="AZ7" s="186"/>
      <c r="BA7" s="187"/>
      <c r="BB7" s="187"/>
      <c r="BC7" s="187"/>
      <c r="BD7" s="187"/>
      <c r="BE7" s="187"/>
      <c r="BF7" s="187">
        <f>COUNTIF('Rankings-Men'!$L:$L,BB7)</f>
        <v>0</v>
      </c>
      <c r="BG7" s="196"/>
      <c r="BH7" s="187">
        <f t="shared" ref="BH7:BI7" si="64">IFNA(INDEX($P$83:$Q$112,MATCH(BD7,$P$83:$P115,0),2),0)</f>
        <v>0</v>
      </c>
      <c r="BI7" s="187">
        <f t="shared" si="64"/>
        <v>0</v>
      </c>
      <c r="BJ7" s="187"/>
      <c r="BK7" s="188"/>
      <c r="BL7" s="186"/>
      <c r="BM7" s="187"/>
      <c r="BN7" s="187"/>
      <c r="BO7" s="187"/>
      <c r="BP7" s="187"/>
      <c r="BQ7" s="187"/>
      <c r="BR7" s="187">
        <f>COUNTIF('Rankings-Men'!$L:$L,BN7)</f>
        <v>0</v>
      </c>
      <c r="BS7" s="196"/>
      <c r="BT7" s="187">
        <f t="shared" ref="BT7:BU7" si="65">IFNA(INDEX($P$83:$Q$112,MATCH(BP7,$P$83:$P115,0),2),0)</f>
        <v>0</v>
      </c>
      <c r="BU7" s="187">
        <f t="shared" si="65"/>
        <v>0</v>
      </c>
      <c r="BV7" s="187" t="str">
        <f t="array" ref="BV7">INDEX('Rankings-Men'!$C:$C,MATCH(1,(BL7='Rankings-Men'!$D:$D)*(BM7='Rankings-Men'!$E:$E),0))</f>
        <v/>
      </c>
      <c r="BW7" s="188">
        <f t="shared" si="35"/>
        <v>0</v>
      </c>
      <c r="BX7" s="186"/>
      <c r="BY7" s="187"/>
      <c r="BZ7" s="187"/>
      <c r="CA7" s="187"/>
      <c r="CB7" s="187"/>
      <c r="CC7" s="187"/>
      <c r="CD7" s="187">
        <f>COUNTIF('Rankings-Men'!$L:$L,BZ7)</f>
        <v>0</v>
      </c>
      <c r="CE7" s="196"/>
      <c r="CF7" s="187">
        <f t="shared" ref="CF7:CG7" si="66">IFNA(INDEX($P$83:$Q$112,MATCH(CB7,$P$83:$P115,0),2),0)</f>
        <v>0</v>
      </c>
      <c r="CG7" s="187">
        <f t="shared" si="66"/>
        <v>0</v>
      </c>
      <c r="CH7" s="187" t="str">
        <f t="array" ref="CH7">INDEX('Rankings-Men'!$C:$C,MATCH(1,(BX7='Rankings-Men'!$D:$D)*(BY7='Rankings-Men'!$E:$E),0))</f>
        <v/>
      </c>
      <c r="CI7" s="188">
        <f t="shared" si="37"/>
        <v>0</v>
      </c>
      <c r="CJ7" s="186"/>
      <c r="CK7" s="187"/>
      <c r="CL7" s="187"/>
      <c r="CM7" s="187"/>
      <c r="CN7" s="187"/>
      <c r="CO7" s="187"/>
      <c r="CP7" s="187">
        <f>COUNTIF('Rankings-Men'!$L:$L,CL7)</f>
        <v>0</v>
      </c>
      <c r="CQ7" s="196"/>
      <c r="CR7" s="187">
        <f t="shared" ref="CR7:CS7" si="67">IFNA(INDEX($P$83:$Q$112,MATCH(CN7,$P$83:$P115,0),2),0)</f>
        <v>0</v>
      </c>
      <c r="CS7" s="187">
        <f t="shared" si="67"/>
        <v>0</v>
      </c>
      <c r="CT7" s="187" t="str">
        <f t="array" ref="CT7">INDEX('Rankings-Men'!$C:$C,MATCH(1,(CJ7='Rankings-Men'!$D:$D)*(CK7='Rankings-Men'!$E:$E),0))</f>
        <v/>
      </c>
      <c r="CU7" s="188">
        <f t="shared" si="39"/>
        <v>0</v>
      </c>
      <c r="CV7" s="186"/>
      <c r="CW7" s="187"/>
      <c r="CX7" s="187"/>
      <c r="CY7" s="187"/>
      <c r="CZ7" s="187"/>
      <c r="DA7" s="187"/>
      <c r="DB7" s="187">
        <f>COUNTIF('Rankings-Men'!$L:$L,CX7)</f>
        <v>0</v>
      </c>
      <c r="DC7" s="196" t="s">
        <v>44</v>
      </c>
      <c r="DD7" s="187">
        <f t="shared" ref="DD7:DE7" si="68">IFNA(INDEX($P$83:$Q$112,MATCH(CZ7,$P$83:$P115,0),2),0)</f>
        <v>0</v>
      </c>
      <c r="DE7" s="187">
        <f t="shared" si="68"/>
        <v>0</v>
      </c>
      <c r="DF7" s="187" t="str">
        <f t="array" ref="DF7">INDEX('Rankings-Men'!$C:$C,MATCH(1,(CV7='Rankings-Men'!$D:$D)*(CW7='Rankings-Men'!$E:$E),0))</f>
        <v/>
      </c>
      <c r="DG7" s="188">
        <f t="shared" si="41"/>
        <v>0</v>
      </c>
      <c r="DH7" s="186"/>
      <c r="DI7" s="187"/>
      <c r="DJ7" s="187"/>
      <c r="DK7" s="187"/>
      <c r="DL7" s="187"/>
      <c r="DM7" s="187"/>
      <c r="DN7" s="187">
        <f>COUNTIF('Rankings-Men'!$L:$L,DJ7)</f>
        <v>0</v>
      </c>
      <c r="DO7" s="196" t="s">
        <v>44</v>
      </c>
      <c r="DP7" s="187">
        <f t="shared" ref="DP7:DQ7" si="69">IFNA(INDEX($P$83:$Q$112,MATCH(DL7,$P$83:$P115,0),2),0)</f>
        <v>0</v>
      </c>
      <c r="DQ7" s="187">
        <f t="shared" si="69"/>
        <v>0</v>
      </c>
      <c r="DR7" s="187" t="str">
        <f t="array" ref="DR7">INDEX('Rankings-Men'!$C:$C,MATCH(1,(DH7='Rankings-Men'!$D:$D)*(DI7='Rankings-Men'!$E:$E),0))</f>
        <v/>
      </c>
      <c r="DS7" s="188">
        <f t="shared" si="43"/>
        <v>0</v>
      </c>
      <c r="DT7" s="186"/>
      <c r="DU7" s="187"/>
      <c r="DV7" s="187"/>
      <c r="DW7" s="187"/>
      <c r="DX7" s="187"/>
      <c r="DY7" s="187"/>
      <c r="DZ7" s="187">
        <f>COUNTIF('Rankings-Men'!$L:$L,DV7)</f>
        <v>0</v>
      </c>
      <c r="EA7" s="196" t="s">
        <v>44</v>
      </c>
      <c r="EB7" s="187">
        <f t="shared" ref="EB7:EC7" si="70">IFNA(INDEX($P$83:$Q$112,MATCH(DX7,$P$83:$P115,0),2),0)</f>
        <v>0</v>
      </c>
      <c r="EC7" s="187">
        <f t="shared" si="70"/>
        <v>0</v>
      </c>
      <c r="ED7" s="187" t="str">
        <f t="array" ref="ED7">INDEX('Rankings-Men'!$C:$C,MATCH(1,(DT7='Rankings-Men'!$D:$D)*(DU7='Rankings-Men'!$E:$E),0))</f>
        <v/>
      </c>
      <c r="EE7" s="188">
        <f t="shared" si="45"/>
        <v>0</v>
      </c>
      <c r="EF7" s="186"/>
      <c r="EG7" s="187"/>
      <c r="EH7" s="187"/>
      <c r="EI7" s="187"/>
      <c r="EJ7" s="187"/>
      <c r="EK7" s="187"/>
      <c r="EL7" s="187">
        <f>COUNTIF('Rankings-Men'!$L:$L,EH7)</f>
        <v>0</v>
      </c>
      <c r="EM7" s="196" t="s">
        <v>44</v>
      </c>
      <c r="EN7" s="187">
        <f t="shared" ref="EN7:EO7" si="71">IFNA(INDEX($P$83:$Q$112,MATCH(EJ7,$P$83:$P115,0),2),0)</f>
        <v>0</v>
      </c>
      <c r="EO7" s="187">
        <f t="shared" si="71"/>
        <v>0</v>
      </c>
      <c r="EP7" s="187" t="str">
        <f t="array" ref="EP7">INDEX('Rankings-Men'!$C:$C,MATCH(1,(EF7='Rankings-Men'!$D:$D)*(EG7='Rankings-Men'!$E:$E),0))</f>
        <v/>
      </c>
      <c r="EQ7" s="188">
        <f t="shared" si="47"/>
        <v>0</v>
      </c>
    </row>
    <row r="8">
      <c r="A8" s="189" t="s">
        <v>785</v>
      </c>
      <c r="B8" s="187">
        <f>'Team Scoring-Men'!bluemtwpot</f>
        <v>0</v>
      </c>
      <c r="C8" s="188">
        <f>'Team Scoring-Men'!bluemtwact</f>
        <v>0</v>
      </c>
      <c r="D8" s="187"/>
      <c r="E8" s="66"/>
      <c r="F8" s="187"/>
      <c r="G8" s="187"/>
      <c r="H8" s="187"/>
      <c r="I8" s="187"/>
      <c r="J8" s="187">
        <f>COUNTIF('Rankings-Men'!$L:$L,F8)</f>
        <v>0</v>
      </c>
      <c r="K8" s="196"/>
      <c r="L8" s="187">
        <f t="shared" ref="L8:M8" si="72">IFNA(INDEX($P$83:$Q$112,MATCH(H8,$P$83:$P116,0),2),0)</f>
        <v>0</v>
      </c>
      <c r="M8" s="187">
        <f t="shared" si="72"/>
        <v>0</v>
      </c>
      <c r="N8" s="187" t="str">
        <f t="array" ref="N8">INDEX('Rankings-Men'!$C:$C,MATCH(1,(D8='Rankings-Men'!$D:$D)*(E8='Rankings-Men'!$E:$E),0))</f>
        <v/>
      </c>
      <c r="O8" s="188">
        <f t="shared" si="26"/>
        <v>0</v>
      </c>
      <c r="P8" s="187"/>
      <c r="Q8" s="187"/>
      <c r="R8" s="187"/>
      <c r="S8" s="187"/>
      <c r="T8" s="187"/>
      <c r="U8" s="187"/>
      <c r="V8" s="187">
        <f>COUNTIF('Rankings-Men'!$L:$L,R8)</f>
        <v>0</v>
      </c>
      <c r="W8" s="196"/>
      <c r="X8" s="187">
        <f t="shared" ref="X8:Y8" si="73">IFNA(INDEX($P$83:$Q$112,MATCH(T8,$P$83:$P116,0),2),0)</f>
        <v>0</v>
      </c>
      <c r="Y8" s="187">
        <f t="shared" si="73"/>
        <v>0</v>
      </c>
      <c r="Z8" s="187" t="str">
        <f t="array" ref="Z8">INDEX('Rankings-Men'!$C:$C,MATCH(1,(P8='Rankings-Men'!$D:$D)*(Q8='Rankings-Men'!$E:$E),0))</f>
        <v/>
      </c>
      <c r="AA8" s="188">
        <f t="shared" si="28"/>
        <v>0</v>
      </c>
      <c r="AB8" s="187"/>
      <c r="AC8" s="187"/>
      <c r="AD8" s="187"/>
      <c r="AE8" s="187"/>
      <c r="AF8" s="187"/>
      <c r="AG8" s="187"/>
      <c r="AH8" s="187">
        <f>COUNTIF('Rankings-Men'!$L:$L,AD8)</f>
        <v>0</v>
      </c>
      <c r="AI8" s="196"/>
      <c r="AJ8" s="187">
        <f t="shared" ref="AJ8:AK8" si="74">IFNA(INDEX($P$83:$Q$112,MATCH(AF8,$P$83:$P116,0),2),0)</f>
        <v>0</v>
      </c>
      <c r="AK8" s="187">
        <f t="shared" si="74"/>
        <v>0</v>
      </c>
      <c r="AL8" s="187" t="str">
        <f t="array" ref="AL8">INDEX('Rankings-Men'!$C:$C,MATCH(1,(AB8='Rankings-Men'!$D:$D)*(AC8='Rankings-Men'!$E:$E),0))</f>
        <v/>
      </c>
      <c r="AM8" s="188">
        <f t="shared" si="30"/>
        <v>0</v>
      </c>
      <c r="AN8" s="187"/>
      <c r="AO8" s="187"/>
      <c r="AP8" s="187"/>
      <c r="AQ8" s="187"/>
      <c r="AR8" s="187"/>
      <c r="AS8" s="187"/>
      <c r="AT8" s="187">
        <f>COUNTIF('Rankings-Men'!$L:$L,AP8)</f>
        <v>0</v>
      </c>
      <c r="AU8" s="196"/>
      <c r="AV8" s="187">
        <f t="shared" ref="AV8:AW8" si="75">IFNA(INDEX($P$83:$Q$112,MATCH(AR8,$P$83:$P116,0),2),0)</f>
        <v>0</v>
      </c>
      <c r="AW8" s="187">
        <f t="shared" si="75"/>
        <v>0</v>
      </c>
      <c r="AX8" s="187" t="str">
        <f t="array" ref="AX8">INDEX('Rankings-Men'!$C:$C,MATCH(1,(AN8='Rankings-Men'!$D:$D)*(AO8='Rankings-Men'!$E:$E),0))</f>
        <v/>
      </c>
      <c r="AY8" s="188">
        <f t="shared" si="32"/>
        <v>0</v>
      </c>
      <c r="AZ8" s="187"/>
      <c r="BA8" s="187"/>
      <c r="BB8" s="187"/>
      <c r="BC8" s="187"/>
      <c r="BD8" s="187"/>
      <c r="BE8" s="187"/>
      <c r="BF8" s="187">
        <f>COUNTIF('Rankings-Men'!$L:$L,BB8)</f>
        <v>0</v>
      </c>
      <c r="BG8" s="196" t="s">
        <v>798</v>
      </c>
      <c r="BH8" s="187">
        <f t="shared" ref="BH8:BI8" si="76">IFNA(INDEX($P$83:$Q$112,MATCH(BD8,$P$83:$P116,0),2),0)</f>
        <v>0</v>
      </c>
      <c r="BI8" s="187">
        <f t="shared" si="76"/>
        <v>0</v>
      </c>
      <c r="BJ8" s="187" t="str">
        <f t="array" ref="BJ8">INDEX('Rankings-Men'!$C:$C,MATCH(1,(AZ8='Rankings-Men'!$D:$D)*(BA8='Rankings-Men'!$E:$E),0))</f>
        <v/>
      </c>
      <c r="BK8" s="188">
        <f t="array" ref="BK8">IFNA(INDEX($P$83:$Q$112,MATCH(BJ8,$P$83:$P116,0),2),0)</f>
        <v>0</v>
      </c>
      <c r="BL8" s="187"/>
      <c r="BM8" s="187"/>
      <c r="BN8" s="187"/>
      <c r="BO8" s="187"/>
      <c r="BP8" s="187"/>
      <c r="BQ8" s="187"/>
      <c r="BR8" s="187">
        <f>COUNTIF('Rankings-Men'!$L:$L,BN8)</f>
        <v>0</v>
      </c>
      <c r="BS8" s="196"/>
      <c r="BT8" s="187">
        <f t="shared" ref="BT8:BU8" si="77">IFNA(INDEX($P$83:$Q$112,MATCH(BP8,$P$83:$P116,0),2),0)</f>
        <v>0</v>
      </c>
      <c r="BU8" s="187">
        <f t="shared" si="77"/>
        <v>0</v>
      </c>
      <c r="BV8" s="187" t="str">
        <f t="array" ref="BV8">INDEX('Rankings-Men'!$C:$C,MATCH(1,(BL8='Rankings-Men'!$D:$D)*(BM8='Rankings-Men'!$E:$E),0))</f>
        <v/>
      </c>
      <c r="BW8" s="188">
        <f t="shared" si="35"/>
        <v>0</v>
      </c>
      <c r="BX8" s="187"/>
      <c r="BY8" s="187"/>
      <c r="BZ8" s="187"/>
      <c r="CA8" s="187"/>
      <c r="CB8" s="187"/>
      <c r="CC8" s="187"/>
      <c r="CD8" s="187">
        <f>COUNTIF('Rankings-Men'!$L:$L,BZ8)</f>
        <v>0</v>
      </c>
      <c r="CE8" s="196"/>
      <c r="CF8" s="187">
        <f t="shared" ref="CF8:CG8" si="78">IFNA(INDEX($P$83:$Q$112,MATCH(CB8,$P$83:$P116,0),2),0)</f>
        <v>0</v>
      </c>
      <c r="CG8" s="187">
        <f t="shared" si="78"/>
        <v>0</v>
      </c>
      <c r="CH8" s="187" t="str">
        <f t="array" ref="CH8">INDEX('Rankings-Men'!$C:$C,MATCH(1,(BX8='Rankings-Men'!$D:$D)*(BY8='Rankings-Men'!$E:$E),0))</f>
        <v/>
      </c>
      <c r="CI8" s="188">
        <f t="shared" si="37"/>
        <v>0</v>
      </c>
      <c r="CJ8" s="187"/>
      <c r="CK8" s="187"/>
      <c r="CL8" s="187"/>
      <c r="CM8" s="187"/>
      <c r="CN8" s="187"/>
      <c r="CO8" s="187"/>
      <c r="CP8" s="187">
        <f>COUNTIF('Rankings-Men'!$L:$L,CL8)</f>
        <v>0</v>
      </c>
      <c r="CQ8" s="196"/>
      <c r="CR8" s="187">
        <f t="shared" ref="CR8:CS8" si="79">IFNA(INDEX($P$83:$Q$112,MATCH(CN8,$P$83:$P116,0),2),0)</f>
        <v>0</v>
      </c>
      <c r="CS8" s="187">
        <f t="shared" si="79"/>
        <v>0</v>
      </c>
      <c r="CT8" s="187" t="str">
        <f t="array" ref="CT8">INDEX('Rankings-Men'!$C:$C,MATCH(1,(CJ8='Rankings-Men'!$D:$D)*(CK8='Rankings-Men'!$E:$E),0))</f>
        <v/>
      </c>
      <c r="CU8" s="188">
        <f t="shared" si="39"/>
        <v>0</v>
      </c>
      <c r="CV8" s="187"/>
      <c r="CW8" s="187"/>
      <c r="CX8" s="187"/>
      <c r="CY8" s="187"/>
      <c r="CZ8" s="187"/>
      <c r="DA8" s="187"/>
      <c r="DB8" s="187">
        <f>COUNTIF('Rankings-Men'!$L:$L,CX8)</f>
        <v>0</v>
      </c>
      <c r="DC8" s="196" t="s">
        <v>44</v>
      </c>
      <c r="DD8" s="187">
        <f t="shared" ref="DD8:DE8" si="80">IFNA(INDEX($P$83:$Q$112,MATCH(CZ8,$P$83:$P116,0),2),0)</f>
        <v>0</v>
      </c>
      <c r="DE8" s="187">
        <f t="shared" si="80"/>
        <v>0</v>
      </c>
      <c r="DF8" s="187" t="str">
        <f t="array" ref="DF8">INDEX('Rankings-Men'!$C:$C,MATCH(1,(CV8='Rankings-Men'!$D:$D)*(CW8='Rankings-Men'!$E:$E),0))</f>
        <v/>
      </c>
      <c r="DG8" s="188">
        <f t="shared" si="41"/>
        <v>0</v>
      </c>
      <c r="DH8" s="187"/>
      <c r="DI8" s="187"/>
      <c r="DJ8" s="187"/>
      <c r="DK8" s="187"/>
      <c r="DL8" s="187"/>
      <c r="DM8" s="187"/>
      <c r="DN8" s="187">
        <f>COUNTIF('Rankings-Men'!$L:$L,DJ8)</f>
        <v>0</v>
      </c>
      <c r="DO8" s="196" t="s">
        <v>44</v>
      </c>
      <c r="DP8" s="187">
        <f t="shared" ref="DP8:DQ8" si="81">IFNA(INDEX($P$83:$Q$112,MATCH(DL8,$P$83:$P116,0),2),0)</f>
        <v>0</v>
      </c>
      <c r="DQ8" s="187">
        <f t="shared" si="81"/>
        <v>0</v>
      </c>
      <c r="DR8" s="187" t="str">
        <f t="array" ref="DR8">INDEX('Rankings-Men'!$C:$C,MATCH(1,(DH8='Rankings-Men'!$D:$D)*(DI8='Rankings-Men'!$E:$E),0))</f>
        <v/>
      </c>
      <c r="DS8" s="188">
        <f t="shared" si="43"/>
        <v>0</v>
      </c>
      <c r="DT8" s="187"/>
      <c r="DU8" s="187"/>
      <c r="DV8" s="187"/>
      <c r="DW8" s="187"/>
      <c r="DX8" s="187"/>
      <c r="DY8" s="187"/>
      <c r="DZ8" s="187">
        <f>COUNTIF('Rankings-Men'!$L:$L,DV8)</f>
        <v>0</v>
      </c>
      <c r="EA8" s="196" t="s">
        <v>44</v>
      </c>
      <c r="EB8" s="187">
        <f t="shared" ref="EB8:EC8" si="82">IFNA(INDEX($P$83:$Q$112,MATCH(DX8,$P$83:$P116,0),2),0)</f>
        <v>0</v>
      </c>
      <c r="EC8" s="187">
        <f t="shared" si="82"/>
        <v>0</v>
      </c>
      <c r="ED8" s="187" t="str">
        <f t="array" ref="ED8">INDEX('Rankings-Men'!$C:$C,MATCH(1,(DT8='Rankings-Men'!$D:$D)*(DU8='Rankings-Men'!$E:$E),0))</f>
        <v/>
      </c>
      <c r="EE8" s="188">
        <f t="shared" si="45"/>
        <v>0</v>
      </c>
      <c r="EF8" s="187"/>
      <c r="EG8" s="187"/>
      <c r="EH8" s="187"/>
      <c r="EI8" s="187"/>
      <c r="EJ8" s="187"/>
      <c r="EK8" s="187"/>
      <c r="EL8" s="187">
        <f>COUNTIF('Rankings-Men'!$L:$L,EH8)</f>
        <v>0</v>
      </c>
      <c r="EM8" s="196" t="s">
        <v>44</v>
      </c>
      <c r="EN8" s="187">
        <f t="shared" ref="EN8:EO8" si="83">IFNA(INDEX($P$83:$Q$112,MATCH(EJ8,$P$83:$P116,0),2),0)</f>
        <v>0</v>
      </c>
      <c r="EO8" s="187">
        <f t="shared" si="83"/>
        <v>0</v>
      </c>
      <c r="EP8" s="187" t="str">
        <f t="array" ref="EP8">INDEX('Rankings-Men'!$C:$C,MATCH(1,(EF8='Rankings-Men'!$D:$D)*(EG8='Rankings-Men'!$E:$E),0))</f>
        <v/>
      </c>
      <c r="EQ8" s="188">
        <f t="shared" si="47"/>
        <v>0</v>
      </c>
    </row>
    <row r="9">
      <c r="A9" s="190" t="s">
        <v>787</v>
      </c>
      <c r="B9" s="187">
        <f>'Team Scoring-Men'!amwpot</f>
        <v>0</v>
      </c>
      <c r="C9" s="188">
        <f>'Team Scoring-Men'!amwact</f>
        <v>0</v>
      </c>
      <c r="D9" s="187"/>
      <c r="E9" s="187"/>
      <c r="F9" s="187"/>
      <c r="G9" s="187"/>
      <c r="H9" s="187"/>
      <c r="I9" s="187"/>
      <c r="J9" s="187">
        <f>COUNTIF('Rankings-Men'!$L:$L,F9)</f>
        <v>0</v>
      </c>
      <c r="K9" s="196"/>
      <c r="L9" s="187">
        <f t="shared" ref="L9:M9" si="84">IFNA(INDEX($P$83:$Q$112,MATCH(H9,$P$83:$P117,0),2),0)</f>
        <v>0</v>
      </c>
      <c r="M9" s="187">
        <f t="shared" si="84"/>
        <v>0</v>
      </c>
      <c r="N9" s="187" t="str">
        <f t="array" ref="N9">INDEX('Rankings-Men'!$C:$C,MATCH(1,(D9='Rankings-Men'!$D:$D)*(E9='Rankings-Men'!$E:$E),0))</f>
        <v/>
      </c>
      <c r="O9" s="188">
        <f t="shared" si="26"/>
        <v>0</v>
      </c>
      <c r="P9" s="187"/>
      <c r="Q9" s="187"/>
      <c r="R9" s="187"/>
      <c r="S9" s="187"/>
      <c r="T9" s="187"/>
      <c r="U9" s="187"/>
      <c r="V9" s="187">
        <f>COUNTIF('Rankings-Men'!$L:$L,R9)</f>
        <v>0</v>
      </c>
      <c r="W9" s="196"/>
      <c r="X9" s="187">
        <f t="shared" ref="X9:Y9" si="85">IFNA(INDEX($P$83:$Q$112,MATCH(T9,$P$83:$P117,0),2),0)</f>
        <v>0</v>
      </c>
      <c r="Y9" s="187">
        <f t="shared" si="85"/>
        <v>0</v>
      </c>
      <c r="Z9" s="187" t="str">
        <f t="array" ref="Z9">INDEX('Rankings-Men'!$C:$C,MATCH(1,(P9='Rankings-Men'!$D:$D)*(Q9='Rankings-Men'!$E:$E),0))</f>
        <v/>
      </c>
      <c r="AA9" s="188">
        <f t="shared" si="28"/>
        <v>0</v>
      </c>
      <c r="AB9" s="187"/>
      <c r="AC9" s="187"/>
      <c r="AD9" s="187"/>
      <c r="AE9" s="187"/>
      <c r="AF9" s="187"/>
      <c r="AG9" s="187"/>
      <c r="AH9" s="187">
        <f>COUNTIF('Rankings-Men'!$L:$L,AD9)</f>
        <v>0</v>
      </c>
      <c r="AI9" s="196"/>
      <c r="AJ9" s="187">
        <f t="shared" ref="AJ9:AK9" si="86">IFNA(INDEX($P$83:$Q$112,MATCH(AF9,$P$83:$P117,0),2),0)</f>
        <v>0</v>
      </c>
      <c r="AK9" s="187">
        <f t="shared" si="86"/>
        <v>0</v>
      </c>
      <c r="AL9" s="187" t="str">
        <f t="array" ref="AL9">INDEX('Rankings-Men'!$C:$C,MATCH(1,(AB9='Rankings-Men'!$D:$D)*(AC9='Rankings-Men'!$E:$E),0))</f>
        <v/>
      </c>
      <c r="AM9" s="188">
        <f t="shared" si="30"/>
        <v>0</v>
      </c>
      <c r="AN9" s="187"/>
      <c r="AO9" s="187"/>
      <c r="AP9" s="187"/>
      <c r="AQ9" s="187"/>
      <c r="AR9" s="187"/>
      <c r="AS9" s="187"/>
      <c r="AT9" s="187">
        <f>COUNTIF('Rankings-Men'!$L:$L,AP9)</f>
        <v>0</v>
      </c>
      <c r="AU9" s="196"/>
      <c r="AV9" s="187">
        <f t="shared" ref="AV9:AW9" si="87">IFNA(INDEX($P$83:$Q$112,MATCH(AR9,$P$83:$P117,0),2),0)</f>
        <v>0</v>
      </c>
      <c r="AW9" s="187">
        <f t="shared" si="87"/>
        <v>0</v>
      </c>
      <c r="AX9" s="187" t="str">
        <f t="array" ref="AX9">INDEX('Rankings-Men'!$C:$C,MATCH(1,(AN9='Rankings-Men'!$D:$D)*(AO9='Rankings-Men'!$E:$E),0))</f>
        <v/>
      </c>
      <c r="AY9" s="188">
        <f t="shared" si="32"/>
        <v>0</v>
      </c>
      <c r="AZ9" s="187"/>
      <c r="BA9" s="187"/>
      <c r="BB9" s="187"/>
      <c r="BC9" s="187"/>
      <c r="BD9" s="187"/>
      <c r="BE9" s="187"/>
      <c r="BF9" s="187">
        <f>COUNTIF('Rankings-Men'!$L:$L,BB9)</f>
        <v>0</v>
      </c>
      <c r="BG9" s="196"/>
      <c r="BH9" s="187">
        <f t="shared" ref="BH9:BI9" si="88">IFNA(INDEX($P$83:$Q$112,MATCH(BD9,$P$83:$P117,0),2),0)</f>
        <v>0</v>
      </c>
      <c r="BI9" s="187">
        <f t="shared" si="88"/>
        <v>0</v>
      </c>
      <c r="BJ9" s="187"/>
      <c r="BK9" s="188"/>
      <c r="BL9" s="187"/>
      <c r="BM9" s="187"/>
      <c r="BN9" s="187"/>
      <c r="BO9" s="187"/>
      <c r="BP9" s="187"/>
      <c r="BQ9" s="187"/>
      <c r="BR9" s="187">
        <f>COUNTIF('Rankings-Men'!$L:$L,BN9)</f>
        <v>0</v>
      </c>
      <c r="BS9" s="196"/>
      <c r="BT9" s="187">
        <f t="shared" ref="BT9:BU9" si="89">IFNA(INDEX($P$83:$Q$112,MATCH(BP9,$P$83:$P117,0),2),0)</f>
        <v>0</v>
      </c>
      <c r="BU9" s="187">
        <f t="shared" si="89"/>
        <v>0</v>
      </c>
      <c r="BV9" s="187" t="str">
        <f t="array" ref="BV9">INDEX('Rankings-Men'!$C:$C,MATCH(1,(BL9='Rankings-Men'!$D:$D)*(BM9='Rankings-Men'!$E:$E),0))</f>
        <v/>
      </c>
      <c r="BW9" s="188">
        <f t="shared" si="35"/>
        <v>0</v>
      </c>
      <c r="BX9" s="187"/>
      <c r="BY9" s="187"/>
      <c r="BZ9" s="187"/>
      <c r="CA9" s="187"/>
      <c r="CB9" s="187"/>
      <c r="CC9" s="187"/>
      <c r="CD9" s="187">
        <f>COUNTIF('Rankings-Men'!$L:$L,BZ9)</f>
        <v>0</v>
      </c>
      <c r="CE9" s="196"/>
      <c r="CF9" s="187">
        <f t="shared" ref="CF9:CG9" si="90">IFNA(INDEX($P$83:$Q$112,MATCH(CB9,$P$83:$P117,0),2),0)</f>
        <v>0</v>
      </c>
      <c r="CG9" s="187">
        <f t="shared" si="90"/>
        <v>0</v>
      </c>
      <c r="CH9" s="187" t="str">
        <f t="array" ref="CH9">INDEX('Rankings-Men'!$C:$C,MATCH(1,(BX9='Rankings-Men'!$D:$D)*(BY9='Rankings-Men'!$E:$E),0))</f>
        <v/>
      </c>
      <c r="CI9" s="188">
        <f t="shared" si="37"/>
        <v>0</v>
      </c>
      <c r="CJ9" s="187"/>
      <c r="CK9" s="187"/>
      <c r="CL9" s="187"/>
      <c r="CM9" s="187"/>
      <c r="CN9" s="187"/>
      <c r="CO9" s="187"/>
      <c r="CP9" s="187">
        <f>COUNTIF('Rankings-Men'!$L:$L,CL9)</f>
        <v>0</v>
      </c>
      <c r="CQ9" s="196"/>
      <c r="CR9" s="187">
        <f t="shared" ref="CR9:CS9" si="91">IFNA(INDEX($P$83:$Q$112,MATCH(CN9,$P$83:$P117,0),2),0)</f>
        <v>0</v>
      </c>
      <c r="CS9" s="187">
        <f t="shared" si="91"/>
        <v>0</v>
      </c>
      <c r="CT9" s="187" t="str">
        <f t="array" ref="CT9">INDEX('Rankings-Men'!$C:$C,MATCH(1,(CJ9='Rankings-Men'!$D:$D)*(CK9='Rankings-Men'!$E:$E),0))</f>
        <v/>
      </c>
      <c r="CU9" s="188">
        <f t="shared" si="39"/>
        <v>0</v>
      </c>
      <c r="CV9" s="187"/>
      <c r="CW9" s="187"/>
      <c r="CX9" s="187"/>
      <c r="CY9" s="187"/>
      <c r="CZ9" s="187"/>
      <c r="DA9" s="187"/>
      <c r="DB9" s="187">
        <f>COUNTIF('Rankings-Men'!$L:$L,CX9)</f>
        <v>0</v>
      </c>
      <c r="DC9" s="196" t="s">
        <v>44</v>
      </c>
      <c r="DD9" s="187">
        <f t="shared" ref="DD9:DE9" si="92">IFNA(INDEX($P$83:$Q$112,MATCH(CZ9,$P$83:$P117,0),2),0)</f>
        <v>0</v>
      </c>
      <c r="DE9" s="187">
        <f t="shared" si="92"/>
        <v>0</v>
      </c>
      <c r="DF9" s="187" t="str">
        <f t="array" ref="DF9">INDEX('Rankings-Men'!$C:$C,MATCH(1,(CV9='Rankings-Men'!$D:$D)*(CW9='Rankings-Men'!$E:$E),0))</f>
        <v/>
      </c>
      <c r="DG9" s="188">
        <f t="shared" si="41"/>
        <v>0</v>
      </c>
      <c r="DH9" s="187"/>
      <c r="DI9" s="187"/>
      <c r="DJ9" s="187"/>
      <c r="DK9" s="187"/>
      <c r="DL9" s="187"/>
      <c r="DM9" s="187"/>
      <c r="DN9" s="187"/>
      <c r="DO9" s="196"/>
      <c r="DP9" s="187"/>
      <c r="DQ9" s="187"/>
      <c r="DR9" s="187" t="str">
        <f t="array" ref="DR9">INDEX('Rankings-Men'!$C:$C,MATCH(1,(DH9='Rankings-Men'!$D:$D)*(DI9='Rankings-Men'!$E:$E),0))</f>
        <v/>
      </c>
      <c r="DS9" s="188"/>
      <c r="DT9" s="187"/>
      <c r="DU9" s="187"/>
      <c r="DV9" s="187"/>
      <c r="DW9" s="187"/>
      <c r="DX9" s="187"/>
      <c r="DY9" s="187"/>
      <c r="DZ9" s="187">
        <f>COUNTIF('Rankings-Men'!$L:$L,DV9)</f>
        <v>0</v>
      </c>
      <c r="EA9" s="196" t="s">
        <v>44</v>
      </c>
      <c r="EB9" s="187">
        <f t="shared" ref="EB9:EC9" si="93">IFNA(INDEX($P$83:$Q$112,MATCH(DX9,$P$83:$P117,0),2),0)</f>
        <v>0</v>
      </c>
      <c r="EC9" s="187">
        <f t="shared" si="93"/>
        <v>0</v>
      </c>
      <c r="ED9" s="187" t="str">
        <f t="array" ref="ED9">INDEX('Rankings-Men'!$C:$C,MATCH(1,(DT9='Rankings-Men'!$D:$D)*(DU9='Rankings-Men'!$E:$E),0))</f>
        <v/>
      </c>
      <c r="EE9" s="188">
        <f t="shared" si="45"/>
        <v>0</v>
      </c>
      <c r="EF9" s="187"/>
      <c r="EG9" s="187"/>
      <c r="EH9" s="187"/>
      <c r="EI9" s="187"/>
      <c r="EJ9" s="187"/>
      <c r="EK9" s="187"/>
      <c r="EL9" s="187">
        <f>COUNTIF('Rankings-Men'!$L:$L,EH9)</f>
        <v>0</v>
      </c>
      <c r="EM9" s="196" t="s">
        <v>44</v>
      </c>
      <c r="EN9" s="187">
        <f t="shared" ref="EN9:EO9" si="94">IFNA(INDEX($P$83:$Q$112,MATCH(EJ9,$P$83:$P117,0),2),0)</f>
        <v>0</v>
      </c>
      <c r="EO9" s="187">
        <f t="shared" si="94"/>
        <v>0</v>
      </c>
      <c r="EP9" s="187" t="str">
        <f t="array" ref="EP9">INDEX('Rankings-Men'!$C:$C,MATCH(1,(EF9='Rankings-Men'!$D:$D)*(EG9='Rankings-Men'!$E:$E),0))</f>
        <v/>
      </c>
      <c r="EQ9" s="188">
        <f t="shared" si="47"/>
        <v>0</v>
      </c>
    </row>
    <row r="10">
      <c r="A10" s="190" t="s">
        <v>788</v>
      </c>
      <c r="B10" s="187">
        <f>'Team Scoring-Men'!longhornwpot</f>
        <v>0</v>
      </c>
      <c r="C10" s="188">
        <f>'Team Scoring-Men'!longhornwact</f>
        <v>0</v>
      </c>
      <c r="D10" s="187"/>
      <c r="E10" s="66"/>
      <c r="F10" s="187"/>
      <c r="G10" s="187"/>
      <c r="H10" s="187"/>
      <c r="I10" s="187"/>
      <c r="J10" s="187">
        <f>COUNTIF('Rankings-Men'!$L:$L,F10)</f>
        <v>0</v>
      </c>
      <c r="K10" s="196"/>
      <c r="L10" s="187">
        <f t="shared" ref="L10:M10" si="95">IFNA(INDEX($P$83:$Q$112,MATCH(H10,$P$83:$P118,0),2),0)</f>
        <v>0</v>
      </c>
      <c r="M10" s="187">
        <f t="shared" si="95"/>
        <v>0</v>
      </c>
      <c r="N10" s="187" t="str">
        <f t="array" ref="N10">INDEX('Rankings-Men'!$C:$C,MATCH(1,(D10='Rankings-Men'!$D:$D)*(E10='Rankings-Men'!$E:$E),0))</f>
        <v/>
      </c>
      <c r="O10" s="188">
        <f t="shared" si="26"/>
        <v>0</v>
      </c>
      <c r="P10" s="187"/>
      <c r="Q10" s="187"/>
      <c r="R10" s="187"/>
      <c r="S10" s="187"/>
      <c r="T10" s="187"/>
      <c r="U10" s="187"/>
      <c r="V10" s="187">
        <f>COUNTIF('Rankings-Men'!$L:$L,R10)</f>
        <v>0</v>
      </c>
      <c r="W10" s="196"/>
      <c r="X10" s="187">
        <f t="shared" ref="X10:Y10" si="96">IFNA(INDEX($P$83:$Q$112,MATCH(T10,$P$83:$P118,0),2),0)</f>
        <v>0</v>
      </c>
      <c r="Y10" s="187">
        <f t="shared" si="96"/>
        <v>0</v>
      </c>
      <c r="Z10" s="187" t="str">
        <f t="array" ref="Z10">INDEX('Rankings-Men'!$C:$C,MATCH(1,(P10='Rankings-Men'!$D:$D)*(Q10='Rankings-Men'!$E:$E),0))</f>
        <v/>
      </c>
      <c r="AA10" s="188">
        <f t="shared" si="28"/>
        <v>0</v>
      </c>
      <c r="AB10" s="187"/>
      <c r="AC10" s="187"/>
      <c r="AD10" s="187"/>
      <c r="AE10" s="187"/>
      <c r="AF10" s="187"/>
      <c r="AG10" s="187"/>
      <c r="AH10" s="187">
        <f>COUNTIF('Rankings-Men'!$L:$L,AD10)</f>
        <v>0</v>
      </c>
      <c r="AI10" s="196"/>
      <c r="AJ10" s="187">
        <f t="shared" ref="AJ10:AK10" si="97">IFNA(INDEX($P$83:$Q$112,MATCH(AF10,$P$83:$P118,0),2),0)</f>
        <v>0</v>
      </c>
      <c r="AK10" s="187">
        <f t="shared" si="97"/>
        <v>0</v>
      </c>
      <c r="AL10" s="187" t="str">
        <f t="array" ref="AL10">INDEX('Rankings-Men'!$C:$C,MATCH(1,(AB10='Rankings-Men'!$D:$D)*(AC10='Rankings-Men'!$E:$E),0))</f>
        <v/>
      </c>
      <c r="AM10" s="188">
        <f t="shared" si="30"/>
        <v>0</v>
      </c>
      <c r="AN10" s="187"/>
      <c r="AO10" s="187"/>
      <c r="AP10" s="187"/>
      <c r="AQ10" s="187"/>
      <c r="AR10" s="187"/>
      <c r="AS10" s="187"/>
      <c r="AT10" s="187">
        <f>COUNTIF('Rankings-Men'!$L:$L,AP10)</f>
        <v>0</v>
      </c>
      <c r="AU10" s="196"/>
      <c r="AV10" s="187">
        <f t="shared" ref="AV10:AW10" si="98">IFNA(INDEX($P$83:$Q$112,MATCH(AR10,$P$83:$P118,0),2),0)</f>
        <v>0</v>
      </c>
      <c r="AW10" s="187">
        <f t="shared" si="98"/>
        <v>0</v>
      </c>
      <c r="AX10" s="187" t="str">
        <f t="array" ref="AX10">INDEX('Rankings-Men'!$C:$C,MATCH(1,(AN10='Rankings-Men'!$D:$D)*(AO10='Rankings-Men'!$E:$E),0))</f>
        <v/>
      </c>
      <c r="AY10" s="188">
        <f t="shared" si="32"/>
        <v>0</v>
      </c>
      <c r="AZ10" s="187"/>
      <c r="BA10" s="187"/>
      <c r="BB10" s="187"/>
      <c r="BC10" s="187"/>
      <c r="BD10" s="187"/>
      <c r="BE10" s="187"/>
      <c r="BF10" s="187">
        <f>COUNTIF('Rankings-Men'!$L:$L,BB10)</f>
        <v>0</v>
      </c>
      <c r="BG10" s="196" t="s">
        <v>798</v>
      </c>
      <c r="BH10" s="187">
        <f t="shared" ref="BH10:BI10" si="99">IFNA(INDEX($P$83:$Q$112,MATCH(BD10,$P$83:$P118,0),2),0)</f>
        <v>0</v>
      </c>
      <c r="BI10" s="187">
        <f t="shared" si="99"/>
        <v>0</v>
      </c>
      <c r="BJ10" s="187" t="str">
        <f t="array" ref="BJ10">INDEX('Rankings-Men'!$C:$C,MATCH(1,(AZ10='Rankings-Men'!$D:$D)*(BA10='Rankings-Men'!$E:$E),0))</f>
        <v/>
      </c>
      <c r="BK10" s="188">
        <f t="shared" ref="BK10:BK11" si="108">IFNA(INDEX($P$83:$Q$112,MATCH(BJ10,$P$83:$P118,0),2),0)</f>
        <v>0</v>
      </c>
      <c r="BL10" s="187"/>
      <c r="BM10" s="187"/>
      <c r="BN10" s="187"/>
      <c r="BO10" s="187"/>
      <c r="BP10" s="187"/>
      <c r="BQ10" s="187"/>
      <c r="BR10" s="187">
        <f>COUNTIF('Rankings-Men'!$L:$L,BN10)</f>
        <v>0</v>
      </c>
      <c r="BS10" s="196"/>
      <c r="BT10" s="187">
        <f t="shared" ref="BT10:BU10" si="100">IFNA(INDEX($P$83:$Q$112,MATCH(BP10,$P$83:$P118,0),2),0)</f>
        <v>0</v>
      </c>
      <c r="BU10" s="187">
        <f t="shared" si="100"/>
        <v>0</v>
      </c>
      <c r="BV10" s="187" t="str">
        <f t="array" ref="BV10">INDEX('Rankings-Men'!$C:$C,MATCH(1,(BL10='Rankings-Men'!$D:$D)*(BM10='Rankings-Men'!$E:$E),0))</f>
        <v/>
      </c>
      <c r="BW10" s="188">
        <f t="shared" si="35"/>
        <v>0</v>
      </c>
      <c r="BX10" s="187"/>
      <c r="BY10" s="187"/>
      <c r="BZ10" s="187"/>
      <c r="CA10" s="187"/>
      <c r="CB10" s="187"/>
      <c r="CC10" s="187"/>
      <c r="CD10" s="187"/>
      <c r="CE10" s="196"/>
      <c r="CF10" s="187"/>
      <c r="CG10" s="187"/>
      <c r="CH10" s="187" t="str">
        <f t="array" ref="CH10">INDEX('Rankings-Men'!$C:$C,MATCH(1,(BX10='Rankings-Men'!$D:$D)*(BY10='Rankings-Men'!$E:$E),0))</f>
        <v/>
      </c>
      <c r="CI10" s="188"/>
      <c r="CJ10" s="187"/>
      <c r="CK10" s="187"/>
      <c r="CL10" s="187"/>
      <c r="CM10" s="187"/>
      <c r="CN10" s="187"/>
      <c r="CO10" s="187"/>
      <c r="CP10" s="187">
        <f>COUNTIF('Rankings-Men'!$L:$L,CL10)</f>
        <v>0</v>
      </c>
      <c r="CQ10" s="196"/>
      <c r="CR10" s="187">
        <f t="shared" ref="CR10:CS10" si="101">IFNA(INDEX($P$83:$Q$112,MATCH(CN10,$P$83:$P118,0),2),0)</f>
        <v>0</v>
      </c>
      <c r="CS10" s="187">
        <f t="shared" si="101"/>
        <v>0</v>
      </c>
      <c r="CT10" s="187" t="str">
        <f t="array" ref="CT10">INDEX('Rankings-Men'!$C:$C,MATCH(1,(CJ10='Rankings-Men'!$D:$D)*(CK10='Rankings-Men'!$E:$E),0))</f>
        <v/>
      </c>
      <c r="CU10" s="188">
        <f t="shared" si="39"/>
        <v>0</v>
      </c>
      <c r="CV10" s="187"/>
      <c r="CW10" s="187"/>
      <c r="CX10" s="187"/>
      <c r="CY10" s="187"/>
      <c r="CZ10" s="187"/>
      <c r="DA10" s="187"/>
      <c r="DB10" s="187">
        <f>COUNTIF('Rankings-Men'!$L:$L,CX10)</f>
        <v>0</v>
      </c>
      <c r="DC10" s="196" t="s">
        <v>44</v>
      </c>
      <c r="DD10" s="187">
        <f t="shared" ref="DD10:DE10" si="102">IFNA(INDEX($P$83:$Q$112,MATCH(CZ10,$P$83:$P118,0),2),0)</f>
        <v>0</v>
      </c>
      <c r="DE10" s="187">
        <f t="shared" si="102"/>
        <v>0</v>
      </c>
      <c r="DF10" s="187" t="str">
        <f t="array" ref="DF10">INDEX('Rankings-Men'!$C:$C,MATCH(1,(CV10='Rankings-Men'!$D:$D)*(CW10='Rankings-Men'!$E:$E),0))</f>
        <v/>
      </c>
      <c r="DG10" s="188">
        <f t="shared" si="41"/>
        <v>0</v>
      </c>
      <c r="DH10" s="187"/>
      <c r="DI10" s="187"/>
      <c r="DJ10" s="187"/>
      <c r="DK10" s="187"/>
      <c r="DL10" s="187"/>
      <c r="DM10" s="187"/>
      <c r="DN10" s="187"/>
      <c r="DO10" s="196"/>
      <c r="DP10" s="187"/>
      <c r="DQ10" s="187"/>
      <c r="DR10" s="187" t="str">
        <f t="array" ref="DR10">INDEX('Rankings-Men'!$C:$C,MATCH(1,(DH10='Rankings-Men'!$D:$D)*(DI10='Rankings-Men'!$E:$E),0))</f>
        <v/>
      </c>
      <c r="DS10" s="188"/>
      <c r="DT10" s="187"/>
      <c r="DU10" s="187"/>
      <c r="DV10" s="187"/>
      <c r="DW10" s="187"/>
      <c r="DX10" s="187"/>
      <c r="DY10" s="187"/>
      <c r="DZ10" s="187">
        <f>COUNTIF('Rankings-Men'!$L:$L,DV10)</f>
        <v>0</v>
      </c>
      <c r="EA10" s="196" t="s">
        <v>44</v>
      </c>
      <c r="EB10" s="187">
        <f t="shared" ref="EB10:EC10" si="103">IFNA(INDEX($P$83:$Q$112,MATCH(DX10,$P$83:$P118,0),2),0)</f>
        <v>0</v>
      </c>
      <c r="EC10" s="187">
        <f t="shared" si="103"/>
        <v>0</v>
      </c>
      <c r="ED10" s="187" t="str">
        <f t="array" ref="ED10">INDEX('Rankings-Men'!$C:$C,MATCH(1,(DT10='Rankings-Men'!$D:$D)*(DU10='Rankings-Men'!$E:$E),0))</f>
        <v/>
      </c>
      <c r="EE10" s="188">
        <f t="shared" si="45"/>
        <v>0</v>
      </c>
      <c r="EF10" s="187"/>
      <c r="EG10" s="187"/>
      <c r="EH10" s="187"/>
      <c r="EI10" s="187"/>
      <c r="EJ10" s="187"/>
      <c r="EK10" s="187"/>
      <c r="EL10" s="187"/>
      <c r="EM10" s="196"/>
      <c r="EN10" s="187"/>
      <c r="EO10" s="187"/>
      <c r="EP10" s="187" t="str">
        <f t="array" ref="EP10">INDEX('Rankings-Men'!$C:$C,MATCH(1,(EF10='Rankings-Men'!$D:$D)*(EG10='Rankings-Men'!$E:$E),0))</f>
        <v/>
      </c>
      <c r="EQ10" s="188"/>
    </row>
    <row r="11">
      <c r="A11" s="190" t="s">
        <v>792</v>
      </c>
      <c r="B11" s="187">
        <f>'Team Scoring-Men'!USnavwpot</f>
        <v>0</v>
      </c>
      <c r="C11" s="188">
        <f>'Team Scoring-Men'!usnavwact</f>
        <v>0</v>
      </c>
      <c r="D11" s="187"/>
      <c r="E11" s="66"/>
      <c r="F11" s="187"/>
      <c r="G11" s="187"/>
      <c r="H11" s="187"/>
      <c r="I11" s="187"/>
      <c r="J11" s="187">
        <f>COUNTIF('Rankings-Men'!$L:$L,F11)</f>
        <v>0</v>
      </c>
      <c r="K11" s="196"/>
      <c r="L11" s="187">
        <f t="shared" ref="L11:M11" si="104">IFNA(INDEX($P$83:$Q$112,MATCH(H11,$P$83:$P119,0),2),0)</f>
        <v>0</v>
      </c>
      <c r="M11" s="187">
        <f t="shared" si="104"/>
        <v>0</v>
      </c>
      <c r="N11" s="187" t="str">
        <f t="array" ref="N11">INDEX('Rankings-Men'!$C:$C,MATCH(1,(D11='Rankings-Men'!$D:$D)*(E11='Rankings-Men'!$E:$E),0))</f>
        <v/>
      </c>
      <c r="O11" s="188">
        <f t="shared" si="26"/>
        <v>0</v>
      </c>
      <c r="P11" s="187"/>
      <c r="Q11" s="187"/>
      <c r="R11" s="187"/>
      <c r="S11" s="187"/>
      <c r="T11" s="187"/>
      <c r="U11" s="187"/>
      <c r="V11" s="187"/>
      <c r="W11" s="196"/>
      <c r="X11" s="187"/>
      <c r="Y11" s="187"/>
      <c r="Z11" s="187" t="str">
        <f t="array" ref="Z11">INDEX('Rankings-Men'!$C:$C,MATCH(1,(P11='Rankings-Men'!$D:$D)*(Q11='Rankings-Men'!$E:$E),0))</f>
        <v/>
      </c>
      <c r="AA11" s="188"/>
      <c r="AB11" s="187"/>
      <c r="AC11" s="187"/>
      <c r="AD11" s="187"/>
      <c r="AE11" s="187"/>
      <c r="AF11" s="187"/>
      <c r="AG11" s="187"/>
      <c r="AH11" s="187">
        <f>COUNTIF('Rankings-Men'!$L:$L,AD11)</f>
        <v>0</v>
      </c>
      <c r="AI11" s="196"/>
      <c r="AJ11" s="187">
        <f t="shared" ref="AJ11:AK11" si="105">IFNA(INDEX($P$83:$Q$112,MATCH(AF11,$P$83:$P119,0),2),0)</f>
        <v>0</v>
      </c>
      <c r="AK11" s="187">
        <f t="shared" si="105"/>
        <v>0</v>
      </c>
      <c r="AL11" s="187" t="str">
        <f t="array" ref="AL11">INDEX('Rankings-Men'!$C:$C,MATCH(1,(AB11='Rankings-Men'!$D:$D)*(AC11='Rankings-Men'!$E:$E),0))</f>
        <v/>
      </c>
      <c r="AM11" s="188">
        <f t="shared" si="30"/>
        <v>0</v>
      </c>
      <c r="AN11" s="187"/>
      <c r="AO11" s="187"/>
      <c r="AP11" s="187"/>
      <c r="AQ11" s="187"/>
      <c r="AR11" s="187"/>
      <c r="AS11" s="187"/>
      <c r="AT11" s="187">
        <f>COUNTIF('Rankings-Men'!$L:$L,AP11)</f>
        <v>0</v>
      </c>
      <c r="AU11" s="196"/>
      <c r="AV11" s="187">
        <f t="shared" ref="AV11:AW11" si="106">IFNA(INDEX($P$83:$Q$112,MATCH(AR11,$P$83:$P119,0),2),0)</f>
        <v>0</v>
      </c>
      <c r="AW11" s="187">
        <f t="shared" si="106"/>
        <v>0</v>
      </c>
      <c r="AX11" s="187" t="str">
        <f t="array" ref="AX11">INDEX('Rankings-Men'!$C:$C,MATCH(1,(AN11='Rankings-Men'!$D:$D)*(AO11='Rankings-Men'!$E:$E),0))</f>
        <v/>
      </c>
      <c r="AY11" s="188">
        <f t="shared" si="32"/>
        <v>0</v>
      </c>
      <c r="AZ11" s="187"/>
      <c r="BA11" s="187"/>
      <c r="BB11" s="187"/>
      <c r="BC11" s="187"/>
      <c r="BD11" s="187"/>
      <c r="BE11" s="187"/>
      <c r="BF11" s="187">
        <f>COUNTIF('Rankings-Men'!$L:$L,BB11)</f>
        <v>0</v>
      </c>
      <c r="BG11" s="196" t="s">
        <v>798</v>
      </c>
      <c r="BH11" s="187">
        <f t="shared" ref="BH11:BI11" si="107">IFNA(INDEX($P$83:$Q$112,MATCH(BD11,$P$83:$P119,0),2),0)</f>
        <v>0</v>
      </c>
      <c r="BI11" s="187">
        <f t="shared" si="107"/>
        <v>0</v>
      </c>
      <c r="BJ11" s="187" t="str">
        <f t="array" ref="BJ11">INDEX('Rankings-Men'!$C:$C,MATCH(1,(AZ11='Rankings-Men'!$D:$D)*(BA11='Rankings-Men'!$E:$E),0))</f>
        <v/>
      </c>
      <c r="BK11" s="188">
        <f t="shared" si="108"/>
        <v>0</v>
      </c>
      <c r="BL11" s="187"/>
      <c r="BM11" s="187"/>
      <c r="BN11" s="187"/>
      <c r="BO11" s="187"/>
      <c r="BP11" s="187"/>
      <c r="BQ11" s="187"/>
      <c r="BR11" s="187">
        <f>COUNTIF('Rankings-Men'!$L:$L,BN11)</f>
        <v>0</v>
      </c>
      <c r="BS11" s="196"/>
      <c r="BT11" s="187">
        <f t="shared" ref="BT11:BU11" si="109">IFNA(INDEX($P$83:$Q$112,MATCH(BP11,$P$83:$P119,0),2),0)</f>
        <v>0</v>
      </c>
      <c r="BU11" s="187">
        <f t="shared" si="109"/>
        <v>0</v>
      </c>
      <c r="BV11" s="187" t="str">
        <f t="array" ref="BV11">INDEX('Rankings-Men'!$C:$C,MATCH(1,(BL11='Rankings-Men'!$D:$D)*(BM11='Rankings-Men'!$E:$E),0))</f>
        <v/>
      </c>
      <c r="BW11" s="188">
        <f t="shared" si="35"/>
        <v>0</v>
      </c>
      <c r="BX11" s="187"/>
      <c r="BY11" s="187"/>
      <c r="BZ11" s="187"/>
      <c r="CA11" s="187"/>
      <c r="CB11" s="187"/>
      <c r="CC11" s="187"/>
      <c r="CD11" s="187"/>
      <c r="CE11" s="196"/>
      <c r="CF11" s="187"/>
      <c r="CG11" s="187"/>
      <c r="CH11" s="187" t="str">
        <f t="array" ref="CH11">INDEX('Rankings-Men'!$C:$C,MATCH(1,(BX11='Rankings-Men'!$D:$D)*(BY11='Rankings-Men'!$E:$E),0))</f>
        <v/>
      </c>
      <c r="CI11" s="188"/>
      <c r="CJ11" s="187"/>
      <c r="CK11" s="187"/>
      <c r="CL11" s="187"/>
      <c r="CM11" s="187"/>
      <c r="CN11" s="187"/>
      <c r="CO11" s="187"/>
      <c r="CP11" s="187">
        <f>COUNTIF('Rankings-Men'!$L:$L,CL11)</f>
        <v>0</v>
      </c>
      <c r="CQ11" s="196"/>
      <c r="CR11" s="187">
        <f t="shared" ref="CR11:CS11" si="110">IFNA(INDEX($P$83:$Q$112,MATCH(CN11,$P$83:$P119,0),2),0)</f>
        <v>0</v>
      </c>
      <c r="CS11" s="187">
        <f t="shared" si="110"/>
        <v>0</v>
      </c>
      <c r="CT11" s="187" t="str">
        <f t="array" ref="CT11">INDEX('Rankings-Men'!$C:$C,MATCH(1,(CJ11='Rankings-Men'!$D:$D)*(CK11='Rankings-Men'!$E:$E),0))</f>
        <v/>
      </c>
      <c r="CU11" s="188">
        <f t="shared" si="39"/>
        <v>0</v>
      </c>
      <c r="CV11" s="187"/>
      <c r="CW11" s="187"/>
      <c r="CX11" s="187"/>
      <c r="CY11" s="187"/>
      <c r="CZ11" s="187"/>
      <c r="DA11" s="187"/>
      <c r="DB11" s="187">
        <f>COUNTIF('Rankings-Men'!$L:$L,CX11)</f>
        <v>0</v>
      </c>
      <c r="DC11" s="196"/>
      <c r="DD11" s="187">
        <f t="shared" ref="DD11:DE11" si="111">IFNA(INDEX($P$83:$Q$112,MATCH(CZ11,$P$83:$P119,0),2),0)</f>
        <v>0</v>
      </c>
      <c r="DE11" s="187">
        <f t="shared" si="111"/>
        <v>0</v>
      </c>
      <c r="DF11" s="187" t="str">
        <f t="array" ref="DF11">INDEX('Rankings-Men'!$C:$C,MATCH(1,(CV11='Rankings-Men'!$D:$D)*(CW11='Rankings-Men'!$E:$E),0))</f>
        <v/>
      </c>
      <c r="DG11" s="188">
        <f t="shared" si="41"/>
        <v>0</v>
      </c>
      <c r="DH11" s="187"/>
      <c r="DI11" s="187"/>
      <c r="DJ11" s="187"/>
      <c r="DK11" s="187"/>
      <c r="DL11" s="187"/>
      <c r="DM11" s="187"/>
      <c r="DN11" s="187"/>
      <c r="DO11" s="196"/>
      <c r="DP11" s="187"/>
      <c r="DQ11" s="187"/>
      <c r="DR11" s="187" t="str">
        <f t="array" ref="DR11">INDEX('Rankings-Men'!$C:$C,MATCH(1,(DH11='Rankings-Men'!$D:$D)*(DI11='Rankings-Men'!$E:$E),0))</f>
        <v/>
      </c>
      <c r="DS11" s="188"/>
      <c r="DT11" s="187"/>
      <c r="DU11" s="187"/>
      <c r="DV11" s="187"/>
      <c r="DW11" s="187"/>
      <c r="DX11" s="187"/>
      <c r="DY11" s="187"/>
      <c r="DZ11" s="187"/>
      <c r="EA11" s="196"/>
      <c r="EB11" s="187"/>
      <c r="EC11" s="187"/>
      <c r="ED11" s="187" t="str">
        <f t="array" ref="ED11">INDEX('Rankings-Men'!$C:$C,MATCH(1,(DT11='Rankings-Men'!$D:$D)*(DU11='Rankings-Men'!$E:$E),0))</f>
        <v/>
      </c>
      <c r="EE11" s="188"/>
      <c r="EF11" s="187"/>
      <c r="EG11" s="187"/>
      <c r="EH11" s="187"/>
      <c r="EI11" s="187"/>
      <c r="EJ11" s="187"/>
      <c r="EK11" s="187"/>
      <c r="EL11" s="187"/>
      <c r="EM11" s="196"/>
      <c r="EN11" s="187"/>
      <c r="EO11" s="187"/>
      <c r="EP11" s="187" t="str">
        <f t="array" ref="EP11">INDEX('Rankings-Men'!$C:$C,MATCH(1,(EF11='Rankings-Men'!$D:$D)*(EG11='Rankings-Men'!$E:$E),0))</f>
        <v/>
      </c>
      <c r="EQ11" s="188"/>
    </row>
    <row r="12">
      <c r="A12" s="189" t="s">
        <v>782</v>
      </c>
      <c r="B12" s="187">
        <f>'Team Scoring-Men'!nuwpot</f>
        <v>0</v>
      </c>
      <c r="C12" s="188">
        <f>'Team Scoring-Men'!nuwact</f>
        <v>0</v>
      </c>
      <c r="D12" s="187"/>
      <c r="E12" s="187"/>
      <c r="F12" s="187"/>
      <c r="G12" s="187"/>
      <c r="H12" s="187"/>
      <c r="I12" s="187"/>
      <c r="J12" s="187">
        <f>COUNTIF('Rankings-Men'!$L:$L,F12)</f>
        <v>0</v>
      </c>
      <c r="K12" s="196"/>
      <c r="L12" s="187">
        <f t="shared" ref="L12:M12" si="112">IFNA(INDEX($P$83:$Q$112,MATCH(H12,$P$83:$P120,0),2),0)</f>
        <v>0</v>
      </c>
      <c r="M12" s="187">
        <f t="shared" si="112"/>
        <v>0</v>
      </c>
      <c r="N12" s="187" t="str">
        <f t="array" ref="N12">INDEX('Rankings-Men'!$C:$C,MATCH(1,(D12='Rankings-Men'!$D:$D)*(E12='Rankings-Men'!$E:$E),0))</f>
        <v/>
      </c>
      <c r="O12" s="188">
        <f t="shared" si="26"/>
        <v>0</v>
      </c>
      <c r="P12" s="187"/>
      <c r="Q12" s="187"/>
      <c r="R12" s="187"/>
      <c r="S12" s="187"/>
      <c r="T12" s="187"/>
      <c r="U12" s="187"/>
      <c r="V12" s="187"/>
      <c r="W12" s="196"/>
      <c r="X12" s="187"/>
      <c r="Y12" s="187"/>
      <c r="Z12" s="187" t="str">
        <f t="array" ref="Z12">INDEX('Rankings-Men'!$C:$C,MATCH(1,(P12='Rankings-Men'!$D:$D)*(Q12='Rankings-Men'!$E:$E),0))</f>
        <v/>
      </c>
      <c r="AA12" s="188"/>
      <c r="AB12" s="187"/>
      <c r="AC12" s="187"/>
      <c r="AD12" s="187"/>
      <c r="AE12" s="187"/>
      <c r="AF12" s="187"/>
      <c r="AG12" s="187"/>
      <c r="AH12" s="187">
        <f>COUNTIF('Rankings-Men'!$L:$L,AD12)</f>
        <v>0</v>
      </c>
      <c r="AI12" s="196"/>
      <c r="AJ12" s="187">
        <f t="shared" ref="AJ12:AK12" si="113">IFNA(INDEX($P$83:$Q$112,MATCH(AF12,$P$83:$P120,0),2),0)</f>
        <v>0</v>
      </c>
      <c r="AK12" s="187">
        <f t="shared" si="113"/>
        <v>0</v>
      </c>
      <c r="AL12" s="187" t="str">
        <f t="array" ref="AL12">INDEX('Rankings-Men'!$C:$C,MATCH(1,(AB12='Rankings-Men'!$D:$D)*(AC12='Rankings-Men'!$E:$E),0))</f>
        <v/>
      </c>
      <c r="AM12" s="188">
        <f t="shared" si="30"/>
        <v>0</v>
      </c>
      <c r="AN12" s="187"/>
      <c r="AO12" s="187"/>
      <c r="AP12" s="187"/>
      <c r="AQ12" s="187"/>
      <c r="AR12" s="187"/>
      <c r="AS12" s="187"/>
      <c r="AT12" s="187">
        <f>COUNTIF('Rankings-Men'!$L:$L,AP12)</f>
        <v>0</v>
      </c>
      <c r="AU12" s="196"/>
      <c r="AV12" s="187">
        <f t="shared" ref="AV12:AW12" si="114">IFNA(INDEX($P$83:$Q$112,MATCH(AR12,$P$83:$P120,0),2),0)</f>
        <v>0</v>
      </c>
      <c r="AW12" s="187">
        <f t="shared" si="114"/>
        <v>0</v>
      </c>
      <c r="AX12" s="187" t="str">
        <f t="array" ref="AX12">INDEX('Rankings-Men'!$C:$C,MATCH(1,(AN12='Rankings-Men'!$D:$D)*(AO12='Rankings-Men'!$E:$E),0))</f>
        <v/>
      </c>
      <c r="AY12" s="188">
        <f t="shared" si="32"/>
        <v>0</v>
      </c>
      <c r="AZ12" s="187"/>
      <c r="BA12" s="187"/>
      <c r="BB12" s="187"/>
      <c r="BC12" s="187"/>
      <c r="BD12" s="187"/>
      <c r="BE12" s="187"/>
      <c r="BF12" s="187">
        <f>COUNTIF('Rankings-Men'!$L:$L,BB12)</f>
        <v>0</v>
      </c>
      <c r="BG12" s="196"/>
      <c r="BH12" s="187">
        <f t="shared" ref="BH12:BI12" si="115">IFNA(INDEX($P$83:$Q$112,MATCH(BD12,$P$83:$P120,0),2),0)</f>
        <v>0</v>
      </c>
      <c r="BI12" s="187">
        <f t="shared" si="115"/>
        <v>0</v>
      </c>
      <c r="BJ12" s="187"/>
      <c r="BK12" s="188"/>
      <c r="BL12" s="187"/>
      <c r="BM12" s="187"/>
      <c r="BN12" s="187"/>
      <c r="BO12" s="187"/>
      <c r="BP12" s="187"/>
      <c r="BQ12" s="187"/>
      <c r="BR12" s="187">
        <f>COUNTIF('Rankings-Men'!$L:$L,BN12)</f>
        <v>0</v>
      </c>
      <c r="BS12" s="196"/>
      <c r="BT12" s="187">
        <f t="shared" ref="BT12:BU12" si="116">IFNA(INDEX($P$83:$Q$112,MATCH(BP12,$P$83:$P120,0),2),0)</f>
        <v>0</v>
      </c>
      <c r="BU12" s="187">
        <f t="shared" si="116"/>
        <v>0</v>
      </c>
      <c r="BV12" s="187" t="str">
        <f t="array" ref="BV12">INDEX('Rankings-Men'!$C:$C,MATCH(1,(BL12='Rankings-Men'!$D:$D)*(BM12='Rankings-Men'!$E:$E),0))</f>
        <v/>
      </c>
      <c r="BW12" s="188">
        <f t="shared" si="35"/>
        <v>0</v>
      </c>
      <c r="BX12" s="187"/>
      <c r="BY12" s="187"/>
      <c r="BZ12" s="187"/>
      <c r="CA12" s="187"/>
      <c r="CB12" s="187"/>
      <c r="CC12" s="187"/>
      <c r="CD12" s="187"/>
      <c r="CE12" s="196"/>
      <c r="CF12" s="187"/>
      <c r="CG12" s="187"/>
      <c r="CH12" s="187" t="str">
        <f t="array" ref="CH12">INDEX('Rankings-Men'!$C:$C,MATCH(1,(BX12='Rankings-Men'!$D:$D)*(BY12='Rankings-Men'!$E:$E),0))</f>
        <v/>
      </c>
      <c r="CI12" s="188"/>
      <c r="CJ12" s="187"/>
      <c r="CK12" s="187"/>
      <c r="CL12" s="187"/>
      <c r="CM12" s="187"/>
      <c r="CN12" s="187"/>
      <c r="CO12" s="187"/>
      <c r="CP12" s="187">
        <f>COUNTIF('Rankings-Men'!$L:$L,CL12)</f>
        <v>0</v>
      </c>
      <c r="CQ12" s="196"/>
      <c r="CR12" s="187">
        <f t="shared" ref="CR12:CS12" si="117">IFNA(INDEX($P$83:$Q$112,MATCH(CN12,$P$83:$P120,0),2),0)</f>
        <v>0</v>
      </c>
      <c r="CS12" s="187">
        <f t="shared" si="117"/>
        <v>0</v>
      </c>
      <c r="CT12" s="187" t="str">
        <f t="array" ref="CT12">INDEX('Rankings-Men'!$C:$C,MATCH(1,(CJ12='Rankings-Men'!$D:$D)*(CK12='Rankings-Men'!$E:$E),0))</f>
        <v/>
      </c>
      <c r="CU12" s="188">
        <f t="shared" si="39"/>
        <v>0</v>
      </c>
      <c r="CV12" s="187"/>
      <c r="CW12" s="187"/>
      <c r="CX12" s="187"/>
      <c r="CY12" s="187"/>
      <c r="CZ12" s="187"/>
      <c r="DA12" s="187"/>
      <c r="DB12" s="187">
        <f>COUNTIF('Rankings-Men'!$L:$L,CX12)</f>
        <v>0</v>
      </c>
      <c r="DC12" s="196" t="s">
        <v>44</v>
      </c>
      <c r="DD12" s="187">
        <f t="shared" ref="DD12:DE12" si="118">IFNA(INDEX($P$83:$Q$112,MATCH(CZ12,$P$83:$P120,0),2),0)</f>
        <v>0</v>
      </c>
      <c r="DE12" s="187">
        <f t="shared" si="118"/>
        <v>0</v>
      </c>
      <c r="DF12" s="187" t="str">
        <f t="array" ref="DF12">INDEX('Rankings-Men'!$C:$C,MATCH(1,(CV12='Rankings-Men'!$D:$D)*(CW12='Rankings-Men'!$E:$E),0))</f>
        <v/>
      </c>
      <c r="DG12" s="188">
        <f t="shared" si="41"/>
        <v>0</v>
      </c>
      <c r="DH12" s="187"/>
      <c r="DI12" s="187"/>
      <c r="DJ12" s="187"/>
      <c r="DK12" s="187"/>
      <c r="DL12" s="187"/>
      <c r="DM12" s="187"/>
      <c r="DN12" s="187"/>
      <c r="DO12" s="196"/>
      <c r="DP12" s="187"/>
      <c r="DQ12" s="187"/>
      <c r="DR12" s="187" t="str">
        <f t="array" ref="DR12">INDEX('Rankings-Men'!$C:$C,MATCH(1,(DH12='Rankings-Men'!$D:$D)*(DI12='Rankings-Men'!$E:$E),0))</f>
        <v/>
      </c>
      <c r="DS12" s="188"/>
      <c r="DT12" s="187"/>
      <c r="DU12" s="187"/>
      <c r="DV12" s="187"/>
      <c r="DW12" s="187"/>
      <c r="DX12" s="187"/>
      <c r="DY12" s="187"/>
      <c r="DZ12" s="187"/>
      <c r="EA12" s="196"/>
      <c r="EB12" s="187"/>
      <c r="EC12" s="187"/>
      <c r="ED12" s="187" t="str">
        <f t="array" ref="ED12">INDEX('Rankings-Men'!$C:$C,MATCH(1,(DT12='Rankings-Men'!$D:$D)*(DU12='Rankings-Men'!$E:$E),0))</f>
        <v/>
      </c>
      <c r="EE12" s="188"/>
      <c r="EF12" s="187"/>
      <c r="EG12" s="187"/>
      <c r="EH12" s="187"/>
      <c r="EI12" s="187"/>
      <c r="EJ12" s="187"/>
      <c r="EK12" s="187"/>
      <c r="EL12" s="187"/>
      <c r="EM12" s="196"/>
      <c r="EN12" s="187"/>
      <c r="EO12" s="187"/>
      <c r="EP12" s="187" t="str">
        <f t="array" ref="EP12">INDEX('Rankings-Men'!$C:$C,MATCH(1,(EF12='Rankings-Men'!$D:$D)*(EG12='Rankings-Men'!$E:$E),0))</f>
        <v/>
      </c>
      <c r="EQ12" s="188"/>
    </row>
    <row r="13">
      <c r="A13" s="190" t="s">
        <v>799</v>
      </c>
      <c r="B13" s="187">
        <f>'Team Scoring-Men'!LSUwpot</f>
        <v>0</v>
      </c>
      <c r="C13" s="188">
        <f>'Team Scoring-Men'!LSUwact</f>
        <v>0</v>
      </c>
      <c r="D13" s="187"/>
      <c r="E13" s="66"/>
      <c r="F13" s="187"/>
      <c r="G13" s="187"/>
      <c r="H13" s="187"/>
      <c r="I13" s="187"/>
      <c r="J13" s="187">
        <f>COUNTIF('Rankings-Men'!$L:$L,F13)</f>
        <v>0</v>
      </c>
      <c r="K13" s="196"/>
      <c r="L13" s="187">
        <f t="shared" ref="L13:M13" si="119">IFNA(INDEX($P$83:$Q$112,MATCH(H13,$P$83:$P121,0),2),0)</f>
        <v>0</v>
      </c>
      <c r="M13" s="187">
        <f t="shared" si="119"/>
        <v>0</v>
      </c>
      <c r="N13" s="187" t="str">
        <f t="array" ref="N13">INDEX('Rankings-Men'!$C:$C,MATCH(1,(D13='Rankings-Men'!$D:$D)*(E13='Rankings-Men'!$E:$E),0))</f>
        <v/>
      </c>
      <c r="O13" s="188">
        <f t="shared" si="26"/>
        <v>0</v>
      </c>
      <c r="P13" s="187"/>
      <c r="Q13" s="187"/>
      <c r="R13" s="187"/>
      <c r="S13" s="187"/>
      <c r="T13" s="187"/>
      <c r="U13" s="187"/>
      <c r="V13" s="187"/>
      <c r="W13" s="196"/>
      <c r="X13" s="187"/>
      <c r="Y13" s="187"/>
      <c r="Z13" s="187" t="str">
        <f t="array" ref="Z13">INDEX('Rankings-Men'!$C:$C,MATCH(1,(P13='Rankings-Men'!$D:$D)*(Q13='Rankings-Men'!$E:$E),0))</f>
        <v/>
      </c>
      <c r="AA13" s="188"/>
      <c r="AB13" s="187"/>
      <c r="AC13" s="187"/>
      <c r="AD13" s="187"/>
      <c r="AE13" s="187"/>
      <c r="AF13" s="187"/>
      <c r="AG13" s="187"/>
      <c r="AH13" s="187">
        <f>COUNTIF('Rankings-Men'!$L:$L,AD13)</f>
        <v>0</v>
      </c>
      <c r="AI13" s="196"/>
      <c r="AJ13" s="187">
        <f t="shared" ref="AJ13:AK13" si="120">IFNA(INDEX($P$83:$Q$112,MATCH(AF13,$P$83:$P121,0),2),0)</f>
        <v>0</v>
      </c>
      <c r="AK13" s="187">
        <f t="shared" si="120"/>
        <v>0</v>
      </c>
      <c r="AL13" s="187" t="str">
        <f t="array" ref="AL13">INDEX('Rankings-Men'!$C:$C,MATCH(1,(AB13='Rankings-Men'!$D:$D)*(AC13='Rankings-Men'!$E:$E),0))</f>
        <v/>
      </c>
      <c r="AM13" s="188">
        <f t="shared" si="30"/>
        <v>0</v>
      </c>
      <c r="AN13" s="187"/>
      <c r="AO13" s="187"/>
      <c r="AP13" s="187"/>
      <c r="AQ13" s="187"/>
      <c r="AR13" s="187"/>
      <c r="AS13" s="187"/>
      <c r="AT13" s="187">
        <f>COUNTIF('Rankings-Men'!$L:$L,AP13)</f>
        <v>0</v>
      </c>
      <c r="AU13" s="196"/>
      <c r="AV13" s="187">
        <f t="shared" ref="AV13:AW13" si="121">IFNA(INDEX($P$83:$Q$112,MATCH(AR13,$P$83:$P121,0),2),0)</f>
        <v>0</v>
      </c>
      <c r="AW13" s="187">
        <f t="shared" si="121"/>
        <v>0</v>
      </c>
      <c r="AX13" s="187" t="str">
        <f t="array" ref="AX13">INDEX('Rankings-Men'!$C:$C,MATCH(1,(AN13='Rankings-Men'!$D:$D)*(AO13='Rankings-Men'!$E:$E),0))</f>
        <v/>
      </c>
      <c r="AY13" s="188">
        <f t="shared" si="32"/>
        <v>0</v>
      </c>
      <c r="AZ13" s="187"/>
      <c r="BA13" s="187"/>
      <c r="BB13" s="187"/>
      <c r="BC13" s="187"/>
      <c r="BD13" s="187"/>
      <c r="BE13" s="187"/>
      <c r="BF13" s="187">
        <f>COUNTIF('Rankings-Men'!$L:$L,BB13)</f>
        <v>0</v>
      </c>
      <c r="BG13" s="196" t="s">
        <v>798</v>
      </c>
      <c r="BH13" s="187">
        <f t="shared" ref="BH13:BI13" si="122">IFNA(INDEX($P$83:$Q$112,MATCH(BD13,$P$83:$P121,0),2),0)</f>
        <v>0</v>
      </c>
      <c r="BI13" s="187">
        <f t="shared" si="122"/>
        <v>0</v>
      </c>
      <c r="BJ13" s="187" t="str">
        <f t="array" ref="BJ13">INDEX('Rankings-Men'!$C:$C,MATCH(1,(AZ13='Rankings-Men'!$D:$D)*(BA13='Rankings-Men'!$E:$E),0))</f>
        <v/>
      </c>
      <c r="BK13" s="188">
        <f t="array" ref="BK13">IFNA(INDEX($P$83:$Q$112,MATCH(BJ13,$P$83:$P121,0),2),0)</f>
        <v>0</v>
      </c>
      <c r="BL13" s="187"/>
      <c r="BM13" s="187"/>
      <c r="BN13" s="187"/>
      <c r="BO13" s="187"/>
      <c r="BP13" s="187"/>
      <c r="BQ13" s="187"/>
      <c r="BR13" s="187">
        <f>COUNTIF('Rankings-Men'!$L:$L,BN13)</f>
        <v>0</v>
      </c>
      <c r="BS13" s="196"/>
      <c r="BT13" s="187">
        <f t="shared" ref="BT13:BU13" si="123">IFNA(INDEX($P$83:$Q$112,MATCH(BP13,$P$83:$P121,0),2),0)</f>
        <v>0</v>
      </c>
      <c r="BU13" s="187">
        <f t="shared" si="123"/>
        <v>0</v>
      </c>
      <c r="BV13" s="187" t="str">
        <f t="array" ref="BV13">INDEX('Rankings-Men'!$C:$C,MATCH(1,(BL13='Rankings-Men'!$D:$D)*(BM13='Rankings-Men'!$E:$E),0))</f>
        <v/>
      </c>
      <c r="BW13" s="188">
        <f t="shared" si="35"/>
        <v>0</v>
      </c>
      <c r="BX13" s="187"/>
      <c r="BY13" s="187"/>
      <c r="BZ13" s="187"/>
      <c r="CA13" s="187"/>
      <c r="CB13" s="187"/>
      <c r="CC13" s="187"/>
      <c r="CD13" s="187"/>
      <c r="CE13" s="196"/>
      <c r="CF13" s="187"/>
      <c r="CG13" s="187"/>
      <c r="CH13" s="187" t="str">
        <f t="array" ref="CH13">INDEX('Rankings-Men'!$C:$C,MATCH(1,(BX13='Rankings-Men'!$D:$D)*(BY13='Rankings-Men'!$E:$E),0))</f>
        <v/>
      </c>
      <c r="CI13" s="188"/>
      <c r="CJ13" s="187"/>
      <c r="CK13" s="187"/>
      <c r="CL13" s="187"/>
      <c r="CM13" s="187"/>
      <c r="CN13" s="187"/>
      <c r="CO13" s="187"/>
      <c r="CP13" s="187"/>
      <c r="CQ13" s="196"/>
      <c r="CR13" s="187"/>
      <c r="CS13" s="187"/>
      <c r="CT13" s="187" t="str">
        <f t="array" ref="CT13">INDEX('Rankings-Men'!$C:$C,MATCH(1,(CJ13='Rankings-Men'!$D:$D)*(CK13='Rankings-Men'!$E:$E),0))</f>
        <v/>
      </c>
      <c r="CU13" s="188"/>
      <c r="CV13" s="187"/>
      <c r="CW13" s="187"/>
      <c r="CX13" s="187"/>
      <c r="CY13" s="187"/>
      <c r="CZ13" s="187"/>
      <c r="DA13" s="187"/>
      <c r="DB13" s="187">
        <f>COUNTIF('Rankings-Men'!$L:$L,CX13)</f>
        <v>0</v>
      </c>
      <c r="DC13" s="196" t="s">
        <v>44</v>
      </c>
      <c r="DD13" s="187">
        <f t="shared" ref="DD13:DE13" si="124">IFNA(INDEX($P$83:$Q$112,MATCH(CZ13,$P$83:$P121,0),2),0)</f>
        <v>0</v>
      </c>
      <c r="DE13" s="187">
        <f t="shared" si="124"/>
        <v>0</v>
      </c>
      <c r="DF13" s="187" t="str">
        <f t="array" ref="DF13">INDEX('Rankings-Men'!$C:$C,MATCH(1,(CV13='Rankings-Men'!$D:$D)*(CW13='Rankings-Men'!$E:$E),0))</f>
        <v/>
      </c>
      <c r="DG13" s="188">
        <f t="shared" si="41"/>
        <v>0</v>
      </c>
      <c r="DH13" s="187"/>
      <c r="DI13" s="187"/>
      <c r="DJ13" s="187"/>
      <c r="DK13" s="187"/>
      <c r="DL13" s="187"/>
      <c r="DM13" s="187"/>
      <c r="DN13" s="187"/>
      <c r="DO13" s="196"/>
      <c r="DP13" s="187"/>
      <c r="DQ13" s="187"/>
      <c r="DR13" s="187" t="str">
        <f t="array" ref="DR13">INDEX('Rankings-Men'!$C:$C,MATCH(1,(DH13='Rankings-Men'!$D:$D)*(DI13='Rankings-Men'!$E:$E),0))</f>
        <v/>
      </c>
      <c r="DS13" s="188"/>
      <c r="DT13" s="187"/>
      <c r="DU13" s="187"/>
      <c r="DV13" s="187"/>
      <c r="DW13" s="187"/>
      <c r="DX13" s="187"/>
      <c r="DY13" s="187"/>
      <c r="DZ13" s="187"/>
      <c r="EA13" s="196"/>
      <c r="EB13" s="187"/>
      <c r="EC13" s="187"/>
      <c r="ED13" s="187" t="str">
        <f t="array" ref="ED13">INDEX('Rankings-Men'!$C:$C,MATCH(1,(DT13='Rankings-Men'!$D:$D)*(DU13='Rankings-Men'!$E:$E),0))</f>
        <v/>
      </c>
      <c r="EE13" s="188"/>
      <c r="EF13" s="187"/>
      <c r="EG13" s="187"/>
      <c r="EH13" s="187"/>
      <c r="EI13" s="187"/>
      <c r="EJ13" s="187"/>
      <c r="EK13" s="187"/>
      <c r="EL13" s="187"/>
      <c r="EM13" s="196"/>
      <c r="EN13" s="187"/>
      <c r="EO13" s="187"/>
      <c r="EP13" s="187" t="str">
        <f t="array" ref="EP13">INDEX('Rankings-Men'!$C:$C,MATCH(1,(EF13='Rankings-Men'!$D:$D)*(EG13='Rankings-Men'!$E:$E),0))</f>
        <v/>
      </c>
      <c r="EQ13" s="188"/>
    </row>
    <row r="14">
      <c r="A14" s="189" t="s">
        <v>783</v>
      </c>
      <c r="B14" s="191">
        <f>'Team Scoring-Men'!LtechwPot</f>
        <v>0</v>
      </c>
      <c r="C14" s="192">
        <f>'Team Scoring-Men'!LTechwact</f>
        <v>0</v>
      </c>
      <c r="D14" s="187"/>
      <c r="E14" s="66"/>
      <c r="F14" s="187"/>
      <c r="G14" s="187"/>
      <c r="H14" s="187"/>
      <c r="I14" s="187"/>
      <c r="J14" s="187">
        <f>COUNTIF('Rankings-Men'!$L:$L,F14)</f>
        <v>0</v>
      </c>
      <c r="K14" s="196"/>
      <c r="L14" s="187">
        <f t="shared" ref="L14:M14" si="125">IFNA(INDEX($P$83:$Q$112,MATCH(H14,$P$83:$P122,0),2),0)</f>
        <v>0</v>
      </c>
      <c r="M14" s="187">
        <f t="shared" si="125"/>
        <v>0</v>
      </c>
      <c r="N14" s="187" t="str">
        <f t="array" ref="N14">INDEX('Rankings-Men'!$C:$C,MATCH(1,(D14='Rankings-Men'!$D:$D)*(E14='Rankings-Men'!$E:$E),0))</f>
        <v/>
      </c>
      <c r="O14" s="188">
        <f t="shared" si="26"/>
        <v>0</v>
      </c>
      <c r="P14" s="187"/>
      <c r="Q14" s="187"/>
      <c r="R14" s="187"/>
      <c r="S14" s="187"/>
      <c r="T14" s="187"/>
      <c r="U14" s="187"/>
      <c r="V14" s="187"/>
      <c r="W14" s="196"/>
      <c r="X14" s="187"/>
      <c r="Y14" s="187"/>
      <c r="Z14" s="187" t="str">
        <f t="array" ref="Z14">INDEX('Rankings-Men'!$C:$C,MATCH(1,(P14='Rankings-Men'!$D:$D)*(Q14='Rankings-Men'!$E:$E),0))</f>
        <v/>
      </c>
      <c r="AA14" s="188"/>
      <c r="AB14" s="187"/>
      <c r="AC14" s="187"/>
      <c r="AD14" s="187"/>
      <c r="AE14" s="187"/>
      <c r="AF14" s="187"/>
      <c r="AG14" s="187"/>
      <c r="AH14" s="187">
        <f>COUNTIF('Rankings-Men'!$L:$L,AD14)</f>
        <v>0</v>
      </c>
      <c r="AI14" s="196"/>
      <c r="AJ14" s="187">
        <f t="shared" ref="AJ14:AK14" si="126">IFNA(INDEX($P$83:$Q$112,MATCH(AF14,$P$83:$P122,0),2),0)</f>
        <v>0</v>
      </c>
      <c r="AK14" s="187">
        <f t="shared" si="126"/>
        <v>0</v>
      </c>
      <c r="AL14" s="187" t="str">
        <f t="array" ref="AL14">INDEX('Rankings-Men'!$C:$C,MATCH(1,(AB14='Rankings-Men'!$D:$D)*(AC14='Rankings-Men'!$E:$E),0))</f>
        <v/>
      </c>
      <c r="AM14" s="188">
        <f t="shared" si="30"/>
        <v>0</v>
      </c>
      <c r="AN14" s="187"/>
      <c r="AO14" s="187"/>
      <c r="AP14" s="187"/>
      <c r="AQ14" s="187"/>
      <c r="AR14" s="187"/>
      <c r="AS14" s="187"/>
      <c r="AT14" s="187">
        <f>COUNTIF('Rankings-Men'!$L:$L,AP14)</f>
        <v>0</v>
      </c>
      <c r="AU14" s="196"/>
      <c r="AV14" s="187">
        <f t="shared" ref="AV14:AW14" si="127">IFNA(INDEX($P$83:$Q$112,MATCH(AR14,$P$83:$P122,0),2),0)</f>
        <v>0</v>
      </c>
      <c r="AW14" s="187">
        <f t="shared" si="127"/>
        <v>0</v>
      </c>
      <c r="AX14" s="187" t="str">
        <f t="array" ref="AX14">INDEX('Rankings-Men'!$C:$C,MATCH(1,(AN14='Rankings-Men'!$D:$D)*(AO14='Rankings-Men'!$E:$E),0))</f>
        <v/>
      </c>
      <c r="AY14" s="188">
        <f t="shared" si="32"/>
        <v>0</v>
      </c>
      <c r="AZ14" s="187"/>
      <c r="BA14" s="187"/>
      <c r="BB14" s="187"/>
      <c r="BC14" s="187"/>
      <c r="BD14" s="187"/>
      <c r="BE14" s="187"/>
      <c r="BF14" s="187">
        <f>COUNTIF('Rankings-Men'!$L:$L,BB14)</f>
        <v>0</v>
      </c>
      <c r="BG14" s="196"/>
      <c r="BH14" s="187">
        <f t="shared" ref="BH14:BI14" si="128">IFNA(INDEX($P$83:$Q$112,MATCH(BD14,$P$83:$P122,0),2),0)</f>
        <v>0</v>
      </c>
      <c r="BI14" s="187">
        <f t="shared" si="128"/>
        <v>0</v>
      </c>
      <c r="BJ14" s="187"/>
      <c r="BK14" s="188"/>
      <c r="BL14" s="187"/>
      <c r="BM14" s="187"/>
      <c r="BN14" s="187"/>
      <c r="BO14" s="187"/>
      <c r="BP14" s="187"/>
      <c r="BQ14" s="187"/>
      <c r="BR14" s="187">
        <f>COUNTIF('Rankings-Men'!$L:$L,BN14)</f>
        <v>0</v>
      </c>
      <c r="BS14" s="196"/>
      <c r="BT14" s="187">
        <f t="shared" ref="BT14:BU14" si="129">IFNA(INDEX($P$83:$Q$112,MATCH(BP14,$P$83:$P122,0),2),0)</f>
        <v>0</v>
      </c>
      <c r="BU14" s="187">
        <f t="shared" si="129"/>
        <v>0</v>
      </c>
      <c r="BV14" s="187" t="str">
        <f t="array" ref="BV14">INDEX('Rankings-Men'!$C:$C,MATCH(1,(BL14='Rankings-Men'!$D:$D)*(BM14='Rankings-Men'!$E:$E),0))</f>
        <v/>
      </c>
      <c r="BW14" s="188">
        <f t="shared" si="35"/>
        <v>0</v>
      </c>
      <c r="BX14" s="187"/>
      <c r="BY14" s="187"/>
      <c r="BZ14" s="187"/>
      <c r="CA14" s="187"/>
      <c r="CB14" s="187"/>
      <c r="CC14" s="187"/>
      <c r="CD14" s="187"/>
      <c r="CE14" s="196"/>
      <c r="CF14" s="187"/>
      <c r="CG14" s="187"/>
      <c r="CH14" s="187" t="str">
        <f t="array" ref="CH14">INDEX('Rankings-Men'!$C:$C,MATCH(1,(BX14='Rankings-Men'!$D:$D)*(BY14='Rankings-Men'!$E:$E),0))</f>
        <v/>
      </c>
      <c r="CI14" s="188"/>
      <c r="CJ14" s="187"/>
      <c r="CK14" s="187"/>
      <c r="CL14" s="187"/>
      <c r="CM14" s="187"/>
      <c r="CN14" s="187"/>
      <c r="CO14" s="187"/>
      <c r="CP14" s="187"/>
      <c r="CQ14" s="196"/>
      <c r="CR14" s="187"/>
      <c r="CS14" s="187"/>
      <c r="CT14" s="187" t="str">
        <f t="array" ref="CT14">INDEX('Rankings-Men'!$C:$C,MATCH(1,(CJ14='Rankings-Men'!$D:$D)*(CK14='Rankings-Men'!$E:$E),0))</f>
        <v/>
      </c>
      <c r="CU14" s="188"/>
      <c r="CV14" s="187"/>
      <c r="CW14" s="187"/>
      <c r="CX14" s="187"/>
      <c r="CY14" s="187"/>
      <c r="CZ14" s="187"/>
      <c r="DA14" s="187"/>
      <c r="DB14" s="187">
        <f>COUNTIF('Rankings-Men'!$L:$L,CX14)</f>
        <v>0</v>
      </c>
      <c r="DC14" s="196"/>
      <c r="DD14" s="187">
        <f t="shared" ref="DD14:DE14" si="130">IFNA(INDEX($P$83:$Q$112,MATCH(CZ14,$P$83:$P122,0),2),0)</f>
        <v>0</v>
      </c>
      <c r="DE14" s="187">
        <f t="shared" si="130"/>
        <v>0</v>
      </c>
      <c r="DF14" s="187" t="str">
        <f t="array" ref="DF14">INDEX('Rankings-Men'!$C:$C,MATCH(1,(CV14='Rankings-Men'!$D:$D)*(CW14='Rankings-Men'!$E:$E),0))</f>
        <v/>
      </c>
      <c r="DG14" s="188">
        <f t="shared" si="41"/>
        <v>0</v>
      </c>
      <c r="DH14" s="187"/>
      <c r="DI14" s="187"/>
      <c r="DJ14" s="187"/>
      <c r="DK14" s="187"/>
      <c r="DL14" s="187"/>
      <c r="DM14" s="187"/>
      <c r="DN14" s="187"/>
      <c r="DO14" s="196"/>
      <c r="DP14" s="187"/>
      <c r="DQ14" s="187"/>
      <c r="DR14" s="187" t="str">
        <f t="array" ref="DR14">INDEX('Rankings-Men'!$C:$C,MATCH(1,(DH14='Rankings-Men'!$D:$D)*(DI14='Rankings-Men'!$E:$E),0))</f>
        <v/>
      </c>
      <c r="DS14" s="188"/>
      <c r="DT14" s="187"/>
      <c r="DU14" s="187"/>
      <c r="DV14" s="187"/>
      <c r="DW14" s="187"/>
      <c r="DX14" s="187"/>
      <c r="DY14" s="187"/>
      <c r="DZ14" s="187"/>
      <c r="EA14" s="196"/>
      <c r="EB14" s="187"/>
      <c r="EC14" s="187"/>
      <c r="ED14" s="187" t="str">
        <f t="array" ref="ED14">INDEX('Rankings-Men'!$C:$C,MATCH(1,(DT14='Rankings-Men'!$D:$D)*(DU14='Rankings-Men'!$E:$E),0))</f>
        <v/>
      </c>
      <c r="EE14" s="188"/>
      <c r="EF14" s="187"/>
      <c r="EG14" s="187"/>
      <c r="EH14" s="187"/>
      <c r="EI14" s="187"/>
      <c r="EJ14" s="187"/>
      <c r="EK14" s="187"/>
      <c r="EL14" s="187"/>
      <c r="EM14" s="196"/>
      <c r="EN14" s="187"/>
      <c r="EO14" s="187"/>
      <c r="EP14" s="187" t="str">
        <f t="array" ref="EP14">INDEX('Rankings-Men'!$C:$C,MATCH(1,(EF14='Rankings-Men'!$D:$D)*(EG14='Rankings-Men'!$E:$E),0))</f>
        <v/>
      </c>
      <c r="EQ14" s="188"/>
    </row>
    <row r="15">
      <c r="A15" s="190" t="s">
        <v>793</v>
      </c>
      <c r="B15" s="187">
        <f>Ottawapot</f>
        <v>0</v>
      </c>
      <c r="C15" s="188">
        <f>Ottawaact</f>
        <v>0</v>
      </c>
      <c r="D15" s="186"/>
      <c r="E15" s="187"/>
      <c r="F15" s="187"/>
      <c r="G15" s="187"/>
      <c r="H15" s="187"/>
      <c r="I15" s="187"/>
      <c r="J15" s="187">
        <f>COUNTIF('Rankings-Men'!$L:$L,F15)</f>
        <v>0</v>
      </c>
      <c r="K15" s="196"/>
      <c r="L15" s="187">
        <f t="shared" ref="L15:M15" si="131">IFNA(INDEX($P$83:$Q$112,MATCH(H15,$P$83:$P123,0),2),0)</f>
        <v>0</v>
      </c>
      <c r="M15" s="187">
        <f t="shared" si="131"/>
        <v>0</v>
      </c>
      <c r="N15" s="187" t="str">
        <f t="array" ref="N15">INDEX('Rankings-Men'!$C:$C,MATCH(1,(D15='Rankings-Men'!$D:$D)*(E15='Rankings-Men'!$E:$E),0))</f>
        <v/>
      </c>
      <c r="O15" s="188">
        <f t="shared" si="26"/>
        <v>0</v>
      </c>
      <c r="P15" s="186"/>
      <c r="Q15" s="187"/>
      <c r="R15" s="187"/>
      <c r="S15" s="187"/>
      <c r="T15" s="187"/>
      <c r="U15" s="187"/>
      <c r="V15" s="187"/>
      <c r="W15" s="196"/>
      <c r="X15" s="187"/>
      <c r="Y15" s="187"/>
      <c r="Z15" s="187" t="str">
        <f t="array" ref="Z15">INDEX('Rankings-Men'!$C:$C,MATCH(1,(P15='Rankings-Men'!$D:$D)*(Q15='Rankings-Men'!$E:$E),0))</f>
        <v/>
      </c>
      <c r="AA15" s="188"/>
      <c r="AB15" s="186"/>
      <c r="AC15" s="187"/>
      <c r="AD15" s="187"/>
      <c r="AE15" s="187"/>
      <c r="AF15" s="187"/>
      <c r="AG15" s="187"/>
      <c r="AH15" s="187">
        <f>COUNTIF('Rankings-Men'!$L:$L,AD15)</f>
        <v>0</v>
      </c>
      <c r="AI15" s="196"/>
      <c r="AJ15" s="187">
        <f t="shared" ref="AJ15:AK15" si="132">IFNA(INDEX($P$83:$Q$112,MATCH(AF15,$P$83:$P123,0),2),0)</f>
        <v>0</v>
      </c>
      <c r="AK15" s="187">
        <f t="shared" si="132"/>
        <v>0</v>
      </c>
      <c r="AL15" s="187" t="str">
        <f t="array" ref="AL15">INDEX('Rankings-Men'!$C:$C,MATCH(1,(AB15='Rankings-Men'!$D:$D)*(AC15='Rankings-Men'!$E:$E),0))</f>
        <v/>
      </c>
      <c r="AM15" s="188">
        <f t="shared" si="30"/>
        <v>0</v>
      </c>
      <c r="AN15" s="186"/>
      <c r="AO15" s="187"/>
      <c r="AP15" s="187"/>
      <c r="AQ15" s="187"/>
      <c r="AR15" s="187"/>
      <c r="AS15" s="187"/>
      <c r="AT15" s="187">
        <f>COUNTIF('Rankings-Men'!$L:$L,AP15)</f>
        <v>0</v>
      </c>
      <c r="AU15" s="196"/>
      <c r="AV15" s="187">
        <f t="shared" ref="AV15:AW15" si="133">IFNA(INDEX($P$83:$Q$112,MATCH(AR15,$P$83:$P123,0),2),0)</f>
        <v>0</v>
      </c>
      <c r="AW15" s="187">
        <f t="shared" si="133"/>
        <v>0</v>
      </c>
      <c r="AX15" s="187" t="str">
        <f t="array" ref="AX15">INDEX('Rankings-Men'!$C:$C,MATCH(1,(AN15='Rankings-Men'!$D:$D)*(AO15='Rankings-Men'!$E:$E),0))</f>
        <v/>
      </c>
      <c r="AY15" s="188">
        <f t="shared" si="32"/>
        <v>0</v>
      </c>
      <c r="AZ15" s="186"/>
      <c r="BA15" s="187"/>
      <c r="BB15" s="187"/>
      <c r="BC15" s="187"/>
      <c r="BD15" s="187"/>
      <c r="BE15" s="187"/>
      <c r="BF15" s="187">
        <f>COUNTIF('Rankings-Men'!$L:$L,BB15)</f>
        <v>0</v>
      </c>
      <c r="BG15" s="196" t="s">
        <v>798</v>
      </c>
      <c r="BH15" s="187">
        <f t="shared" ref="BH15:BI15" si="134">IFNA(INDEX($P$83:$Q$112,MATCH(BD15,$P$83:$P123,0),2),0)</f>
        <v>0</v>
      </c>
      <c r="BI15" s="187">
        <f t="shared" si="134"/>
        <v>0</v>
      </c>
      <c r="BJ15" s="187" t="str">
        <f t="array" ref="BJ15">INDEX('Rankings-Men'!$C:$C,MATCH(1,(AZ15='Rankings-Men'!$D:$D)*(BA15='Rankings-Men'!$E:$E),0))</f>
        <v/>
      </c>
      <c r="BK15" s="188">
        <f t="shared" ref="BK15:BK16" si="138">IFNA(INDEX($P$83:$Q$112,MATCH(BJ15,$P$83:$P123,0),2),0)</f>
        <v>0</v>
      </c>
      <c r="BL15" s="186"/>
      <c r="BM15" s="187"/>
      <c r="BN15" s="187"/>
      <c r="BO15" s="187"/>
      <c r="BP15" s="187"/>
      <c r="BQ15" s="187"/>
      <c r="BR15" s="187"/>
      <c r="BS15" s="196"/>
      <c r="BT15" s="187"/>
      <c r="BU15" s="187"/>
      <c r="BV15" s="187" t="str">
        <f t="array" ref="BV15">INDEX('Rankings-Men'!$C:$C,MATCH(1,(BL15='Rankings-Men'!$D:$D)*(BM15='Rankings-Men'!$E:$E),0))</f>
        <v/>
      </c>
      <c r="BW15" s="188"/>
      <c r="BX15" s="186"/>
      <c r="BY15" s="187"/>
      <c r="BZ15" s="187"/>
      <c r="CA15" s="187"/>
      <c r="CB15" s="187"/>
      <c r="CC15" s="187"/>
      <c r="CD15" s="187"/>
      <c r="CE15" s="196"/>
      <c r="CF15" s="187"/>
      <c r="CG15" s="187"/>
      <c r="CH15" s="187" t="str">
        <f t="array" ref="CH15">INDEX('Rankings-Men'!$C:$C,MATCH(1,(BX15='Rankings-Men'!$D:$D)*(BY15='Rankings-Men'!$E:$E),0))</f>
        <v/>
      </c>
      <c r="CI15" s="188"/>
      <c r="CJ15" s="186"/>
      <c r="CK15" s="187"/>
      <c r="CL15" s="187"/>
      <c r="CM15" s="187"/>
      <c r="CN15" s="187"/>
      <c r="CO15" s="187"/>
      <c r="CP15" s="187"/>
      <c r="CQ15" s="196"/>
      <c r="CR15" s="187"/>
      <c r="CS15" s="187"/>
      <c r="CT15" s="187" t="str">
        <f t="array" ref="CT15">INDEX('Rankings-Men'!$C:$C,MATCH(1,(CJ15='Rankings-Men'!$D:$D)*(CK15='Rankings-Men'!$E:$E),0))</f>
        <v/>
      </c>
      <c r="CU15" s="188"/>
      <c r="CV15" s="186"/>
      <c r="CW15" s="187"/>
      <c r="CX15" s="187"/>
      <c r="CY15" s="187"/>
      <c r="CZ15" s="187"/>
      <c r="DA15" s="187"/>
      <c r="DB15" s="187"/>
      <c r="DC15" s="196"/>
      <c r="DD15" s="187"/>
      <c r="DE15" s="187"/>
      <c r="DF15" s="187" t="str">
        <f t="array" ref="DF15">INDEX('Rankings-Men'!$C:$C,MATCH(1,(CV15='Rankings-Men'!$D:$D)*(CW15='Rankings-Men'!$E:$E),0))</f>
        <v/>
      </c>
      <c r="DG15" s="188"/>
      <c r="DH15" s="186"/>
      <c r="DI15" s="187"/>
      <c r="DJ15" s="187"/>
      <c r="DK15" s="187"/>
      <c r="DL15" s="187"/>
      <c r="DM15" s="187"/>
      <c r="DN15" s="187"/>
      <c r="DO15" s="196"/>
      <c r="DP15" s="187"/>
      <c r="DQ15" s="187"/>
      <c r="DR15" s="187" t="str">
        <f t="array" ref="DR15">INDEX('Rankings-Men'!$C:$C,MATCH(1,(DH15='Rankings-Men'!$D:$D)*(DI15='Rankings-Men'!$E:$E),0))</f>
        <v/>
      </c>
      <c r="DS15" s="188"/>
      <c r="DT15" s="186"/>
      <c r="DU15" s="187"/>
      <c r="DV15" s="187"/>
      <c r="DW15" s="187"/>
      <c r="DX15" s="187"/>
      <c r="DY15" s="187"/>
      <c r="DZ15" s="187"/>
      <c r="EA15" s="196"/>
      <c r="EB15" s="187"/>
      <c r="EC15" s="187"/>
      <c r="ED15" s="187" t="str">
        <f t="array" ref="ED15">INDEX('Rankings-Men'!$C:$C,MATCH(1,(DT15='Rankings-Men'!$D:$D)*(DU15='Rankings-Men'!$E:$E),0))</f>
        <v/>
      </c>
      <c r="EE15" s="188"/>
      <c r="EF15" s="186"/>
      <c r="EG15" s="187"/>
      <c r="EH15" s="187"/>
      <c r="EI15" s="187"/>
      <c r="EJ15" s="187"/>
      <c r="EK15" s="187"/>
      <c r="EL15" s="187"/>
      <c r="EM15" s="196"/>
      <c r="EN15" s="187"/>
      <c r="EO15" s="187"/>
      <c r="EP15" s="187" t="str">
        <f t="array" ref="EP15">INDEX('Rankings-Men'!$C:$C,MATCH(1,(EF15='Rankings-Men'!$D:$D)*(EG15='Rankings-Men'!$E:$E),0))</f>
        <v/>
      </c>
      <c r="EQ15" s="188"/>
    </row>
    <row r="16">
      <c r="A16" s="193" t="s">
        <v>789</v>
      </c>
      <c r="B16" s="194">
        <f>'Team Scoring-Men'!shsuwpot</f>
        <v>0</v>
      </c>
      <c r="C16" s="195">
        <f>'Team Scoring-Men'!shsuwact</f>
        <v>0</v>
      </c>
      <c r="D16" s="186"/>
      <c r="E16" s="187"/>
      <c r="F16" s="187"/>
      <c r="G16" s="187"/>
      <c r="H16" s="187"/>
      <c r="I16" s="187"/>
      <c r="J16" s="187">
        <f>COUNTIF('Rankings-Men'!$L:$L,F16)</f>
        <v>0</v>
      </c>
      <c r="K16" s="196"/>
      <c r="L16" s="187">
        <f t="shared" ref="L16:M16" si="135">IFNA(INDEX($P$83:$Q$112,MATCH(H16,$P$83:$P124,0),2),0)</f>
        <v>0</v>
      </c>
      <c r="M16" s="187">
        <f t="shared" si="135"/>
        <v>0</v>
      </c>
      <c r="N16" s="187" t="str">
        <f t="array" ref="N16">INDEX('Rankings-Men'!$C:$C,MATCH(1,(D16='Rankings-Men'!$D:$D)*(E16='Rankings-Men'!$E:$E),0))</f>
        <v/>
      </c>
      <c r="O16" s="188">
        <f t="shared" si="26"/>
        <v>0</v>
      </c>
      <c r="P16" s="186"/>
      <c r="Q16" s="187"/>
      <c r="R16" s="187"/>
      <c r="S16" s="187"/>
      <c r="T16" s="187"/>
      <c r="U16" s="187"/>
      <c r="V16" s="187"/>
      <c r="W16" s="196"/>
      <c r="X16" s="187"/>
      <c r="Y16" s="187"/>
      <c r="Z16" s="187" t="str">
        <f t="array" ref="Z16">INDEX('Rankings-Men'!$C:$C,MATCH(1,(P16='Rankings-Men'!$D:$D)*(Q16='Rankings-Men'!$E:$E),0))</f>
        <v/>
      </c>
      <c r="AA16" s="188"/>
      <c r="AB16" s="186"/>
      <c r="AC16" s="187"/>
      <c r="AD16" s="187"/>
      <c r="AE16" s="187"/>
      <c r="AF16" s="187"/>
      <c r="AG16" s="187"/>
      <c r="AH16" s="187"/>
      <c r="AI16" s="196"/>
      <c r="AJ16" s="187"/>
      <c r="AK16" s="187"/>
      <c r="AL16" s="187" t="str">
        <f t="array" ref="AL16">INDEX('Rankings-Men'!$C:$C,MATCH(1,(AB16='Rankings-Men'!$D:$D)*(AC16='Rankings-Men'!$E:$E),0))</f>
        <v/>
      </c>
      <c r="AM16" s="188"/>
      <c r="AN16" s="186"/>
      <c r="AO16" s="187"/>
      <c r="AP16" s="187"/>
      <c r="AQ16" s="187"/>
      <c r="AR16" s="187"/>
      <c r="AS16" s="187"/>
      <c r="AT16" s="187">
        <f>COUNTIF('Rankings-Men'!$L:$L,AP16)</f>
        <v>0</v>
      </c>
      <c r="AU16" s="196"/>
      <c r="AV16" s="187">
        <f t="shared" ref="AV16:AW16" si="136">IFNA(INDEX($P$83:$Q$112,MATCH(AR16,$P$83:$P124,0),2),0)</f>
        <v>0</v>
      </c>
      <c r="AW16" s="187">
        <f t="shared" si="136"/>
        <v>0</v>
      </c>
      <c r="AX16" s="187" t="str">
        <f t="array" ref="AX16">INDEX('Rankings-Men'!$C:$C,MATCH(1,(AN16='Rankings-Men'!$D:$D)*(AO16='Rankings-Men'!$E:$E),0))</f>
        <v/>
      </c>
      <c r="AY16" s="188">
        <f t="shared" si="32"/>
        <v>0</v>
      </c>
      <c r="AZ16" s="186"/>
      <c r="BA16" s="187"/>
      <c r="BB16" s="187"/>
      <c r="BC16" s="187"/>
      <c r="BD16" s="187"/>
      <c r="BE16" s="187"/>
      <c r="BF16" s="187">
        <f>COUNTIF('Rankings-Men'!$L:$L,BB16)</f>
        <v>0</v>
      </c>
      <c r="BG16" s="196" t="s">
        <v>798</v>
      </c>
      <c r="BH16" s="187">
        <f t="shared" ref="BH16:BI16" si="137">IFNA(INDEX($P$83:$Q$112,MATCH(BD16,$P$83:$P124,0),2),0)</f>
        <v>0</v>
      </c>
      <c r="BI16" s="187">
        <f t="shared" si="137"/>
        <v>0</v>
      </c>
      <c r="BJ16" s="187" t="str">
        <f t="array" ref="BJ16">INDEX('Rankings-Men'!$C:$C,MATCH(1,(AZ16='Rankings-Men'!$D:$D)*(BA16='Rankings-Men'!$E:$E),0))</f>
        <v/>
      </c>
      <c r="BK16" s="188">
        <f t="shared" si="138"/>
        <v>0</v>
      </c>
      <c r="BL16" s="186"/>
      <c r="BM16" s="187"/>
      <c r="BN16" s="187"/>
      <c r="BO16" s="187"/>
      <c r="BP16" s="187"/>
      <c r="BQ16" s="187"/>
      <c r="BR16" s="187"/>
      <c r="BS16" s="196"/>
      <c r="BT16" s="187"/>
      <c r="BU16" s="187"/>
      <c r="BV16" s="187" t="str">
        <f t="array" ref="BV16">INDEX('Rankings-Men'!$C:$C,MATCH(1,(BL16='Rankings-Men'!$D:$D)*(BM16='Rankings-Men'!$E:$E),0))</f>
        <v/>
      </c>
      <c r="BW16" s="188"/>
      <c r="BX16" s="186"/>
      <c r="BY16" s="187"/>
      <c r="BZ16" s="187"/>
      <c r="CA16" s="187"/>
      <c r="CB16" s="187"/>
      <c r="CC16" s="187"/>
      <c r="CD16" s="187"/>
      <c r="CE16" s="196"/>
      <c r="CF16" s="187"/>
      <c r="CG16" s="187"/>
      <c r="CH16" s="187" t="str">
        <f t="array" ref="CH16">INDEX('Rankings-Men'!$C:$C,MATCH(1,(BX16='Rankings-Men'!$D:$D)*(BY16='Rankings-Men'!$E:$E),0))</f>
        <v/>
      </c>
      <c r="CI16" s="188"/>
      <c r="CJ16" s="186"/>
      <c r="CK16" s="187"/>
      <c r="CL16" s="187"/>
      <c r="CM16" s="187"/>
      <c r="CN16" s="187"/>
      <c r="CO16" s="187"/>
      <c r="CP16" s="187"/>
      <c r="CQ16" s="196"/>
      <c r="CR16" s="187"/>
      <c r="CS16" s="187"/>
      <c r="CT16" s="187" t="str">
        <f t="array" ref="CT16">INDEX('Rankings-Men'!$C:$C,MATCH(1,(CJ16='Rankings-Men'!$D:$D)*(CK16='Rankings-Men'!$E:$E),0))</f>
        <v/>
      </c>
      <c r="CU16" s="188"/>
      <c r="CV16" s="186"/>
      <c r="CW16" s="187"/>
      <c r="CX16" s="187"/>
      <c r="CY16" s="187"/>
      <c r="CZ16" s="187"/>
      <c r="DA16" s="187"/>
      <c r="DB16" s="187"/>
      <c r="DC16" s="196"/>
      <c r="DD16" s="187"/>
      <c r="DE16" s="187"/>
      <c r="DF16" s="187" t="str">
        <f t="array" ref="DF16">INDEX('Rankings-Men'!$C:$C,MATCH(1,(CV16='Rankings-Men'!$D:$D)*(CW16='Rankings-Men'!$E:$E),0))</f>
        <v/>
      </c>
      <c r="DG16" s="188"/>
      <c r="DH16" s="186"/>
      <c r="DI16" s="187"/>
      <c r="DJ16" s="187"/>
      <c r="DK16" s="187"/>
      <c r="DL16" s="187"/>
      <c r="DM16" s="187"/>
      <c r="DN16" s="187"/>
      <c r="DO16" s="196"/>
      <c r="DP16" s="187"/>
      <c r="DQ16" s="187"/>
      <c r="DR16" s="187" t="str">
        <f t="array" ref="DR16">INDEX('Rankings-Men'!$C:$C,MATCH(1,(DH16='Rankings-Men'!$D:$D)*(DI16='Rankings-Men'!$E:$E),0))</f>
        <v/>
      </c>
      <c r="DS16" s="188"/>
      <c r="DT16" s="186"/>
      <c r="DU16" s="187"/>
      <c r="DV16" s="187"/>
      <c r="DW16" s="187"/>
      <c r="DX16" s="187"/>
      <c r="DY16" s="187"/>
      <c r="DZ16" s="187"/>
      <c r="EA16" s="196"/>
      <c r="EB16" s="187"/>
      <c r="EC16" s="187"/>
      <c r="ED16" s="187" t="str">
        <f t="array" ref="ED16">INDEX('Rankings-Men'!$C:$C,MATCH(1,(DT16='Rankings-Men'!$D:$D)*(DU16='Rankings-Men'!$E:$E),0))</f>
        <v/>
      </c>
      <c r="EE16" s="188"/>
      <c r="EF16" s="186"/>
      <c r="EG16" s="187"/>
      <c r="EH16" s="187"/>
      <c r="EI16" s="187"/>
      <c r="EJ16" s="187"/>
      <c r="EK16" s="187"/>
      <c r="EL16" s="187"/>
      <c r="EM16" s="196"/>
      <c r="EN16" s="187"/>
      <c r="EO16" s="187"/>
      <c r="EP16" s="187" t="str">
        <f t="array" ref="EP16">INDEX('Rankings-Men'!$C:$C,MATCH(1,(EF16='Rankings-Men'!$D:$D)*(EG16='Rankings-Men'!$E:$E),0))</f>
        <v/>
      </c>
      <c r="EQ16" s="188"/>
    </row>
    <row r="17">
      <c r="A17" s="168"/>
      <c r="B17" s="216"/>
      <c r="C17" s="217"/>
      <c r="D17" s="186"/>
      <c r="E17" s="187"/>
      <c r="F17" s="187"/>
      <c r="G17" s="187"/>
      <c r="H17" s="187"/>
      <c r="I17" s="187"/>
      <c r="J17" s="187">
        <f>COUNTIF('Rankings-Men'!$L:$L,F17)</f>
        <v>0</v>
      </c>
      <c r="K17" s="196"/>
      <c r="L17" s="187">
        <f t="shared" ref="L17:M17" si="139">IFNA(INDEX($P$83:$Q$112,MATCH(H17,$P$83:$P125,0),2),0)</f>
        <v>0</v>
      </c>
      <c r="M17" s="187">
        <f t="shared" si="139"/>
        <v>0</v>
      </c>
      <c r="N17" s="187" t="str">
        <f t="array" ref="N17">INDEX('Rankings-Men'!$C:$C,MATCH(1,(D17='Rankings-Men'!$D:$D)*(E17='Rankings-Men'!$E:$E),0))</f>
        <v/>
      </c>
      <c r="O17" s="188">
        <f t="shared" si="26"/>
        <v>0</v>
      </c>
      <c r="P17" s="186"/>
      <c r="Q17" s="187"/>
      <c r="R17" s="187"/>
      <c r="S17" s="187"/>
      <c r="T17" s="187"/>
      <c r="U17" s="187"/>
      <c r="V17" s="187"/>
      <c r="W17" s="196"/>
      <c r="X17" s="187"/>
      <c r="Y17" s="187"/>
      <c r="Z17" s="187" t="str">
        <f t="array" ref="Z17">INDEX('Rankings-Men'!$C:$C,MATCH(1,(P17='Rankings-Men'!$D:$D)*(Q17='Rankings-Men'!$E:$E),0))</f>
        <v/>
      </c>
      <c r="AA17" s="188"/>
      <c r="AB17" s="186"/>
      <c r="AC17" s="187"/>
      <c r="AD17" s="187"/>
      <c r="AE17" s="187"/>
      <c r="AF17" s="187"/>
      <c r="AG17" s="187"/>
      <c r="AH17" s="187"/>
      <c r="AI17" s="196"/>
      <c r="AJ17" s="187"/>
      <c r="AK17" s="187"/>
      <c r="AL17" s="187" t="str">
        <f t="array" ref="AL17">INDEX('Rankings-Men'!$C:$C,MATCH(1,(AB17='Rankings-Men'!$D:$D)*(AC17='Rankings-Men'!$E:$E),0))</f>
        <v/>
      </c>
      <c r="AM17" s="188"/>
      <c r="AN17" s="186"/>
      <c r="AO17" s="187"/>
      <c r="AP17" s="187"/>
      <c r="AQ17" s="187"/>
      <c r="AR17" s="187"/>
      <c r="AS17" s="187"/>
      <c r="AT17" s="187">
        <f>COUNTIF('Rankings-Men'!$L:$L,AP17)</f>
        <v>0</v>
      </c>
      <c r="AU17" s="196"/>
      <c r="AV17" s="187">
        <f t="shared" ref="AV17:AW17" si="140">IFNA(INDEX($P$83:$Q$112,MATCH(AR17,$P$83:$P125,0),2),0)</f>
        <v>0</v>
      </c>
      <c r="AW17" s="187">
        <f t="shared" si="140"/>
        <v>0</v>
      </c>
      <c r="AX17" s="187" t="str">
        <f t="array" ref="AX17">INDEX('Rankings-Men'!$C:$C,MATCH(1,(AN17='Rankings-Men'!$D:$D)*(AO17='Rankings-Men'!$E:$E),0))</f>
        <v/>
      </c>
      <c r="AY17" s="188">
        <f t="shared" si="32"/>
        <v>0</v>
      </c>
      <c r="AZ17" s="186"/>
      <c r="BA17" s="187"/>
      <c r="BB17" s="187"/>
      <c r="BC17" s="187"/>
      <c r="BD17" s="187"/>
      <c r="BE17" s="187"/>
      <c r="BF17" s="187">
        <f>COUNTIF('Rankings-Men'!$L:$L,BB17)</f>
        <v>0</v>
      </c>
      <c r="BG17" s="196"/>
      <c r="BH17" s="187">
        <f t="shared" ref="BH17:BI17" si="141">IFNA(INDEX($P$83:$Q$112,MATCH(BD17,$P$83:$P125,0),2),0)</f>
        <v>0</v>
      </c>
      <c r="BI17" s="187">
        <f t="shared" si="141"/>
        <v>0</v>
      </c>
      <c r="BJ17" s="187"/>
      <c r="BK17" s="188"/>
      <c r="BL17" s="186"/>
      <c r="BM17" s="187"/>
      <c r="BN17" s="187"/>
      <c r="BO17" s="187"/>
      <c r="BP17" s="187"/>
      <c r="BQ17" s="187"/>
      <c r="BR17" s="187"/>
      <c r="BS17" s="196"/>
      <c r="BT17" s="187"/>
      <c r="BU17" s="187"/>
      <c r="BV17" s="187" t="str">
        <f t="array" ref="BV17">INDEX('Rankings-Men'!$C:$C,MATCH(1,(BL17='Rankings-Men'!$D:$D)*(BM17='Rankings-Men'!$E:$E),0))</f>
        <v/>
      </c>
      <c r="BW17" s="188"/>
      <c r="BX17" s="186"/>
      <c r="BY17" s="187"/>
      <c r="BZ17" s="187"/>
      <c r="CA17" s="187"/>
      <c r="CB17" s="187"/>
      <c r="CC17" s="187"/>
      <c r="CD17" s="187"/>
      <c r="CE17" s="196"/>
      <c r="CF17" s="187"/>
      <c r="CG17" s="187"/>
      <c r="CH17" s="187" t="str">
        <f t="array" ref="CH17">INDEX('Rankings-Men'!$C:$C,MATCH(1,(BX17='Rankings-Men'!$D:$D)*(BY17='Rankings-Men'!$E:$E),0))</f>
        <v/>
      </c>
      <c r="CI17" s="188"/>
      <c r="CJ17" s="186"/>
      <c r="CK17" s="187"/>
      <c r="CL17" s="187"/>
      <c r="CM17" s="187"/>
      <c r="CN17" s="187"/>
      <c r="CO17" s="187"/>
      <c r="CP17" s="187"/>
      <c r="CQ17" s="196"/>
      <c r="CR17" s="187"/>
      <c r="CS17" s="187"/>
      <c r="CT17" s="187" t="str">
        <f t="array" ref="CT17">INDEX('Rankings-Men'!$C:$C,MATCH(1,(CJ17='Rankings-Men'!$D:$D)*(CK17='Rankings-Men'!$E:$E),0))</f>
        <v/>
      </c>
      <c r="CU17" s="188"/>
      <c r="CV17" s="186"/>
      <c r="CW17" s="187"/>
      <c r="CX17" s="187"/>
      <c r="CY17" s="187"/>
      <c r="CZ17" s="187"/>
      <c r="DA17" s="187"/>
      <c r="DB17" s="187"/>
      <c r="DC17" s="196"/>
      <c r="DD17" s="187"/>
      <c r="DE17" s="187"/>
      <c r="DF17" s="187" t="str">
        <f t="array" ref="DF17">INDEX('Rankings-Men'!$C:$C,MATCH(1,(CV17='Rankings-Men'!$D:$D)*(CW17='Rankings-Men'!$E:$E),0))</f>
        <v/>
      </c>
      <c r="DG17" s="188"/>
      <c r="DH17" s="186"/>
      <c r="DI17" s="187"/>
      <c r="DJ17" s="187"/>
      <c r="DK17" s="187"/>
      <c r="DL17" s="187"/>
      <c r="DM17" s="187"/>
      <c r="DN17" s="187"/>
      <c r="DO17" s="196"/>
      <c r="DP17" s="187"/>
      <c r="DQ17" s="187"/>
      <c r="DR17" s="187" t="str">
        <f t="array" ref="DR17">INDEX('Rankings-Men'!$C:$C,MATCH(1,(DH17='Rankings-Men'!$D:$D)*(DI17='Rankings-Men'!$E:$E),0))</f>
        <v/>
      </c>
      <c r="DS17" s="188"/>
      <c r="DT17" s="186"/>
      <c r="DU17" s="187"/>
      <c r="DV17" s="187"/>
      <c r="DW17" s="187"/>
      <c r="DX17" s="187"/>
      <c r="DY17" s="187"/>
      <c r="DZ17" s="187"/>
      <c r="EA17" s="196"/>
      <c r="EB17" s="187"/>
      <c r="EC17" s="187"/>
      <c r="ED17" s="187" t="str">
        <f t="array" ref="ED17">INDEX('Rankings-Men'!$C:$C,MATCH(1,(DT17='Rankings-Men'!$D:$D)*(DU17='Rankings-Men'!$E:$E),0))</f>
        <v/>
      </c>
      <c r="EE17" s="188"/>
      <c r="EF17" s="186"/>
      <c r="EG17" s="187"/>
      <c r="EH17" s="187"/>
      <c r="EI17" s="187"/>
      <c r="EJ17" s="187"/>
      <c r="EK17" s="187"/>
      <c r="EL17" s="187"/>
      <c r="EM17" s="196"/>
      <c r="EN17" s="187"/>
      <c r="EO17" s="187"/>
      <c r="EP17" s="187" t="str">
        <f t="array" ref="EP17">INDEX('Rankings-Men'!$C:$C,MATCH(1,(EF17='Rankings-Men'!$D:$D)*(EG17='Rankings-Men'!$E:$E),0))</f>
        <v/>
      </c>
      <c r="EQ17" s="188"/>
    </row>
    <row r="18">
      <c r="A18" s="168"/>
      <c r="B18" s="216"/>
      <c r="C18" s="217"/>
      <c r="D18" s="186"/>
      <c r="E18" s="187"/>
      <c r="F18" s="187"/>
      <c r="G18" s="187"/>
      <c r="H18" s="187"/>
      <c r="I18" s="187"/>
      <c r="J18" s="187"/>
      <c r="K18" s="187"/>
      <c r="L18" s="187"/>
      <c r="M18" s="187"/>
      <c r="N18" s="187" t="str">
        <f t="array" ref="N18">INDEX('Rankings-Men'!$C:$C,MATCH(1,(D18='Rankings-Men'!$D:$D)*(E18='Rankings-Men'!$E:$E),0))</f>
        <v/>
      </c>
      <c r="O18" s="188"/>
      <c r="P18" s="186"/>
      <c r="Q18" s="187"/>
      <c r="R18" s="187"/>
      <c r="S18" s="187"/>
      <c r="T18" s="187"/>
      <c r="U18" s="187"/>
      <c r="V18" s="187"/>
      <c r="W18" s="187"/>
      <c r="X18" s="187"/>
      <c r="Y18" s="187"/>
      <c r="Z18" s="187" t="str">
        <f t="array" ref="Z18">INDEX('Rankings-Men'!$C:$C,MATCH(1,(P18='Rankings-Men'!$D:$D)*(Q18='Rankings-Men'!$E:$E),0))</f>
        <v/>
      </c>
      <c r="AA18" s="188"/>
      <c r="AB18" s="186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 t="str">
        <f t="array" ref="AL18">INDEX('Rankings-Men'!$C:$C,MATCH(1,(AB18='Rankings-Men'!$D:$D)*(AC18='Rankings-Men'!$E:$E),0))</f>
        <v/>
      </c>
      <c r="AM18" s="188"/>
      <c r="AN18" s="186"/>
      <c r="AO18" s="187"/>
      <c r="AP18" s="187"/>
      <c r="AQ18" s="187"/>
      <c r="AR18" s="187"/>
      <c r="AS18" s="187"/>
      <c r="AT18" s="187">
        <f>COUNTIF('Rankings-Men'!$L:$L,AP18)</f>
        <v>0</v>
      </c>
      <c r="AU18" s="196"/>
      <c r="AV18" s="187">
        <f t="shared" ref="AV18:AW18" si="142">IFNA(INDEX($P$83:$Q$112,MATCH(AR18,$P$83:$P126,0),2),0)</f>
        <v>0</v>
      </c>
      <c r="AW18" s="187">
        <f t="shared" si="142"/>
        <v>0</v>
      </c>
      <c r="AX18" s="187" t="str">
        <f t="array" ref="AX18">INDEX('Rankings-Men'!$C:$C,MATCH(1,(AN18='Rankings-Men'!$D:$D)*(AO18='Rankings-Men'!$E:$E),0))</f>
        <v/>
      </c>
      <c r="AY18" s="188">
        <f t="shared" si="32"/>
        <v>0</v>
      </c>
      <c r="AZ18" s="186"/>
      <c r="BA18" s="187"/>
      <c r="BB18" s="187"/>
      <c r="BC18" s="187"/>
      <c r="BD18" s="187"/>
      <c r="BE18" s="187"/>
      <c r="BF18" s="187">
        <f>COUNTIF('Rankings-Men'!$L:$L,BB18)</f>
        <v>0</v>
      </c>
      <c r="BG18" s="196" t="s">
        <v>798</v>
      </c>
      <c r="BH18" s="187">
        <f t="shared" ref="BH18:BI18" si="143">IFNA(INDEX($P$83:$Q$112,MATCH(BD18,$P$83:$P126,0),2),0)</f>
        <v>0</v>
      </c>
      <c r="BI18" s="187">
        <f t="shared" si="143"/>
        <v>0</v>
      </c>
      <c r="BJ18" s="187" t="str">
        <f t="array" ref="BJ18">INDEX('Rankings-Men'!$C:$C,MATCH(1,(AZ18='Rankings-Men'!$D:$D)*(BA18='Rankings-Men'!$E:$E),0))</f>
        <v/>
      </c>
      <c r="BK18" s="188">
        <f t="shared" ref="BK18:BK21" si="146">IFNA(INDEX($P$83:$Q$112,MATCH(BJ18,$P$83:$P126,0),2),0)</f>
        <v>0</v>
      </c>
      <c r="BL18" s="186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 t="str">
        <f t="array" ref="BV18">INDEX('Rankings-Men'!$C:$C,MATCH(1,(BL18='Rankings-Men'!$D:$D)*(BM18='Rankings-Men'!$E:$E),0))</f>
        <v/>
      </c>
      <c r="BW18" s="188"/>
      <c r="BX18" s="186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 t="str">
        <f t="array" ref="CH18">INDEX('Rankings-Men'!$C:$C,MATCH(1,(BX18='Rankings-Men'!$D:$D)*(BY18='Rankings-Men'!$E:$E),0))</f>
        <v/>
      </c>
      <c r="CI18" s="188"/>
      <c r="CJ18" s="186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 t="str">
        <f t="array" ref="CT18">INDEX('Rankings-Men'!$C:$C,MATCH(1,(CJ18='Rankings-Men'!$D:$D)*(CK18='Rankings-Men'!$E:$E),0))</f>
        <v/>
      </c>
      <c r="CU18" s="188"/>
      <c r="CV18" s="186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 t="str">
        <f t="array" ref="DF18">INDEX('Rankings-Men'!$C:$C,MATCH(1,(CV18='Rankings-Men'!$D:$D)*(CW18='Rankings-Men'!$E:$E),0))</f>
        <v/>
      </c>
      <c r="DG18" s="188"/>
      <c r="DH18" s="186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 t="str">
        <f t="array" ref="DR18">INDEX('Rankings-Men'!$C:$C,MATCH(1,(DH18='Rankings-Men'!$D:$D)*(DI18='Rankings-Men'!$E:$E),0))</f>
        <v/>
      </c>
      <c r="DS18" s="188"/>
      <c r="DT18" s="186"/>
      <c r="DU18" s="187"/>
      <c r="DV18" s="187"/>
      <c r="DW18" s="187"/>
      <c r="DX18" s="187"/>
      <c r="DY18" s="187"/>
      <c r="DZ18" s="187"/>
      <c r="EA18" s="187"/>
      <c r="EB18" s="187"/>
      <c r="EC18" s="187"/>
      <c r="ED18" s="187" t="str">
        <f t="array" ref="ED18">INDEX('Rankings-Men'!$C:$C,MATCH(1,(DT18='Rankings-Men'!$D:$D)*(DU18='Rankings-Men'!$E:$E),0))</f>
        <v/>
      </c>
      <c r="EE18" s="188"/>
      <c r="EF18" s="186"/>
      <c r="EG18" s="187"/>
      <c r="EH18" s="187"/>
      <c r="EI18" s="187"/>
      <c r="EJ18" s="187"/>
      <c r="EK18" s="187"/>
      <c r="EL18" s="187"/>
      <c r="EM18" s="187"/>
      <c r="EN18" s="187"/>
      <c r="EO18" s="187"/>
      <c r="EP18" s="187" t="str">
        <f t="array" ref="EP18">INDEX('Rankings-Men'!$C:$C,MATCH(1,(EF18='Rankings-Men'!$D:$D)*(EG18='Rankings-Men'!$E:$E),0))</f>
        <v/>
      </c>
      <c r="EQ18" s="188"/>
    </row>
    <row r="19">
      <c r="A19" s="168"/>
      <c r="B19" s="216"/>
      <c r="C19" s="217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 t="str">
        <f t="array" ref="N19">INDEX('Rankings-Men'!$C:$C,MATCH(1,(D19='Rankings-Men'!$D:$D)*(E19='Rankings-Men'!$E:$E),0))</f>
        <v/>
      </c>
      <c r="O19" s="188"/>
      <c r="P19" s="186"/>
      <c r="Q19" s="187"/>
      <c r="R19" s="187"/>
      <c r="S19" s="187"/>
      <c r="T19" s="187"/>
      <c r="U19" s="187"/>
      <c r="V19" s="187"/>
      <c r="W19" s="187"/>
      <c r="X19" s="187"/>
      <c r="Y19" s="187"/>
      <c r="Z19" s="187" t="str">
        <f t="array" ref="Z19">INDEX('Rankings-Men'!$C:$C,MATCH(1,(P19='Rankings-Men'!$D:$D)*(Q19='Rankings-Men'!$E:$E),0))</f>
        <v/>
      </c>
      <c r="AA19" s="188"/>
      <c r="AB19" s="186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 t="str">
        <f t="array" ref="AL19">INDEX('Rankings-Men'!$C:$C,MATCH(1,(AB19='Rankings-Men'!$D:$D)*(AC19='Rankings-Men'!$E:$E),0))</f>
        <v/>
      </c>
      <c r="AM19" s="188"/>
      <c r="AN19" s="186"/>
      <c r="AO19" s="187"/>
      <c r="AP19" s="187"/>
      <c r="AQ19" s="187"/>
      <c r="AR19" s="187"/>
      <c r="AS19" s="187"/>
      <c r="AT19" s="187">
        <f>COUNTIF('Rankings-Men'!$L:$L,AP19)</f>
        <v>0</v>
      </c>
      <c r="AU19" s="196"/>
      <c r="AV19" s="187">
        <f t="shared" ref="AV19:AW19" si="144">IFNA(INDEX($P$83:$Q$112,MATCH(AR19,$P$83:$P127,0),2),0)</f>
        <v>0</v>
      </c>
      <c r="AW19" s="187">
        <f t="shared" si="144"/>
        <v>0</v>
      </c>
      <c r="AX19" s="187" t="str">
        <f t="array" ref="AX19">INDEX('Rankings-Men'!$C:$C,MATCH(1,(AN19='Rankings-Men'!$D:$D)*(AO19='Rankings-Men'!$E:$E),0))</f>
        <v/>
      </c>
      <c r="AY19" s="188">
        <f t="shared" si="32"/>
        <v>0</v>
      </c>
      <c r="AZ19" s="186"/>
      <c r="BA19" s="187"/>
      <c r="BB19" s="187"/>
      <c r="BC19" s="187"/>
      <c r="BD19" s="187"/>
      <c r="BE19" s="187"/>
      <c r="BF19" s="187">
        <f>COUNTIF('Rankings-Men'!$L:$L,BB19)</f>
        <v>0</v>
      </c>
      <c r="BG19" s="196" t="s">
        <v>798</v>
      </c>
      <c r="BH19" s="187">
        <f t="shared" ref="BH19:BI19" si="145">IFNA(INDEX($P$83:$Q$112,MATCH(BD19,$P$83:$P127,0),2),0)</f>
        <v>0</v>
      </c>
      <c r="BI19" s="187">
        <f t="shared" si="145"/>
        <v>0</v>
      </c>
      <c r="BJ19" s="187" t="str">
        <f t="array" ref="BJ19">INDEX('Rankings-Men'!$C:$C,MATCH(1,(AZ19='Rankings-Men'!$D:$D)*(BA19='Rankings-Men'!$E:$E),0))</f>
        <v/>
      </c>
      <c r="BK19" s="188">
        <f t="shared" si="146"/>
        <v>0</v>
      </c>
      <c r="BL19" s="186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 t="str">
        <f t="array" ref="BV19">INDEX('Rankings-Men'!$C:$C,MATCH(1,(BL19='Rankings-Men'!$D:$D)*(BM19='Rankings-Men'!$E:$E),0))</f>
        <v/>
      </c>
      <c r="BW19" s="188"/>
      <c r="BX19" s="186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 t="str">
        <f t="array" ref="CH19">INDEX('Rankings-Men'!$C:$C,MATCH(1,(BX19='Rankings-Men'!$D:$D)*(BY19='Rankings-Men'!$E:$E),0))</f>
        <v/>
      </c>
      <c r="CI19" s="188"/>
      <c r="CJ19" s="186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 t="str">
        <f t="array" ref="CT19">INDEX('Rankings-Men'!$C:$C,MATCH(1,(CJ19='Rankings-Men'!$D:$D)*(CK19='Rankings-Men'!$E:$E),0))</f>
        <v/>
      </c>
      <c r="CU19" s="188"/>
      <c r="CV19" s="186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 t="str">
        <f t="array" ref="DF19">INDEX('Rankings-Men'!$C:$C,MATCH(1,(CV19='Rankings-Men'!$D:$D)*(CW19='Rankings-Men'!$E:$E),0))</f>
        <v/>
      </c>
      <c r="DG19" s="188"/>
      <c r="DH19" s="186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 t="str">
        <f t="array" ref="DR19">INDEX('Rankings-Men'!$C:$C,MATCH(1,(DH19='Rankings-Men'!$D:$D)*(DI19='Rankings-Men'!$E:$E),0))</f>
        <v/>
      </c>
      <c r="DS19" s="188"/>
      <c r="DT19" s="186"/>
      <c r="DU19" s="187"/>
      <c r="DV19" s="187"/>
      <c r="DW19" s="187"/>
      <c r="DX19" s="187"/>
      <c r="DY19" s="187"/>
      <c r="DZ19" s="187"/>
      <c r="EA19" s="187"/>
      <c r="EB19" s="187"/>
      <c r="EC19" s="187"/>
      <c r="ED19" s="187" t="str">
        <f t="array" ref="ED19">INDEX('Rankings-Men'!$C:$C,MATCH(1,(DT19='Rankings-Men'!$D:$D)*(DU19='Rankings-Men'!$E:$E),0))</f>
        <v/>
      </c>
      <c r="EE19" s="188"/>
      <c r="EF19" s="186"/>
      <c r="EG19" s="187"/>
      <c r="EH19" s="187"/>
      <c r="EI19" s="187"/>
      <c r="EJ19" s="187"/>
      <c r="EK19" s="187"/>
      <c r="EL19" s="187"/>
      <c r="EM19" s="187"/>
      <c r="EN19" s="187"/>
      <c r="EO19" s="187"/>
      <c r="EP19" s="187" t="str">
        <f t="array" ref="EP19">INDEX('Rankings-Men'!$C:$C,MATCH(1,(EF19='Rankings-Men'!$D:$D)*(EG19='Rankings-Men'!$E:$E),0))</f>
        <v/>
      </c>
      <c r="EQ19" s="188"/>
    </row>
    <row r="20">
      <c r="A20" s="218"/>
      <c r="B20" s="218"/>
      <c r="C20" s="218"/>
      <c r="D20" s="186"/>
      <c r="E20" s="187"/>
      <c r="F20" s="187"/>
      <c r="G20" s="187"/>
      <c r="H20" s="187"/>
      <c r="I20" s="187"/>
      <c r="J20" s="187"/>
      <c r="K20" s="187"/>
      <c r="L20" s="187"/>
      <c r="M20" s="187"/>
      <c r="N20" s="187" t="str">
        <f t="array" ref="N20">INDEX('Rankings-Men'!$C:$C,MATCH(1,(D20='Rankings-Men'!$D:$D)*(E20='Rankings-Men'!$E:$E),0))</f>
        <v/>
      </c>
      <c r="O20" s="188"/>
      <c r="P20" s="186"/>
      <c r="Q20" s="187"/>
      <c r="R20" s="187"/>
      <c r="S20" s="187"/>
      <c r="T20" s="187"/>
      <c r="U20" s="187"/>
      <c r="V20" s="187"/>
      <c r="W20" s="187"/>
      <c r="X20" s="187"/>
      <c r="Y20" s="187"/>
      <c r="Z20" s="187" t="str">
        <f t="array" ref="Z20">INDEX('Rankings-Men'!$C:$C,MATCH(1,(P20='Rankings-Men'!$D:$D)*(Q20='Rankings-Men'!$E:$E),0))</f>
        <v/>
      </c>
      <c r="AA20" s="188"/>
      <c r="AB20" s="186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 t="str">
        <f t="array" ref="AL20">INDEX('Rankings-Men'!$C:$C,MATCH(1,(AB20='Rankings-Men'!$D:$D)*(AC20='Rankings-Men'!$E:$E),0))</f>
        <v/>
      </c>
      <c r="AM20" s="188"/>
      <c r="AN20" s="186"/>
      <c r="AO20" s="187"/>
      <c r="AP20" s="187"/>
      <c r="AQ20" s="187"/>
      <c r="AR20" s="187"/>
      <c r="AS20" s="187"/>
      <c r="AT20" s="187">
        <f>COUNTIF('Rankings-Men'!$L:$L,AP20)</f>
        <v>0</v>
      </c>
      <c r="AU20" s="196"/>
      <c r="AV20" s="187">
        <f t="shared" ref="AV20:AW20" si="147">IFNA(INDEX($P$83:$Q$112,MATCH(AR20,$P$83:$P128,0),2),0)</f>
        <v>0</v>
      </c>
      <c r="AW20" s="187">
        <f t="shared" si="147"/>
        <v>0</v>
      </c>
      <c r="AX20" s="187" t="str">
        <f t="array" ref="AX20">INDEX('Rankings-Men'!$C:$C,MATCH(1,(AN20='Rankings-Men'!$D:$D)*(AO20='Rankings-Men'!$E:$E),0))</f>
        <v/>
      </c>
      <c r="AY20" s="188">
        <f t="shared" si="32"/>
        <v>0</v>
      </c>
      <c r="AZ20" s="186"/>
      <c r="BA20" s="187"/>
      <c r="BB20" s="187"/>
      <c r="BC20" s="187"/>
      <c r="BD20" s="187"/>
      <c r="BE20" s="187"/>
      <c r="BF20" s="187">
        <f>COUNTIF('Rankings-Men'!$L:$L,BB20)</f>
        <v>0</v>
      </c>
      <c r="BG20" s="196" t="s">
        <v>798</v>
      </c>
      <c r="BH20" s="187">
        <f t="shared" ref="BH20:BI20" si="148">IFNA(INDEX($P$83:$Q$112,MATCH(BD20,$P$83:$P128,0),2),0)</f>
        <v>0</v>
      </c>
      <c r="BI20" s="187">
        <f t="shared" si="148"/>
        <v>0</v>
      </c>
      <c r="BJ20" s="187" t="str">
        <f t="array" ref="BJ20">INDEX('Rankings-Men'!$C:$C,MATCH(1,(AZ20='Rankings-Men'!$D:$D)*(BA20='Rankings-Men'!$E:$E),0))</f>
        <v/>
      </c>
      <c r="BK20" s="188">
        <f t="shared" si="146"/>
        <v>0</v>
      </c>
      <c r="BL20" s="186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 t="str">
        <f t="array" ref="BV20">INDEX('Rankings-Men'!$C:$C,MATCH(1,(BL20='Rankings-Men'!$D:$D)*(BM20='Rankings-Men'!$E:$E),0))</f>
        <v/>
      </c>
      <c r="BW20" s="188"/>
      <c r="BX20" s="186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 t="str">
        <f t="array" ref="CH20">INDEX('Rankings-Men'!$C:$C,MATCH(1,(BX20='Rankings-Men'!$D:$D)*(BY20='Rankings-Men'!$E:$E),0))</f>
        <v/>
      </c>
      <c r="CI20" s="188"/>
      <c r="CJ20" s="186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 t="str">
        <f t="array" ref="CT20">INDEX('Rankings-Men'!$C:$C,MATCH(1,(CJ20='Rankings-Men'!$D:$D)*(CK20='Rankings-Men'!$E:$E),0))</f>
        <v/>
      </c>
      <c r="CU20" s="188"/>
      <c r="CV20" s="186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 t="str">
        <f t="array" ref="DF20">INDEX('Rankings-Men'!$C:$C,MATCH(1,(CV20='Rankings-Men'!$D:$D)*(CW20='Rankings-Men'!$E:$E),0))</f>
        <v/>
      </c>
      <c r="DG20" s="188"/>
      <c r="DH20" s="186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 t="str">
        <f t="array" ref="DR20">INDEX('Rankings-Men'!$C:$C,MATCH(1,(DH20='Rankings-Men'!$D:$D)*(DI20='Rankings-Men'!$E:$E),0))</f>
        <v/>
      </c>
      <c r="DS20" s="188"/>
      <c r="DT20" s="186"/>
      <c r="DU20" s="187"/>
      <c r="DV20" s="187"/>
      <c r="DW20" s="187"/>
      <c r="DX20" s="187"/>
      <c r="DY20" s="187"/>
      <c r="DZ20" s="187"/>
      <c r="EA20" s="187"/>
      <c r="EB20" s="187"/>
      <c r="EC20" s="187"/>
      <c r="ED20" s="187" t="str">
        <f t="array" ref="ED20">INDEX('Rankings-Men'!$C:$C,MATCH(1,(DT20='Rankings-Men'!$D:$D)*(DU20='Rankings-Men'!$E:$E),0))</f>
        <v/>
      </c>
      <c r="EE20" s="188"/>
      <c r="EF20" s="186"/>
      <c r="EG20" s="187"/>
      <c r="EH20" s="187"/>
      <c r="EI20" s="187"/>
      <c r="EJ20" s="187"/>
      <c r="EK20" s="187"/>
      <c r="EL20" s="187"/>
      <c r="EM20" s="187"/>
      <c r="EN20" s="187"/>
      <c r="EO20" s="187"/>
      <c r="EP20" s="187" t="str">
        <f t="array" ref="EP20">INDEX('Rankings-Men'!$C:$C,MATCH(1,(EF20='Rankings-Men'!$D:$D)*(EG20='Rankings-Men'!$E:$E),0))</f>
        <v/>
      </c>
      <c r="EQ20" s="188"/>
    </row>
    <row r="21">
      <c r="A21" s="218"/>
      <c r="B21" s="218"/>
      <c r="C21" s="218"/>
      <c r="D21" s="186"/>
      <c r="E21" s="187"/>
      <c r="F21" s="187"/>
      <c r="G21" s="187"/>
      <c r="H21" s="187"/>
      <c r="I21" s="187"/>
      <c r="J21" s="187"/>
      <c r="K21" s="196"/>
      <c r="L21" s="187"/>
      <c r="M21" s="187"/>
      <c r="N21" s="187" t="str">
        <f t="array" ref="N21">INDEX('Rankings-Men'!$C:$C,MATCH(1,(D21='Rankings-Men'!$D:$D)*(E21='Rankings-Men'!$E:$E),0))</f>
        <v/>
      </c>
      <c r="O21" s="188"/>
      <c r="P21" s="186"/>
      <c r="Q21" s="187"/>
      <c r="R21" s="187"/>
      <c r="S21" s="187"/>
      <c r="T21" s="187"/>
      <c r="U21" s="187"/>
      <c r="V21" s="187"/>
      <c r="W21" s="187"/>
      <c r="X21" s="187"/>
      <c r="Y21" s="187"/>
      <c r="Z21" s="187" t="str">
        <f t="array" ref="Z21">INDEX('Rankings-Men'!$C:$C,MATCH(1,(P21='Rankings-Men'!$D:$D)*(Q21='Rankings-Men'!$E:$E),0))</f>
        <v/>
      </c>
      <c r="AA21" s="188"/>
      <c r="AB21" s="186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 t="str">
        <f t="array" ref="AL21">INDEX('Rankings-Men'!$C:$C,MATCH(1,(AB21='Rankings-Men'!$D:$D)*(AC21='Rankings-Men'!$E:$E),0))</f>
        <v/>
      </c>
      <c r="AM21" s="188"/>
      <c r="AN21" s="186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 t="str">
        <f t="array" ref="AX21">INDEX('Rankings-Men'!$C:$C,MATCH(1,(AN21='Rankings-Men'!$D:$D)*(AO21='Rankings-Men'!$E:$E),0))</f>
        <v/>
      </c>
      <c r="AY21" s="188"/>
      <c r="AZ21" s="186"/>
      <c r="BA21" s="187"/>
      <c r="BB21" s="187"/>
      <c r="BC21" s="187"/>
      <c r="BD21" s="187"/>
      <c r="BE21" s="187"/>
      <c r="BF21" s="187">
        <f>COUNTIF('Rankings-Men'!$L:$L,BB21)</f>
        <v>0</v>
      </c>
      <c r="BG21" s="196" t="s">
        <v>798</v>
      </c>
      <c r="BH21" s="187">
        <f t="shared" ref="BH21:BI21" si="149">IFNA(INDEX($P$83:$Q$112,MATCH(BD21,$P$83:$P129,0),2),0)</f>
        <v>0</v>
      </c>
      <c r="BI21" s="187">
        <f t="shared" si="149"/>
        <v>0</v>
      </c>
      <c r="BJ21" s="187" t="str">
        <f t="array" ref="BJ21">INDEX('Rankings-Men'!$C:$C,MATCH(1,(AZ21='Rankings-Men'!$D:$D)*(BA21='Rankings-Men'!$E:$E),0))</f>
        <v/>
      </c>
      <c r="BK21" s="188">
        <f t="shared" si="146"/>
        <v>0</v>
      </c>
      <c r="BL21" s="186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 t="str">
        <f t="array" ref="BV21">INDEX('Rankings-Men'!$C:$C,MATCH(1,(BL21='Rankings-Men'!$D:$D)*(BM21='Rankings-Men'!$E:$E),0))</f>
        <v/>
      </c>
      <c r="BW21" s="188"/>
      <c r="BX21" s="186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 t="str">
        <f t="array" ref="CH21">INDEX('Rankings-Men'!$C:$C,MATCH(1,(BX21='Rankings-Men'!$D:$D)*(BY21='Rankings-Men'!$E:$E),0))</f>
        <v/>
      </c>
      <c r="CI21" s="188"/>
      <c r="CJ21" s="186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 t="str">
        <f t="array" ref="CT21">INDEX('Rankings-Men'!$C:$C,MATCH(1,(CJ21='Rankings-Men'!$D:$D)*(CK21='Rankings-Men'!$E:$E),0))</f>
        <v/>
      </c>
      <c r="CU21" s="188"/>
      <c r="CV21" s="186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 t="str">
        <f t="array" ref="DF21">INDEX('Rankings-Men'!$C:$C,MATCH(1,(CV21='Rankings-Men'!$D:$D)*(CW21='Rankings-Men'!$E:$E),0))</f>
        <v/>
      </c>
      <c r="DG21" s="188"/>
      <c r="DH21" s="186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 t="str">
        <f t="array" ref="DR21">INDEX('Rankings-Men'!$C:$C,MATCH(1,(DH21='Rankings-Men'!$D:$D)*(DI21='Rankings-Men'!$E:$E),0))</f>
        <v/>
      </c>
      <c r="DS21" s="188"/>
      <c r="DT21" s="186"/>
      <c r="DU21" s="187"/>
      <c r="DV21" s="187"/>
      <c r="DW21" s="187"/>
      <c r="DX21" s="187"/>
      <c r="DY21" s="187"/>
      <c r="DZ21" s="187"/>
      <c r="EA21" s="187"/>
      <c r="EB21" s="187"/>
      <c r="EC21" s="187"/>
      <c r="ED21" s="187" t="str">
        <f t="array" ref="ED21">INDEX('Rankings-Men'!$C:$C,MATCH(1,(DT21='Rankings-Men'!$D:$D)*(DU21='Rankings-Men'!$E:$E),0))</f>
        <v/>
      </c>
      <c r="EE21" s="188"/>
      <c r="EF21" s="186"/>
      <c r="EG21" s="187"/>
      <c r="EH21" s="187"/>
      <c r="EI21" s="187"/>
      <c r="EJ21" s="187"/>
      <c r="EK21" s="187"/>
      <c r="EL21" s="187"/>
      <c r="EM21" s="187"/>
      <c r="EN21" s="187"/>
      <c r="EO21" s="187"/>
      <c r="EP21" s="187" t="str">
        <f t="array" ref="EP21">INDEX('Rankings-Men'!$C:$C,MATCH(1,(EF21='Rankings-Men'!$D:$D)*(EG21='Rankings-Men'!$E:$E),0))</f>
        <v/>
      </c>
      <c r="EQ21" s="188"/>
    </row>
    <row r="22">
      <c r="A22" s="218"/>
      <c r="B22" s="218"/>
      <c r="C22" s="218"/>
      <c r="D22" s="186"/>
      <c r="E22" s="187"/>
      <c r="F22" s="187"/>
      <c r="G22" s="187"/>
      <c r="H22" s="187"/>
      <c r="I22" s="187"/>
      <c r="J22" s="187"/>
      <c r="K22" s="196"/>
      <c r="L22" s="187"/>
      <c r="M22" s="187"/>
      <c r="N22" s="187" t="str">
        <f t="array" ref="N22">INDEX('Rankings-Men'!$C:$C,MATCH(1,(D22='Rankings-Men'!$D:$D)*(E22='Rankings-Men'!$E:$E),0))</f>
        <v/>
      </c>
      <c r="O22" s="188"/>
      <c r="P22" s="186"/>
      <c r="Q22" s="187"/>
      <c r="R22" s="187"/>
      <c r="S22" s="187"/>
      <c r="T22" s="187"/>
      <c r="U22" s="187"/>
      <c r="V22" s="187"/>
      <c r="W22" s="187"/>
      <c r="X22" s="187"/>
      <c r="Y22" s="187"/>
      <c r="Z22" s="187" t="str">
        <f t="array" ref="Z22">INDEX('Rankings-Men'!$C:$C,MATCH(1,(P22='Rankings-Men'!$D:$D)*(Q22='Rankings-Men'!$E:$E),0))</f>
        <v/>
      </c>
      <c r="AA22" s="188"/>
      <c r="AB22" s="186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 t="str">
        <f t="array" ref="AL22">INDEX('Rankings-Men'!$C:$C,MATCH(1,(AB22='Rankings-Men'!$D:$D)*(AC22='Rankings-Men'!$E:$E),0))</f>
        <v/>
      </c>
      <c r="AM22" s="188"/>
      <c r="AN22" s="186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 t="str">
        <f t="array" ref="AX22">INDEX('Rankings-Men'!$C:$C,MATCH(1,(AN22='Rankings-Men'!$D:$D)*(AO22='Rankings-Men'!$E:$E),0))</f>
        <v/>
      </c>
      <c r="AY22" s="188"/>
      <c r="AZ22" s="186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 t="str">
        <f t="array" ref="BJ22">INDEX('Rankings-Men'!$C:$C,MATCH(1,(AZ22='Rankings-Men'!$D:$D)*(BA22='Rankings-Men'!$E:$E),0))</f>
        <v/>
      </c>
      <c r="BK22" s="188"/>
      <c r="BL22" s="186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 t="str">
        <f t="array" ref="BV22">INDEX('Rankings-Men'!$C:$C,MATCH(1,(BL22='Rankings-Men'!$D:$D)*(BM22='Rankings-Men'!$E:$E),0))</f>
        <v/>
      </c>
      <c r="BW22" s="188"/>
      <c r="BX22" s="186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 t="str">
        <f t="array" ref="CH22">INDEX('Rankings-Men'!$C:$C,MATCH(1,(BX22='Rankings-Men'!$D:$D)*(BY22='Rankings-Men'!$E:$E),0))</f>
        <v/>
      </c>
      <c r="CI22" s="188"/>
      <c r="CJ22" s="186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 t="str">
        <f t="array" ref="CT22">INDEX('Rankings-Men'!$C:$C,MATCH(1,(CJ22='Rankings-Men'!$D:$D)*(CK22='Rankings-Men'!$E:$E),0))</f>
        <v/>
      </c>
      <c r="CU22" s="188"/>
      <c r="CV22" s="186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 t="str">
        <f t="array" ref="DF22">INDEX('Rankings-Men'!$C:$C,MATCH(1,(CV22='Rankings-Men'!$D:$D)*(CW22='Rankings-Men'!$E:$E),0))</f>
        <v/>
      </c>
      <c r="DG22" s="188"/>
      <c r="DH22" s="186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 t="str">
        <f t="array" ref="DR22">INDEX('Rankings-Men'!$C:$C,MATCH(1,(DH22='Rankings-Men'!$D:$D)*(DI22='Rankings-Men'!$E:$E),0))</f>
        <v/>
      </c>
      <c r="DS22" s="188"/>
      <c r="DT22" s="186"/>
      <c r="DU22" s="187"/>
      <c r="DV22" s="187"/>
      <c r="DW22" s="187"/>
      <c r="DX22" s="187"/>
      <c r="DY22" s="187"/>
      <c r="DZ22" s="187"/>
      <c r="EA22" s="187"/>
      <c r="EB22" s="187"/>
      <c r="EC22" s="187"/>
      <c r="ED22" s="187" t="str">
        <f t="array" ref="ED22">INDEX('Rankings-Men'!$C:$C,MATCH(1,(DT22='Rankings-Men'!$D:$D)*(DU22='Rankings-Men'!$E:$E),0))</f>
        <v/>
      </c>
      <c r="EE22" s="188"/>
      <c r="EF22" s="186"/>
      <c r="EG22" s="187"/>
      <c r="EH22" s="187"/>
      <c r="EI22" s="187"/>
      <c r="EJ22" s="187"/>
      <c r="EK22" s="187"/>
      <c r="EL22" s="187"/>
      <c r="EM22" s="187"/>
      <c r="EN22" s="187"/>
      <c r="EO22" s="187"/>
      <c r="EP22" s="187" t="str">
        <f t="array" ref="EP22">INDEX('Rankings-Men'!$C:$C,MATCH(1,(EF22='Rankings-Men'!$D:$D)*(EG22='Rankings-Men'!$E:$E),0))</f>
        <v/>
      </c>
      <c r="EQ22" s="188"/>
    </row>
    <row r="23">
      <c r="A23" s="218"/>
      <c r="B23" s="218"/>
      <c r="C23" s="218"/>
      <c r="D23" s="186"/>
      <c r="E23" s="187"/>
      <c r="F23" s="187"/>
      <c r="G23" s="187"/>
      <c r="H23" s="187"/>
      <c r="I23" s="187"/>
      <c r="J23" s="187"/>
      <c r="K23" s="187"/>
      <c r="L23" s="187"/>
      <c r="M23" s="187"/>
      <c r="N23" s="187" t="str">
        <f t="array" ref="N23">INDEX('Rankings-Men'!$C:$C,MATCH(1,(D23='Rankings-Men'!$D:$D)*(E23='Rankings-Men'!$E:$E),0))</f>
        <v/>
      </c>
      <c r="O23" s="188"/>
      <c r="P23" s="186"/>
      <c r="Q23" s="187"/>
      <c r="R23" s="187"/>
      <c r="S23" s="187"/>
      <c r="T23" s="187"/>
      <c r="U23" s="187"/>
      <c r="V23" s="187"/>
      <c r="W23" s="187"/>
      <c r="X23" s="187"/>
      <c r="Y23" s="187"/>
      <c r="Z23" s="187" t="str">
        <f t="array" ref="Z23">INDEX('Rankings-Men'!$C:$C,MATCH(1,(P23='Rankings-Men'!$D:$D)*(Q23='Rankings-Men'!$E:$E),0))</f>
        <v/>
      </c>
      <c r="AA23" s="188"/>
      <c r="AB23" s="186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 t="str">
        <f t="array" ref="AL23">INDEX('Rankings-Men'!$C:$C,MATCH(1,(AB23='Rankings-Men'!$D:$D)*(AC23='Rankings-Men'!$E:$E),0))</f>
        <v/>
      </c>
      <c r="AM23" s="188"/>
      <c r="AN23" s="186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 t="str">
        <f t="array" ref="AX23">INDEX('Rankings-Men'!$C:$C,MATCH(1,(AN23='Rankings-Men'!$D:$D)*(AO23='Rankings-Men'!$E:$E),0))</f>
        <v/>
      </c>
      <c r="AY23" s="188"/>
      <c r="AZ23" s="186"/>
      <c r="BA23" s="187"/>
      <c r="BB23" s="187"/>
      <c r="BC23" s="187"/>
      <c r="BD23" s="187"/>
      <c r="BE23" s="187"/>
      <c r="BF23" s="187"/>
      <c r="BG23" s="187"/>
      <c r="BH23" s="187"/>
      <c r="BI23" s="187"/>
      <c r="BJ23" s="187" t="str">
        <f t="array" ref="BJ23">INDEX('Rankings-Men'!$C:$C,MATCH(1,(AZ23='Rankings-Men'!$D:$D)*(BA23='Rankings-Men'!$E:$E),0))</f>
        <v/>
      </c>
      <c r="BK23" s="188"/>
      <c r="BL23" s="186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 t="str">
        <f t="array" ref="BV23">INDEX('Rankings-Men'!$C:$C,MATCH(1,(BL23='Rankings-Men'!$D:$D)*(BM23='Rankings-Men'!$E:$E),0))</f>
        <v/>
      </c>
      <c r="BW23" s="188"/>
      <c r="BX23" s="186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 t="str">
        <f t="array" ref="CH23">INDEX('Rankings-Men'!$C:$C,MATCH(1,(BX23='Rankings-Men'!$D:$D)*(BY23='Rankings-Men'!$E:$E),0))</f>
        <v/>
      </c>
      <c r="CI23" s="188"/>
      <c r="CJ23" s="186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 t="str">
        <f t="array" ref="CT23">INDEX('Rankings-Men'!$C:$C,MATCH(1,(CJ23='Rankings-Men'!$D:$D)*(CK23='Rankings-Men'!$E:$E),0))</f>
        <v/>
      </c>
      <c r="CU23" s="188"/>
      <c r="CV23" s="186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 t="str">
        <f t="array" ref="DF23">INDEX('Rankings-Men'!$C:$C,MATCH(1,(CV23='Rankings-Men'!$D:$D)*(CW23='Rankings-Men'!$E:$E),0))</f>
        <v/>
      </c>
      <c r="DG23" s="188"/>
      <c r="DH23" s="186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 t="str">
        <f t="array" ref="DR23">INDEX('Rankings-Men'!$C:$C,MATCH(1,(DH23='Rankings-Men'!$D:$D)*(DI23='Rankings-Men'!$E:$E),0))</f>
        <v/>
      </c>
      <c r="DS23" s="188"/>
      <c r="DT23" s="186"/>
      <c r="DU23" s="187"/>
      <c r="DV23" s="187"/>
      <c r="DW23" s="187"/>
      <c r="DX23" s="187"/>
      <c r="DY23" s="187"/>
      <c r="DZ23" s="187"/>
      <c r="EA23" s="187"/>
      <c r="EB23" s="187"/>
      <c r="EC23" s="187"/>
      <c r="ED23" s="187" t="str">
        <f t="array" ref="ED23">INDEX('Rankings-Men'!$C:$C,MATCH(1,(DT23='Rankings-Men'!$D:$D)*(DU23='Rankings-Men'!$E:$E),0))</f>
        <v/>
      </c>
      <c r="EE23" s="188"/>
      <c r="EF23" s="186"/>
      <c r="EG23" s="187"/>
      <c r="EH23" s="187"/>
      <c r="EI23" s="187"/>
      <c r="EJ23" s="187"/>
      <c r="EK23" s="187"/>
      <c r="EL23" s="187"/>
      <c r="EM23" s="187"/>
      <c r="EN23" s="187"/>
      <c r="EO23" s="187"/>
      <c r="EP23" s="187" t="str">
        <f t="array" ref="EP23">INDEX('Rankings-Men'!$C:$C,MATCH(1,(EF23='Rankings-Men'!$D:$D)*(EG23='Rankings-Men'!$E:$E),0))</f>
        <v/>
      </c>
      <c r="EQ23" s="188"/>
    </row>
    <row r="24">
      <c r="A24" s="168"/>
      <c r="B24" s="216"/>
      <c r="C24" s="217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 t="str">
        <f t="array" ref="N24">INDEX('Rankings-Men'!$C:$C,MATCH(1,(D24='Rankings-Men'!$D:$D)*(E24='Rankings-Men'!$E:$E),0))</f>
        <v/>
      </c>
      <c r="O24" s="188"/>
      <c r="P24" s="186"/>
      <c r="Q24" s="187"/>
      <c r="R24" s="187"/>
      <c r="S24" s="187"/>
      <c r="T24" s="187"/>
      <c r="U24" s="187"/>
      <c r="V24" s="187"/>
      <c r="W24" s="187"/>
      <c r="X24" s="187"/>
      <c r="Y24" s="187"/>
      <c r="Z24" s="187" t="str">
        <f t="array" ref="Z24">INDEX('Rankings-Men'!$C:$C,MATCH(1,(P24='Rankings-Men'!$D:$D)*(Q24='Rankings-Men'!$E:$E),0))</f>
        <v/>
      </c>
      <c r="AA24" s="188"/>
      <c r="AB24" s="186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 t="str">
        <f t="array" ref="AL24">INDEX('Rankings-Men'!$C:$C,MATCH(1,(AB24='Rankings-Men'!$D:$D)*(AC24='Rankings-Men'!$E:$E),0))</f>
        <v/>
      </c>
      <c r="AM24" s="188"/>
      <c r="AN24" s="186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 t="str">
        <f t="array" ref="AX24">INDEX('Rankings-Men'!$C:$C,MATCH(1,(AN24='Rankings-Men'!$D:$D)*(AO24='Rankings-Men'!$E:$E),0))</f>
        <v/>
      </c>
      <c r="AY24" s="188"/>
      <c r="AZ24" s="186"/>
      <c r="BA24" s="187"/>
      <c r="BB24" s="187"/>
      <c r="BC24" s="187"/>
      <c r="BD24" s="187"/>
      <c r="BE24" s="187"/>
      <c r="BF24" s="187"/>
      <c r="BG24" s="187"/>
      <c r="BH24" s="187"/>
      <c r="BI24" s="187"/>
      <c r="BJ24" s="187" t="str">
        <f t="array" ref="BJ24">INDEX('Rankings-Men'!$C:$C,MATCH(1,(AZ24='Rankings-Men'!$D:$D)*(BA24='Rankings-Men'!$E:$E),0))</f>
        <v/>
      </c>
      <c r="BK24" s="188"/>
      <c r="BL24" s="186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 t="str">
        <f t="array" ref="BV24">INDEX('Rankings-Men'!$C:$C,MATCH(1,(BL24='Rankings-Men'!$D:$D)*(BM24='Rankings-Men'!$E:$E),0))</f>
        <v/>
      </c>
      <c r="BW24" s="188"/>
      <c r="BX24" s="186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 t="str">
        <f t="array" ref="CH24">INDEX('Rankings-Men'!$C:$C,MATCH(1,(BX24='Rankings-Men'!$D:$D)*(BY24='Rankings-Men'!$E:$E),0))</f>
        <v/>
      </c>
      <c r="CI24" s="188"/>
      <c r="CJ24" s="186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 t="str">
        <f t="array" ref="CT24">INDEX('Rankings-Men'!$C:$C,MATCH(1,(CJ24='Rankings-Men'!$D:$D)*(CK24='Rankings-Men'!$E:$E),0))</f>
        <v/>
      </c>
      <c r="CU24" s="188"/>
      <c r="CV24" s="186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 t="str">
        <f t="array" ref="DF24">INDEX('Rankings-Men'!$C:$C,MATCH(1,(CV24='Rankings-Men'!$D:$D)*(CW24='Rankings-Men'!$E:$E),0))</f>
        <v/>
      </c>
      <c r="DG24" s="188"/>
      <c r="DH24" s="186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 t="str">
        <f t="array" ref="DR24">INDEX('Rankings-Men'!$C:$C,MATCH(1,(DH24='Rankings-Men'!$D:$D)*(DI24='Rankings-Men'!$E:$E),0))</f>
        <v/>
      </c>
      <c r="DS24" s="188"/>
      <c r="DT24" s="186"/>
      <c r="DU24" s="187"/>
      <c r="DV24" s="187"/>
      <c r="DW24" s="187"/>
      <c r="DX24" s="187"/>
      <c r="DY24" s="187"/>
      <c r="DZ24" s="187"/>
      <c r="EA24" s="187"/>
      <c r="EB24" s="187"/>
      <c r="EC24" s="187"/>
      <c r="ED24" s="187" t="str">
        <f t="array" ref="ED24">INDEX('Rankings-Men'!$C:$C,MATCH(1,(DT24='Rankings-Men'!$D:$D)*(DU24='Rankings-Men'!$E:$E),0))</f>
        <v/>
      </c>
      <c r="EE24" s="188"/>
      <c r="EF24" s="186"/>
      <c r="EG24" s="187"/>
      <c r="EH24" s="187"/>
      <c r="EI24" s="187"/>
      <c r="EJ24" s="187"/>
      <c r="EK24" s="187"/>
      <c r="EL24" s="187"/>
      <c r="EM24" s="187"/>
      <c r="EN24" s="187"/>
      <c r="EO24" s="187"/>
      <c r="EP24" s="187" t="str">
        <f t="array" ref="EP24">INDEX('Rankings-Men'!$C:$C,MATCH(1,(EF24='Rankings-Men'!$D:$D)*(EG24='Rankings-Men'!$E:$E),0))</f>
        <v/>
      </c>
      <c r="EQ24" s="188"/>
    </row>
    <row r="25">
      <c r="A25" s="198"/>
      <c r="B25" s="219"/>
      <c r="C25" s="220"/>
      <c r="D25" s="186"/>
      <c r="E25" s="187"/>
      <c r="F25" s="187"/>
      <c r="G25" s="187"/>
      <c r="H25" s="187"/>
      <c r="I25" s="187"/>
      <c r="J25" s="187"/>
      <c r="K25" s="187"/>
      <c r="L25" s="187"/>
      <c r="M25" s="187"/>
      <c r="N25" s="187" t="str">
        <f t="array" ref="N25">INDEX('Rankings-Men'!$C:$C,MATCH(1,(D25='Rankings-Men'!$D:$D)*(E25='Rankings-Men'!$E:$E),0))</f>
        <v/>
      </c>
      <c r="O25" s="188"/>
      <c r="P25" s="186"/>
      <c r="Q25" s="187"/>
      <c r="R25" s="187"/>
      <c r="S25" s="187"/>
      <c r="T25" s="187"/>
      <c r="U25" s="187"/>
      <c r="V25" s="187"/>
      <c r="W25" s="187"/>
      <c r="X25" s="187"/>
      <c r="Y25" s="187"/>
      <c r="Z25" s="187" t="str">
        <f t="array" ref="Z25">INDEX('Rankings-Men'!$C:$C,MATCH(1,(P25='Rankings-Men'!$D:$D)*(Q25='Rankings-Men'!$E:$E),0))</f>
        <v/>
      </c>
      <c r="AA25" s="188"/>
      <c r="AB25" s="186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 t="str">
        <f t="array" ref="AL25">INDEX('Rankings-Men'!$C:$C,MATCH(1,(AB25='Rankings-Men'!$D:$D)*(AC25='Rankings-Men'!$E:$E),0))</f>
        <v/>
      </c>
      <c r="AM25" s="188"/>
      <c r="AN25" s="186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 t="str">
        <f t="array" ref="AX25">INDEX('Rankings-Men'!$C:$C,MATCH(1,(AN25='Rankings-Men'!$D:$D)*(AO25='Rankings-Men'!$E:$E),0))</f>
        <v/>
      </c>
      <c r="AY25" s="188"/>
      <c r="AZ25" s="186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 t="str">
        <f t="array" ref="BJ25">INDEX('Rankings-Men'!$C:$C,MATCH(1,(AZ25='Rankings-Men'!$D:$D)*(BA25='Rankings-Men'!$E:$E),0))</f>
        <v/>
      </c>
      <c r="BK25" s="188"/>
      <c r="BL25" s="186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 t="str">
        <f t="array" ref="BV25">INDEX('Rankings-Men'!$C:$C,MATCH(1,(BL25='Rankings-Men'!$D:$D)*(BM25='Rankings-Men'!$E:$E),0))</f>
        <v/>
      </c>
      <c r="BW25" s="188"/>
      <c r="BX25" s="186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 t="str">
        <f t="array" ref="CH25">INDEX('Rankings-Men'!$C:$C,MATCH(1,(BX25='Rankings-Men'!$D:$D)*(BY25='Rankings-Men'!$E:$E),0))</f>
        <v/>
      </c>
      <c r="CI25" s="188"/>
      <c r="CJ25" s="186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 t="str">
        <f t="array" ref="CT25">INDEX('Rankings-Men'!$C:$C,MATCH(1,(CJ25='Rankings-Men'!$D:$D)*(CK25='Rankings-Men'!$E:$E),0))</f>
        <v/>
      </c>
      <c r="CU25" s="188"/>
      <c r="CV25" s="186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 t="str">
        <f t="array" ref="DF25">INDEX('Rankings-Men'!$C:$C,MATCH(1,(CV25='Rankings-Men'!$D:$D)*(CW25='Rankings-Men'!$E:$E),0))</f>
        <v/>
      </c>
      <c r="DG25" s="188"/>
      <c r="DH25" s="186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 t="str">
        <f t="array" ref="DR25">INDEX('Rankings-Men'!$C:$C,MATCH(1,(DH25='Rankings-Men'!$D:$D)*(DI25='Rankings-Men'!$E:$E),0))</f>
        <v/>
      </c>
      <c r="DS25" s="188"/>
      <c r="DT25" s="186"/>
      <c r="DU25" s="187"/>
      <c r="DV25" s="187"/>
      <c r="DW25" s="187"/>
      <c r="DX25" s="187"/>
      <c r="DY25" s="187"/>
      <c r="DZ25" s="187"/>
      <c r="EA25" s="187"/>
      <c r="EB25" s="187"/>
      <c r="EC25" s="187"/>
      <c r="ED25" s="187" t="str">
        <f t="array" ref="ED25">INDEX('Rankings-Men'!$C:$C,MATCH(1,(DT25='Rankings-Men'!$D:$D)*(DU25='Rankings-Men'!$E:$E),0))</f>
        <v/>
      </c>
      <c r="EE25" s="188"/>
      <c r="EF25" s="186"/>
      <c r="EG25" s="187"/>
      <c r="EH25" s="187"/>
      <c r="EI25" s="187"/>
      <c r="EJ25" s="187"/>
      <c r="EK25" s="187"/>
      <c r="EL25" s="187"/>
      <c r="EM25" s="187"/>
      <c r="EN25" s="187"/>
      <c r="EO25" s="187"/>
      <c r="EP25" s="187" t="str">
        <f t="array" ref="EP25">INDEX('Rankings-Men'!$C:$C,MATCH(1,(EF25='Rankings-Men'!$D:$D)*(EG25='Rankings-Men'!$E:$E),0))</f>
        <v/>
      </c>
      <c r="EQ25" s="188"/>
    </row>
    <row r="26" hidden="1">
      <c r="A26" s="187"/>
      <c r="B26" s="187"/>
      <c r="C26" s="187"/>
      <c r="D26" s="201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3"/>
      <c r="P26" s="201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3"/>
      <c r="AB26" s="201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3"/>
      <c r="AN26" s="201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3"/>
      <c r="AZ26" s="201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3"/>
      <c r="BL26" s="201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3"/>
      <c r="BX26" s="201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3"/>
      <c r="CJ26" s="201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3"/>
      <c r="CV26" s="201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3"/>
      <c r="DH26" s="201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3"/>
      <c r="DT26" s="201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3"/>
      <c r="EF26" s="201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3"/>
    </row>
    <row r="27" hidden="1">
      <c r="A27" s="187"/>
      <c r="B27" s="187"/>
      <c r="C27" s="187"/>
      <c r="D27" s="202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4"/>
      <c r="P27" s="202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4"/>
      <c r="AB27" s="202"/>
      <c r="AC27" s="203"/>
      <c r="AD27" s="203"/>
      <c r="AE27" s="203"/>
      <c r="AF27" s="203"/>
      <c r="AG27" s="203"/>
      <c r="AH27" s="203"/>
      <c r="AI27" s="203"/>
      <c r="AJ27" s="203"/>
      <c r="AK27" s="203"/>
      <c r="AL27" s="203"/>
      <c r="AM27" s="204"/>
      <c r="AN27" s="202"/>
      <c r="AO27" s="203"/>
      <c r="AP27" s="203"/>
      <c r="AQ27" s="203"/>
      <c r="AR27" s="203"/>
      <c r="AS27" s="203"/>
      <c r="AT27" s="203"/>
      <c r="AU27" s="203"/>
      <c r="AV27" s="203"/>
      <c r="AW27" s="203"/>
      <c r="AX27" s="203"/>
      <c r="AY27" s="204"/>
      <c r="AZ27" s="202"/>
      <c r="BA27" s="203"/>
      <c r="BB27" s="203"/>
      <c r="BC27" s="203"/>
      <c r="BD27" s="203"/>
      <c r="BE27" s="203"/>
      <c r="BF27" s="203"/>
      <c r="BG27" s="203"/>
      <c r="BH27" s="203"/>
      <c r="BI27" s="203"/>
      <c r="BJ27" s="203"/>
      <c r="BK27" s="204"/>
      <c r="BL27" s="202"/>
      <c r="BM27" s="203"/>
      <c r="BN27" s="203"/>
      <c r="BO27" s="203"/>
      <c r="BP27" s="203"/>
      <c r="BQ27" s="203"/>
      <c r="BR27" s="203"/>
      <c r="BS27" s="203"/>
      <c r="BT27" s="203"/>
      <c r="BU27" s="203"/>
      <c r="BV27" s="203"/>
      <c r="BW27" s="204"/>
      <c r="BX27" s="202"/>
      <c r="BY27" s="203"/>
      <c r="BZ27" s="203"/>
      <c r="CA27" s="203"/>
      <c r="CB27" s="203"/>
      <c r="CC27" s="203"/>
      <c r="CD27" s="203"/>
      <c r="CE27" s="203"/>
      <c r="CF27" s="203"/>
      <c r="CG27" s="203"/>
      <c r="CH27" s="203"/>
      <c r="CI27" s="204"/>
      <c r="CJ27" s="202"/>
      <c r="CK27" s="203"/>
      <c r="CL27" s="203"/>
      <c r="CM27" s="203"/>
      <c r="CN27" s="203"/>
      <c r="CO27" s="203"/>
      <c r="CP27" s="203"/>
      <c r="CQ27" s="203"/>
      <c r="CR27" s="203"/>
      <c r="CS27" s="203"/>
      <c r="CT27" s="203"/>
      <c r="CU27" s="204"/>
      <c r="CV27" s="202"/>
      <c r="CW27" s="203"/>
      <c r="CX27" s="203"/>
      <c r="CY27" s="203"/>
      <c r="CZ27" s="203"/>
      <c r="DA27" s="203"/>
      <c r="DB27" s="203"/>
      <c r="DC27" s="203"/>
      <c r="DD27" s="203"/>
      <c r="DE27" s="203"/>
      <c r="DF27" s="203"/>
      <c r="DG27" s="204"/>
      <c r="DH27" s="202"/>
      <c r="DI27" s="203"/>
      <c r="DJ27" s="203"/>
      <c r="DK27" s="203"/>
      <c r="DL27" s="203"/>
      <c r="DM27" s="203"/>
      <c r="DN27" s="203"/>
      <c r="DO27" s="203"/>
      <c r="DP27" s="203"/>
      <c r="DQ27" s="203"/>
      <c r="DR27" s="203"/>
      <c r="DS27" s="204"/>
      <c r="DT27" s="202"/>
      <c r="DU27" s="203"/>
      <c r="DV27" s="203"/>
      <c r="DW27" s="203"/>
      <c r="DX27" s="203"/>
      <c r="DY27" s="203"/>
      <c r="DZ27" s="203"/>
      <c r="EA27" s="203"/>
      <c r="EB27" s="203"/>
      <c r="EC27" s="203"/>
      <c r="ED27" s="203"/>
      <c r="EE27" s="204"/>
      <c r="EF27" s="202"/>
      <c r="EG27" s="203"/>
      <c r="EH27" s="203"/>
      <c r="EI27" s="203"/>
      <c r="EJ27" s="203"/>
      <c r="EK27" s="203"/>
      <c r="EL27" s="203"/>
      <c r="EM27" s="203"/>
      <c r="EN27" s="203"/>
      <c r="EO27" s="203"/>
      <c r="EP27" s="203"/>
      <c r="EQ27" s="204"/>
    </row>
    <row r="28" hidden="1">
      <c r="A28" s="187"/>
      <c r="B28" s="187"/>
      <c r="C28" s="187"/>
      <c r="D28" s="205"/>
      <c r="E28" s="206"/>
      <c r="F28" s="207"/>
      <c r="G28" s="207"/>
      <c r="H28" s="207"/>
      <c r="I28" s="207"/>
      <c r="J28" s="206"/>
      <c r="K28" s="206"/>
      <c r="L28" s="206"/>
      <c r="M28" s="206"/>
      <c r="N28" s="206"/>
      <c r="O28" s="208"/>
      <c r="P28" s="205"/>
      <c r="Q28" s="206"/>
      <c r="R28" s="207"/>
      <c r="S28" s="207"/>
      <c r="T28" s="207"/>
      <c r="U28" s="207"/>
      <c r="V28" s="206"/>
      <c r="W28" s="206"/>
      <c r="X28" s="206"/>
      <c r="Y28" s="206"/>
      <c r="Z28" s="206"/>
      <c r="AA28" s="208"/>
      <c r="AB28" s="205"/>
      <c r="AC28" s="206"/>
      <c r="AD28" s="207"/>
      <c r="AE28" s="207"/>
      <c r="AF28" s="207"/>
      <c r="AG28" s="207"/>
      <c r="AH28" s="206"/>
      <c r="AI28" s="206"/>
      <c r="AJ28" s="206"/>
      <c r="AK28" s="206"/>
      <c r="AL28" s="206"/>
      <c r="AM28" s="208"/>
      <c r="AN28" s="205"/>
      <c r="AO28" s="206"/>
      <c r="AP28" s="207"/>
      <c r="AQ28" s="207"/>
      <c r="AR28" s="207"/>
      <c r="AS28" s="207"/>
      <c r="AT28" s="206"/>
      <c r="AU28" s="206"/>
      <c r="AV28" s="206"/>
      <c r="AW28" s="206"/>
      <c r="AX28" s="206"/>
      <c r="AY28" s="208"/>
      <c r="AZ28" s="205"/>
      <c r="BA28" s="206"/>
      <c r="BB28" s="207"/>
      <c r="BC28" s="207"/>
      <c r="BD28" s="207"/>
      <c r="BE28" s="207"/>
      <c r="BF28" s="206"/>
      <c r="BG28" s="206"/>
      <c r="BH28" s="206"/>
      <c r="BI28" s="206"/>
      <c r="BJ28" s="206"/>
      <c r="BK28" s="208"/>
      <c r="BL28" s="205"/>
      <c r="BM28" s="206"/>
      <c r="BN28" s="207"/>
      <c r="BO28" s="207"/>
      <c r="BP28" s="207"/>
      <c r="BQ28" s="207"/>
      <c r="BR28" s="206"/>
      <c r="BS28" s="206"/>
      <c r="BT28" s="206"/>
      <c r="BU28" s="206"/>
      <c r="BV28" s="206"/>
      <c r="BW28" s="208"/>
      <c r="BX28" s="205"/>
      <c r="BY28" s="206"/>
      <c r="BZ28" s="207"/>
      <c r="CA28" s="207"/>
      <c r="CB28" s="207"/>
      <c r="CC28" s="207"/>
      <c r="CD28" s="206"/>
      <c r="CE28" s="206"/>
      <c r="CF28" s="206"/>
      <c r="CG28" s="206"/>
      <c r="CH28" s="206"/>
      <c r="CI28" s="208"/>
      <c r="CJ28" s="205"/>
      <c r="CK28" s="206"/>
      <c r="CL28" s="207"/>
      <c r="CM28" s="207"/>
      <c r="CN28" s="207"/>
      <c r="CO28" s="207"/>
      <c r="CP28" s="206"/>
      <c r="CQ28" s="206"/>
      <c r="CR28" s="206"/>
      <c r="CS28" s="206"/>
      <c r="CT28" s="206"/>
      <c r="CU28" s="208"/>
      <c r="CV28" s="205"/>
      <c r="CW28" s="206"/>
      <c r="CX28" s="207"/>
      <c r="CY28" s="207"/>
      <c r="CZ28" s="207"/>
      <c r="DA28" s="207"/>
      <c r="DB28" s="206"/>
      <c r="DC28" s="206"/>
      <c r="DD28" s="206"/>
      <c r="DE28" s="206"/>
      <c r="DF28" s="206"/>
      <c r="DG28" s="208"/>
      <c r="DH28" s="205"/>
      <c r="DI28" s="206"/>
      <c r="DJ28" s="207"/>
      <c r="DK28" s="207"/>
      <c r="DL28" s="207"/>
      <c r="DM28" s="207"/>
      <c r="DN28" s="206"/>
      <c r="DO28" s="206"/>
      <c r="DP28" s="206"/>
      <c r="DQ28" s="206"/>
      <c r="DR28" s="206"/>
      <c r="DS28" s="208"/>
      <c r="DT28" s="205"/>
      <c r="DU28" s="206"/>
      <c r="DV28" s="207"/>
      <c r="DW28" s="207"/>
      <c r="DX28" s="207"/>
      <c r="DY28" s="207"/>
      <c r="DZ28" s="206"/>
      <c r="EA28" s="206"/>
      <c r="EB28" s="206"/>
      <c r="EC28" s="206"/>
      <c r="ED28" s="206"/>
      <c r="EE28" s="208"/>
      <c r="EF28" s="205"/>
      <c r="EG28" s="206"/>
      <c r="EH28" s="207"/>
      <c r="EI28" s="207"/>
      <c r="EJ28" s="207"/>
      <c r="EK28" s="207"/>
      <c r="EL28" s="206"/>
      <c r="EM28" s="206"/>
      <c r="EN28" s="206"/>
      <c r="EO28" s="206"/>
      <c r="EP28" s="206"/>
      <c r="EQ28" s="208"/>
    </row>
    <row r="29" hidden="1">
      <c r="A29" s="187"/>
      <c r="B29" s="187"/>
      <c r="C29" s="187"/>
      <c r="D29" s="186"/>
      <c r="E29" s="187"/>
      <c r="F29" s="187"/>
      <c r="G29" s="187"/>
      <c r="H29" s="187"/>
      <c r="I29" s="187"/>
      <c r="J29" s="187"/>
      <c r="K29" s="196"/>
      <c r="L29" s="187"/>
      <c r="M29" s="187"/>
      <c r="N29" s="187"/>
      <c r="O29" s="188"/>
      <c r="P29" s="186"/>
      <c r="Q29" s="187"/>
      <c r="R29" s="187"/>
      <c r="S29" s="187"/>
      <c r="T29" s="187"/>
      <c r="U29" s="187"/>
      <c r="V29" s="187"/>
      <c r="W29" s="196"/>
      <c r="X29" s="187"/>
      <c r="Y29" s="187"/>
      <c r="Z29" s="187"/>
      <c r="AA29" s="188"/>
      <c r="AB29" s="186"/>
      <c r="AC29" s="187"/>
      <c r="AD29" s="187"/>
      <c r="AE29" s="187"/>
      <c r="AF29" s="187"/>
      <c r="AG29" s="187"/>
      <c r="AH29" s="187"/>
      <c r="AI29" s="196"/>
      <c r="AJ29" s="187"/>
      <c r="AK29" s="187"/>
      <c r="AL29" s="187"/>
      <c r="AM29" s="188"/>
      <c r="AN29" s="186"/>
      <c r="AO29" s="187"/>
      <c r="AP29" s="187"/>
      <c r="AQ29" s="187"/>
      <c r="AR29" s="187"/>
      <c r="AS29" s="187"/>
      <c r="AT29" s="187"/>
      <c r="AU29" s="196"/>
      <c r="AV29" s="187"/>
      <c r="AW29" s="187"/>
      <c r="AX29" s="187"/>
      <c r="AY29" s="188"/>
      <c r="AZ29" s="186"/>
      <c r="BA29" s="187"/>
      <c r="BB29" s="187"/>
      <c r="BC29" s="187"/>
      <c r="BD29" s="187"/>
      <c r="BE29" s="187"/>
      <c r="BF29" s="187"/>
      <c r="BG29" s="196"/>
      <c r="BH29" s="187"/>
      <c r="BI29" s="187"/>
      <c r="BJ29" s="187"/>
      <c r="BK29" s="188"/>
      <c r="BL29" s="186"/>
      <c r="BM29" s="187"/>
      <c r="BN29" s="187"/>
      <c r="BO29" s="187"/>
      <c r="BP29" s="187"/>
      <c r="BQ29" s="187"/>
      <c r="BR29" s="187"/>
      <c r="BS29" s="196"/>
      <c r="BT29" s="187"/>
      <c r="BU29" s="187"/>
      <c r="BV29" s="187"/>
      <c r="BW29" s="188"/>
      <c r="BX29" s="186"/>
      <c r="BY29" s="187"/>
      <c r="BZ29" s="187"/>
      <c r="CA29" s="187"/>
      <c r="CB29" s="187"/>
      <c r="CC29" s="187"/>
      <c r="CD29" s="187"/>
      <c r="CE29" s="196"/>
      <c r="CF29" s="187"/>
      <c r="CG29" s="187"/>
      <c r="CH29" s="187"/>
      <c r="CI29" s="188"/>
      <c r="CJ29" s="186"/>
      <c r="CK29" s="187"/>
      <c r="CL29" s="187"/>
      <c r="CM29" s="187"/>
      <c r="CN29" s="187"/>
      <c r="CO29" s="187"/>
      <c r="CP29" s="187"/>
      <c r="CQ29" s="196"/>
      <c r="CR29" s="187"/>
      <c r="CS29" s="187"/>
      <c r="CT29" s="187"/>
      <c r="CU29" s="188"/>
      <c r="CV29" s="186"/>
      <c r="CW29" s="187"/>
      <c r="CX29" s="187"/>
      <c r="CY29" s="187"/>
      <c r="CZ29" s="187"/>
      <c r="DA29" s="187"/>
      <c r="DB29" s="187"/>
      <c r="DC29" s="196"/>
      <c r="DD29" s="187"/>
      <c r="DE29" s="187"/>
      <c r="DF29" s="187"/>
      <c r="DG29" s="188"/>
      <c r="DH29" s="186"/>
      <c r="DI29" s="187"/>
      <c r="DJ29" s="187"/>
      <c r="DK29" s="187"/>
      <c r="DL29" s="187"/>
      <c r="DM29" s="187"/>
      <c r="DN29" s="187"/>
      <c r="DO29" s="196"/>
      <c r="DP29" s="187"/>
      <c r="DQ29" s="187"/>
      <c r="DR29" s="187"/>
      <c r="DS29" s="188"/>
      <c r="DT29" s="186"/>
      <c r="DU29" s="187"/>
      <c r="DV29" s="187"/>
      <c r="DW29" s="187"/>
      <c r="DX29" s="187"/>
      <c r="DY29" s="187"/>
      <c r="DZ29" s="187"/>
      <c r="EA29" s="196"/>
      <c r="EB29" s="187"/>
      <c r="EC29" s="187"/>
      <c r="ED29" s="187"/>
      <c r="EE29" s="188"/>
      <c r="EF29" s="186"/>
      <c r="EG29" s="187"/>
      <c r="EH29" s="187"/>
      <c r="EI29" s="187"/>
      <c r="EJ29" s="187"/>
      <c r="EK29" s="187"/>
      <c r="EL29" s="187"/>
      <c r="EM29" s="196"/>
      <c r="EN29" s="187"/>
      <c r="EO29" s="187"/>
      <c r="EP29" s="187"/>
      <c r="EQ29" s="188"/>
    </row>
    <row r="30" hidden="1">
      <c r="A30" s="187"/>
      <c r="B30" s="187"/>
      <c r="C30" s="187"/>
      <c r="D30" s="186"/>
      <c r="E30" s="187"/>
      <c r="F30" s="187"/>
      <c r="G30" s="187"/>
      <c r="H30" s="187"/>
      <c r="I30" s="187"/>
      <c r="J30" s="187"/>
      <c r="K30" s="196"/>
      <c r="L30" s="187"/>
      <c r="M30" s="187"/>
      <c r="N30" s="187"/>
      <c r="O30" s="188"/>
      <c r="P30" s="186"/>
      <c r="Q30" s="187"/>
      <c r="R30" s="187"/>
      <c r="S30" s="187"/>
      <c r="T30" s="187"/>
      <c r="U30" s="187"/>
      <c r="V30" s="187"/>
      <c r="W30" s="196"/>
      <c r="X30" s="187"/>
      <c r="Y30" s="187"/>
      <c r="Z30" s="187"/>
      <c r="AA30" s="188"/>
      <c r="AB30" s="186"/>
      <c r="AC30" s="187"/>
      <c r="AD30" s="187"/>
      <c r="AE30" s="187"/>
      <c r="AF30" s="187"/>
      <c r="AG30" s="187"/>
      <c r="AH30" s="187"/>
      <c r="AI30" s="196"/>
      <c r="AJ30" s="187"/>
      <c r="AK30" s="187"/>
      <c r="AL30" s="187"/>
      <c r="AM30" s="188"/>
      <c r="AN30" s="186"/>
      <c r="AO30" s="187"/>
      <c r="AP30" s="187"/>
      <c r="AQ30" s="187"/>
      <c r="AR30" s="187"/>
      <c r="AS30" s="187"/>
      <c r="AT30" s="187"/>
      <c r="AU30" s="196"/>
      <c r="AV30" s="187"/>
      <c r="AW30" s="187"/>
      <c r="AX30" s="187"/>
      <c r="AY30" s="188"/>
      <c r="AZ30" s="186"/>
      <c r="BA30" s="187"/>
      <c r="BB30" s="187"/>
      <c r="BC30" s="187"/>
      <c r="BD30" s="187"/>
      <c r="BE30" s="187"/>
      <c r="BF30" s="187"/>
      <c r="BG30" s="196"/>
      <c r="BH30" s="187"/>
      <c r="BI30" s="187"/>
      <c r="BJ30" s="187"/>
      <c r="BK30" s="188"/>
      <c r="BL30" s="186"/>
      <c r="BM30" s="187"/>
      <c r="BN30" s="187"/>
      <c r="BO30" s="187"/>
      <c r="BP30" s="187"/>
      <c r="BQ30" s="187"/>
      <c r="BR30" s="187"/>
      <c r="BS30" s="196"/>
      <c r="BT30" s="187"/>
      <c r="BU30" s="187"/>
      <c r="BV30" s="187"/>
      <c r="BW30" s="188"/>
      <c r="BX30" s="186"/>
      <c r="BY30" s="187"/>
      <c r="BZ30" s="187"/>
      <c r="CA30" s="187"/>
      <c r="CB30" s="187"/>
      <c r="CC30" s="187"/>
      <c r="CD30" s="187"/>
      <c r="CE30" s="196"/>
      <c r="CF30" s="187"/>
      <c r="CG30" s="187"/>
      <c r="CH30" s="187"/>
      <c r="CI30" s="188"/>
      <c r="CJ30" s="186"/>
      <c r="CK30" s="187"/>
      <c r="CL30" s="187"/>
      <c r="CM30" s="187"/>
      <c r="CN30" s="187"/>
      <c r="CO30" s="187"/>
      <c r="CP30" s="187"/>
      <c r="CQ30" s="196"/>
      <c r="CR30" s="187"/>
      <c r="CS30" s="187"/>
      <c r="CT30" s="187"/>
      <c r="CU30" s="188"/>
      <c r="CV30" s="186"/>
      <c r="CW30" s="187"/>
      <c r="CX30" s="187"/>
      <c r="CY30" s="187"/>
      <c r="CZ30" s="187"/>
      <c r="DA30" s="187"/>
      <c r="DB30" s="187"/>
      <c r="DC30" s="196"/>
      <c r="DD30" s="187"/>
      <c r="DE30" s="187"/>
      <c r="DF30" s="187"/>
      <c r="DG30" s="188"/>
      <c r="DH30" s="186"/>
      <c r="DI30" s="187"/>
      <c r="DJ30" s="187"/>
      <c r="DK30" s="187"/>
      <c r="DL30" s="187"/>
      <c r="DM30" s="187"/>
      <c r="DN30" s="187"/>
      <c r="DO30" s="196"/>
      <c r="DP30" s="187"/>
      <c r="DQ30" s="187"/>
      <c r="DR30" s="187"/>
      <c r="DS30" s="188"/>
      <c r="DT30" s="186"/>
      <c r="DU30" s="187"/>
      <c r="DV30" s="187"/>
      <c r="DW30" s="187"/>
      <c r="DX30" s="187"/>
      <c r="DY30" s="187"/>
      <c r="DZ30" s="187"/>
      <c r="EA30" s="196"/>
      <c r="EB30" s="187"/>
      <c r="EC30" s="187"/>
      <c r="ED30" s="187"/>
      <c r="EE30" s="188"/>
      <c r="EF30" s="186"/>
      <c r="EG30" s="187"/>
      <c r="EH30" s="187"/>
      <c r="EI30" s="187"/>
      <c r="EJ30" s="187"/>
      <c r="EK30" s="187"/>
      <c r="EL30" s="187"/>
      <c r="EM30" s="196"/>
      <c r="EN30" s="187"/>
      <c r="EO30" s="187"/>
      <c r="EP30" s="187"/>
      <c r="EQ30" s="188"/>
    </row>
    <row r="31" hidden="1">
      <c r="A31" s="187"/>
      <c r="B31" s="187"/>
      <c r="C31" s="187"/>
      <c r="D31" s="186"/>
      <c r="E31" s="187"/>
      <c r="F31" s="187"/>
      <c r="G31" s="187"/>
      <c r="H31" s="187"/>
      <c r="I31" s="187"/>
      <c r="J31" s="187"/>
      <c r="K31" s="196"/>
      <c r="L31" s="187"/>
      <c r="M31" s="187"/>
      <c r="N31" s="187"/>
      <c r="O31" s="188"/>
      <c r="P31" s="186"/>
      <c r="Q31" s="187"/>
      <c r="R31" s="187"/>
      <c r="S31" s="187"/>
      <c r="T31" s="187"/>
      <c r="U31" s="187"/>
      <c r="V31" s="187"/>
      <c r="W31" s="196"/>
      <c r="X31" s="187"/>
      <c r="Y31" s="187"/>
      <c r="Z31" s="187"/>
      <c r="AA31" s="188"/>
      <c r="AB31" s="186"/>
      <c r="AC31" s="187"/>
      <c r="AD31" s="187"/>
      <c r="AE31" s="187"/>
      <c r="AF31" s="187"/>
      <c r="AG31" s="187"/>
      <c r="AH31" s="187"/>
      <c r="AI31" s="196"/>
      <c r="AJ31" s="187"/>
      <c r="AK31" s="187"/>
      <c r="AL31" s="187"/>
      <c r="AM31" s="188"/>
      <c r="AN31" s="186"/>
      <c r="AO31" s="187"/>
      <c r="AP31" s="187"/>
      <c r="AQ31" s="187"/>
      <c r="AR31" s="187"/>
      <c r="AS31" s="187"/>
      <c r="AT31" s="187"/>
      <c r="AU31" s="196"/>
      <c r="AV31" s="187"/>
      <c r="AW31" s="187"/>
      <c r="AX31" s="187"/>
      <c r="AY31" s="188"/>
      <c r="AZ31" s="186"/>
      <c r="BA31" s="187"/>
      <c r="BB31" s="187"/>
      <c r="BC31" s="187"/>
      <c r="BD31" s="187"/>
      <c r="BE31" s="187"/>
      <c r="BF31" s="187"/>
      <c r="BG31" s="196"/>
      <c r="BH31" s="187"/>
      <c r="BI31" s="187"/>
      <c r="BJ31" s="187"/>
      <c r="BK31" s="188"/>
      <c r="BL31" s="186"/>
      <c r="BM31" s="187"/>
      <c r="BN31" s="187"/>
      <c r="BO31" s="187"/>
      <c r="BP31" s="187"/>
      <c r="BQ31" s="187"/>
      <c r="BR31" s="187"/>
      <c r="BS31" s="196"/>
      <c r="BT31" s="187"/>
      <c r="BU31" s="187"/>
      <c r="BV31" s="187"/>
      <c r="BW31" s="188"/>
      <c r="BX31" s="186"/>
      <c r="BY31" s="187"/>
      <c r="BZ31" s="187"/>
      <c r="CA31" s="187"/>
      <c r="CB31" s="187"/>
      <c r="CC31" s="187"/>
      <c r="CD31" s="187"/>
      <c r="CE31" s="196"/>
      <c r="CF31" s="187"/>
      <c r="CG31" s="187"/>
      <c r="CH31" s="187"/>
      <c r="CI31" s="188"/>
      <c r="CJ31" s="186"/>
      <c r="CK31" s="187"/>
      <c r="CL31" s="187"/>
      <c r="CM31" s="187"/>
      <c r="CN31" s="187"/>
      <c r="CO31" s="187"/>
      <c r="CP31" s="187"/>
      <c r="CQ31" s="196"/>
      <c r="CR31" s="187"/>
      <c r="CS31" s="187"/>
      <c r="CT31" s="187"/>
      <c r="CU31" s="188"/>
      <c r="CV31" s="186"/>
      <c r="CW31" s="187"/>
      <c r="CX31" s="187"/>
      <c r="CY31" s="187"/>
      <c r="CZ31" s="187"/>
      <c r="DA31" s="187"/>
      <c r="DB31" s="187"/>
      <c r="DC31" s="196"/>
      <c r="DD31" s="187"/>
      <c r="DE31" s="187"/>
      <c r="DF31" s="187"/>
      <c r="DG31" s="188"/>
      <c r="DH31" s="186"/>
      <c r="DI31" s="187"/>
      <c r="DJ31" s="187"/>
      <c r="DK31" s="187"/>
      <c r="DL31" s="187"/>
      <c r="DM31" s="187"/>
      <c r="DN31" s="187"/>
      <c r="DO31" s="196"/>
      <c r="DP31" s="187"/>
      <c r="DQ31" s="187"/>
      <c r="DR31" s="187"/>
      <c r="DS31" s="188"/>
      <c r="DT31" s="186"/>
      <c r="DU31" s="187"/>
      <c r="DV31" s="187"/>
      <c r="DW31" s="187"/>
      <c r="DX31" s="187"/>
      <c r="DY31" s="187"/>
      <c r="DZ31" s="187"/>
      <c r="EA31" s="196"/>
      <c r="EB31" s="187"/>
      <c r="EC31" s="187"/>
      <c r="ED31" s="187"/>
      <c r="EE31" s="188"/>
      <c r="EF31" s="186"/>
      <c r="EG31" s="187"/>
      <c r="EH31" s="187"/>
      <c r="EI31" s="187"/>
      <c r="EJ31" s="187"/>
      <c r="EK31" s="187"/>
      <c r="EL31" s="187"/>
      <c r="EM31" s="196"/>
      <c r="EN31" s="187"/>
      <c r="EO31" s="187"/>
      <c r="EP31" s="187"/>
      <c r="EQ31" s="188"/>
    </row>
    <row r="32" hidden="1">
      <c r="A32" s="187"/>
      <c r="B32" s="187"/>
      <c r="C32" s="187"/>
      <c r="D32" s="186"/>
      <c r="E32" s="187"/>
      <c r="F32" s="187"/>
      <c r="G32" s="187"/>
      <c r="H32" s="187"/>
      <c r="I32" s="187"/>
      <c r="J32" s="187"/>
      <c r="K32" s="196"/>
      <c r="L32" s="187"/>
      <c r="M32" s="187"/>
      <c r="N32" s="187"/>
      <c r="O32" s="188"/>
      <c r="P32" s="186"/>
      <c r="Q32" s="187"/>
      <c r="R32" s="187"/>
      <c r="S32" s="187"/>
      <c r="T32" s="187"/>
      <c r="U32" s="187"/>
      <c r="V32" s="187"/>
      <c r="W32" s="196"/>
      <c r="X32" s="187"/>
      <c r="Y32" s="187"/>
      <c r="Z32" s="187"/>
      <c r="AA32" s="188"/>
      <c r="AB32" s="186"/>
      <c r="AC32" s="187"/>
      <c r="AD32" s="187"/>
      <c r="AE32" s="187"/>
      <c r="AF32" s="187"/>
      <c r="AG32" s="187"/>
      <c r="AH32" s="187"/>
      <c r="AI32" s="196"/>
      <c r="AJ32" s="187"/>
      <c r="AK32" s="187"/>
      <c r="AL32" s="187"/>
      <c r="AM32" s="188"/>
      <c r="AN32" s="186"/>
      <c r="AO32" s="187"/>
      <c r="AP32" s="187"/>
      <c r="AQ32" s="187"/>
      <c r="AR32" s="187"/>
      <c r="AS32" s="187"/>
      <c r="AT32" s="187"/>
      <c r="AU32" s="196"/>
      <c r="AV32" s="187"/>
      <c r="AW32" s="187"/>
      <c r="AX32" s="187"/>
      <c r="AY32" s="188"/>
      <c r="AZ32" s="186"/>
      <c r="BA32" s="187"/>
      <c r="BB32" s="187"/>
      <c r="BC32" s="187"/>
      <c r="BD32" s="187"/>
      <c r="BE32" s="187"/>
      <c r="BF32" s="187"/>
      <c r="BG32" s="196"/>
      <c r="BH32" s="187"/>
      <c r="BI32" s="187"/>
      <c r="BJ32" s="187"/>
      <c r="BK32" s="188"/>
      <c r="BL32" s="186"/>
      <c r="BM32" s="187"/>
      <c r="BN32" s="187"/>
      <c r="BO32" s="187"/>
      <c r="BP32" s="187"/>
      <c r="BQ32" s="187"/>
      <c r="BR32" s="187"/>
      <c r="BS32" s="196"/>
      <c r="BT32" s="187"/>
      <c r="BU32" s="187"/>
      <c r="BV32" s="187"/>
      <c r="BW32" s="188"/>
      <c r="BX32" s="186"/>
      <c r="BY32" s="187"/>
      <c r="BZ32" s="187"/>
      <c r="CA32" s="187"/>
      <c r="CB32" s="187"/>
      <c r="CC32" s="187"/>
      <c r="CD32" s="187"/>
      <c r="CE32" s="196"/>
      <c r="CF32" s="187"/>
      <c r="CG32" s="187"/>
      <c r="CH32" s="187"/>
      <c r="CI32" s="188"/>
      <c r="CJ32" s="186"/>
      <c r="CK32" s="187"/>
      <c r="CL32" s="187"/>
      <c r="CM32" s="187"/>
      <c r="CN32" s="187"/>
      <c r="CO32" s="187"/>
      <c r="CP32" s="187"/>
      <c r="CQ32" s="196"/>
      <c r="CR32" s="187"/>
      <c r="CS32" s="187"/>
      <c r="CT32" s="187"/>
      <c r="CU32" s="188"/>
      <c r="CV32" s="186"/>
      <c r="CW32" s="187"/>
      <c r="CX32" s="187"/>
      <c r="CY32" s="187"/>
      <c r="CZ32" s="187"/>
      <c r="DA32" s="187"/>
      <c r="DB32" s="187"/>
      <c r="DC32" s="196"/>
      <c r="DD32" s="187"/>
      <c r="DE32" s="187"/>
      <c r="DF32" s="187"/>
      <c r="DG32" s="188"/>
      <c r="DH32" s="186"/>
      <c r="DI32" s="187"/>
      <c r="DJ32" s="187"/>
      <c r="DK32" s="187"/>
      <c r="DL32" s="187"/>
      <c r="DM32" s="187"/>
      <c r="DN32" s="187"/>
      <c r="DO32" s="196"/>
      <c r="DP32" s="187"/>
      <c r="DQ32" s="187"/>
      <c r="DR32" s="187"/>
      <c r="DS32" s="188"/>
      <c r="DT32" s="186"/>
      <c r="DU32" s="187"/>
      <c r="DV32" s="187"/>
      <c r="DW32" s="187"/>
      <c r="DX32" s="187"/>
      <c r="DY32" s="187"/>
      <c r="DZ32" s="187"/>
      <c r="EA32" s="196"/>
      <c r="EB32" s="187"/>
      <c r="EC32" s="187"/>
      <c r="ED32" s="187"/>
      <c r="EE32" s="188"/>
      <c r="EF32" s="186"/>
      <c r="EG32" s="187"/>
      <c r="EH32" s="187"/>
      <c r="EI32" s="187"/>
      <c r="EJ32" s="187"/>
      <c r="EK32" s="187"/>
      <c r="EL32" s="187"/>
      <c r="EM32" s="196"/>
      <c r="EN32" s="187"/>
      <c r="EO32" s="187"/>
      <c r="EP32" s="187"/>
      <c r="EQ32" s="188"/>
    </row>
    <row r="33" hidden="1">
      <c r="A33" s="187"/>
      <c r="B33" s="187"/>
      <c r="C33" s="187"/>
      <c r="D33" s="186"/>
      <c r="E33" s="187"/>
      <c r="F33" s="187"/>
      <c r="G33" s="187"/>
      <c r="H33" s="187"/>
      <c r="I33" s="187"/>
      <c r="J33" s="187"/>
      <c r="K33" s="196"/>
      <c r="L33" s="187"/>
      <c r="M33" s="187"/>
      <c r="N33" s="187"/>
      <c r="O33" s="188"/>
      <c r="P33" s="186"/>
      <c r="Q33" s="187"/>
      <c r="R33" s="187"/>
      <c r="S33" s="187"/>
      <c r="T33" s="187"/>
      <c r="U33" s="187"/>
      <c r="V33" s="187"/>
      <c r="W33" s="196"/>
      <c r="X33" s="187"/>
      <c r="Y33" s="187"/>
      <c r="Z33" s="187"/>
      <c r="AA33" s="188"/>
      <c r="AB33" s="186"/>
      <c r="AC33" s="187"/>
      <c r="AD33" s="187"/>
      <c r="AE33" s="187"/>
      <c r="AF33" s="187"/>
      <c r="AG33" s="187"/>
      <c r="AH33" s="187"/>
      <c r="AI33" s="196"/>
      <c r="AJ33" s="187"/>
      <c r="AK33" s="187"/>
      <c r="AL33" s="187"/>
      <c r="AM33" s="188"/>
      <c r="AN33" s="186"/>
      <c r="AO33" s="187"/>
      <c r="AP33" s="187"/>
      <c r="AQ33" s="187"/>
      <c r="AR33" s="187"/>
      <c r="AS33" s="187"/>
      <c r="AT33" s="187"/>
      <c r="AU33" s="196"/>
      <c r="AV33" s="187"/>
      <c r="AW33" s="187"/>
      <c r="AX33" s="187"/>
      <c r="AY33" s="188"/>
      <c r="AZ33" s="186"/>
      <c r="BA33" s="187"/>
      <c r="BB33" s="187"/>
      <c r="BC33" s="187"/>
      <c r="BD33" s="187"/>
      <c r="BE33" s="187"/>
      <c r="BF33" s="187"/>
      <c r="BG33" s="196"/>
      <c r="BH33" s="187"/>
      <c r="BI33" s="187"/>
      <c r="BJ33" s="187"/>
      <c r="BK33" s="188"/>
      <c r="BL33" s="186"/>
      <c r="BM33" s="187"/>
      <c r="BN33" s="187"/>
      <c r="BO33" s="187"/>
      <c r="BP33" s="187"/>
      <c r="BQ33" s="187"/>
      <c r="BR33" s="187"/>
      <c r="BS33" s="196"/>
      <c r="BT33" s="187"/>
      <c r="BU33" s="187"/>
      <c r="BV33" s="187"/>
      <c r="BW33" s="188"/>
      <c r="BX33" s="186"/>
      <c r="BY33" s="187"/>
      <c r="BZ33" s="187"/>
      <c r="CA33" s="187"/>
      <c r="CB33" s="187"/>
      <c r="CC33" s="187"/>
      <c r="CD33" s="187"/>
      <c r="CE33" s="196"/>
      <c r="CF33" s="187"/>
      <c r="CG33" s="187"/>
      <c r="CH33" s="187"/>
      <c r="CI33" s="188"/>
      <c r="CJ33" s="186"/>
      <c r="CK33" s="187"/>
      <c r="CL33" s="187"/>
      <c r="CM33" s="187"/>
      <c r="CN33" s="187"/>
      <c r="CO33" s="187"/>
      <c r="CP33" s="187"/>
      <c r="CQ33" s="196"/>
      <c r="CR33" s="187"/>
      <c r="CS33" s="187"/>
      <c r="CT33" s="187"/>
      <c r="CU33" s="188"/>
      <c r="CV33" s="186"/>
      <c r="CW33" s="187"/>
      <c r="CX33" s="187"/>
      <c r="CY33" s="187"/>
      <c r="CZ33" s="187"/>
      <c r="DA33" s="187"/>
      <c r="DB33" s="187"/>
      <c r="DC33" s="196"/>
      <c r="DD33" s="187"/>
      <c r="DE33" s="187"/>
      <c r="DF33" s="187"/>
      <c r="DG33" s="188"/>
      <c r="DH33" s="186"/>
      <c r="DI33" s="187"/>
      <c r="DJ33" s="187"/>
      <c r="DK33" s="187"/>
      <c r="DL33" s="187"/>
      <c r="DM33" s="187"/>
      <c r="DN33" s="187"/>
      <c r="DO33" s="196"/>
      <c r="DP33" s="187"/>
      <c r="DQ33" s="187"/>
      <c r="DR33" s="187"/>
      <c r="DS33" s="188"/>
      <c r="DT33" s="186"/>
      <c r="DU33" s="187"/>
      <c r="DV33" s="187"/>
      <c r="DW33" s="187"/>
      <c r="DX33" s="187"/>
      <c r="DY33" s="187"/>
      <c r="DZ33" s="187"/>
      <c r="EA33" s="196"/>
      <c r="EB33" s="187"/>
      <c r="EC33" s="187"/>
      <c r="ED33" s="187"/>
      <c r="EE33" s="188"/>
      <c r="EF33" s="186"/>
      <c r="EG33" s="187"/>
      <c r="EH33" s="187"/>
      <c r="EI33" s="187"/>
      <c r="EJ33" s="187"/>
      <c r="EK33" s="187"/>
      <c r="EL33" s="187"/>
      <c r="EM33" s="196"/>
      <c r="EN33" s="187"/>
      <c r="EO33" s="187"/>
      <c r="EP33" s="187"/>
      <c r="EQ33" s="188"/>
    </row>
    <row r="34" hidden="1">
      <c r="A34" s="187"/>
      <c r="B34" s="187"/>
      <c r="C34" s="187"/>
      <c r="D34" s="186"/>
      <c r="E34" s="187"/>
      <c r="F34" s="187"/>
      <c r="G34" s="187"/>
      <c r="H34" s="187"/>
      <c r="I34" s="187"/>
      <c r="J34" s="187"/>
      <c r="K34" s="196"/>
      <c r="L34" s="187"/>
      <c r="M34" s="187"/>
      <c r="N34" s="187"/>
      <c r="O34" s="188"/>
      <c r="P34" s="186"/>
      <c r="Q34" s="187"/>
      <c r="R34" s="187"/>
      <c r="S34" s="187"/>
      <c r="T34" s="187"/>
      <c r="U34" s="187"/>
      <c r="V34" s="187"/>
      <c r="W34" s="196"/>
      <c r="X34" s="187"/>
      <c r="Y34" s="187"/>
      <c r="Z34" s="187"/>
      <c r="AA34" s="188"/>
      <c r="AB34" s="186"/>
      <c r="AC34" s="187"/>
      <c r="AD34" s="187"/>
      <c r="AE34" s="187"/>
      <c r="AF34" s="187"/>
      <c r="AG34" s="187"/>
      <c r="AH34" s="187"/>
      <c r="AI34" s="196"/>
      <c r="AJ34" s="187"/>
      <c r="AK34" s="187"/>
      <c r="AL34" s="187"/>
      <c r="AM34" s="188"/>
      <c r="AN34" s="186"/>
      <c r="AO34" s="187"/>
      <c r="AP34" s="187"/>
      <c r="AQ34" s="187"/>
      <c r="AR34" s="187"/>
      <c r="AS34" s="187"/>
      <c r="AT34" s="187"/>
      <c r="AU34" s="196"/>
      <c r="AV34" s="187"/>
      <c r="AW34" s="187"/>
      <c r="AX34" s="187"/>
      <c r="AY34" s="188"/>
      <c r="AZ34" s="186"/>
      <c r="BA34" s="187"/>
      <c r="BB34" s="187"/>
      <c r="BC34" s="187"/>
      <c r="BD34" s="187"/>
      <c r="BE34" s="187"/>
      <c r="BF34" s="187"/>
      <c r="BG34" s="196"/>
      <c r="BH34" s="187"/>
      <c r="BI34" s="187"/>
      <c r="BJ34" s="187"/>
      <c r="BK34" s="188"/>
      <c r="BL34" s="186"/>
      <c r="BM34" s="187"/>
      <c r="BN34" s="187"/>
      <c r="BO34" s="187"/>
      <c r="BP34" s="187"/>
      <c r="BQ34" s="187"/>
      <c r="BR34" s="187"/>
      <c r="BS34" s="196"/>
      <c r="BT34" s="187"/>
      <c r="BU34" s="187"/>
      <c r="BV34" s="187"/>
      <c r="BW34" s="188"/>
      <c r="BX34" s="186"/>
      <c r="BY34" s="187"/>
      <c r="BZ34" s="187"/>
      <c r="CA34" s="187"/>
      <c r="CB34" s="187"/>
      <c r="CC34" s="187"/>
      <c r="CD34" s="187"/>
      <c r="CE34" s="196"/>
      <c r="CF34" s="187"/>
      <c r="CG34" s="187"/>
      <c r="CH34" s="187"/>
      <c r="CI34" s="188"/>
      <c r="CJ34" s="186"/>
      <c r="CK34" s="187"/>
      <c r="CL34" s="187"/>
      <c r="CM34" s="187"/>
      <c r="CN34" s="187"/>
      <c r="CO34" s="187"/>
      <c r="CP34" s="187"/>
      <c r="CQ34" s="196"/>
      <c r="CR34" s="187"/>
      <c r="CS34" s="187"/>
      <c r="CT34" s="187"/>
      <c r="CU34" s="188"/>
      <c r="CV34" s="186"/>
      <c r="CW34" s="187"/>
      <c r="CX34" s="187"/>
      <c r="CY34" s="187"/>
      <c r="CZ34" s="187"/>
      <c r="DA34" s="187"/>
      <c r="DB34" s="187"/>
      <c r="DC34" s="196"/>
      <c r="DD34" s="187"/>
      <c r="DE34" s="187"/>
      <c r="DF34" s="187"/>
      <c r="DG34" s="188"/>
      <c r="DH34" s="186"/>
      <c r="DI34" s="187"/>
      <c r="DJ34" s="187"/>
      <c r="DK34" s="187"/>
      <c r="DL34" s="187"/>
      <c r="DM34" s="187"/>
      <c r="DN34" s="187"/>
      <c r="DO34" s="196"/>
      <c r="DP34" s="187"/>
      <c r="DQ34" s="187"/>
      <c r="DR34" s="187"/>
      <c r="DS34" s="188"/>
      <c r="DT34" s="186"/>
      <c r="DU34" s="187"/>
      <c r="DV34" s="187"/>
      <c r="DW34" s="187"/>
      <c r="DX34" s="187"/>
      <c r="DY34" s="187"/>
      <c r="DZ34" s="187"/>
      <c r="EA34" s="196"/>
      <c r="EB34" s="187"/>
      <c r="EC34" s="187"/>
      <c r="ED34" s="187"/>
      <c r="EE34" s="188"/>
      <c r="EF34" s="186"/>
      <c r="EG34" s="187"/>
      <c r="EH34" s="187"/>
      <c r="EI34" s="187"/>
      <c r="EJ34" s="187"/>
      <c r="EK34" s="187"/>
      <c r="EL34" s="187"/>
      <c r="EM34" s="196"/>
      <c r="EN34" s="187"/>
      <c r="EO34" s="187"/>
      <c r="EP34" s="187"/>
      <c r="EQ34" s="188"/>
    </row>
    <row r="35" hidden="1">
      <c r="A35" s="187"/>
      <c r="B35" s="187"/>
      <c r="C35" s="187"/>
      <c r="D35" s="186"/>
      <c r="E35" s="187"/>
      <c r="F35" s="187"/>
      <c r="G35" s="187"/>
      <c r="H35" s="187"/>
      <c r="I35" s="187"/>
      <c r="J35" s="187"/>
      <c r="K35" s="196"/>
      <c r="L35" s="187"/>
      <c r="M35" s="187"/>
      <c r="N35" s="187"/>
      <c r="O35" s="188"/>
      <c r="P35" s="186"/>
      <c r="Q35" s="187"/>
      <c r="R35" s="187"/>
      <c r="S35" s="187"/>
      <c r="T35" s="187"/>
      <c r="U35" s="187"/>
      <c r="V35" s="187"/>
      <c r="W35" s="196"/>
      <c r="X35" s="187"/>
      <c r="Y35" s="187"/>
      <c r="Z35" s="187"/>
      <c r="AA35" s="188"/>
      <c r="AB35" s="186"/>
      <c r="AC35" s="187"/>
      <c r="AD35" s="187"/>
      <c r="AE35" s="187"/>
      <c r="AF35" s="187"/>
      <c r="AG35" s="187"/>
      <c r="AH35" s="187"/>
      <c r="AI35" s="196"/>
      <c r="AJ35" s="187"/>
      <c r="AK35" s="187"/>
      <c r="AL35" s="187"/>
      <c r="AM35" s="188"/>
      <c r="AN35" s="186"/>
      <c r="AO35" s="187"/>
      <c r="AP35" s="187"/>
      <c r="AQ35" s="187"/>
      <c r="AR35" s="187"/>
      <c r="AS35" s="187"/>
      <c r="AT35" s="187"/>
      <c r="AU35" s="196"/>
      <c r="AV35" s="187"/>
      <c r="AW35" s="187"/>
      <c r="AX35" s="187"/>
      <c r="AY35" s="188"/>
      <c r="AZ35" s="186"/>
      <c r="BA35" s="187"/>
      <c r="BB35" s="187"/>
      <c r="BC35" s="187"/>
      <c r="BD35" s="187"/>
      <c r="BE35" s="187"/>
      <c r="BF35" s="187"/>
      <c r="BG35" s="196"/>
      <c r="BH35" s="187"/>
      <c r="BI35" s="187"/>
      <c r="BJ35" s="187"/>
      <c r="BK35" s="188"/>
      <c r="BL35" s="186"/>
      <c r="BM35" s="187"/>
      <c r="BN35" s="187"/>
      <c r="BO35" s="187"/>
      <c r="BP35" s="187"/>
      <c r="BQ35" s="187"/>
      <c r="BR35" s="187"/>
      <c r="BS35" s="196"/>
      <c r="BT35" s="187"/>
      <c r="BU35" s="187"/>
      <c r="BV35" s="187"/>
      <c r="BW35" s="188"/>
      <c r="BX35" s="186"/>
      <c r="BY35" s="187"/>
      <c r="BZ35" s="187"/>
      <c r="CA35" s="187"/>
      <c r="CB35" s="187"/>
      <c r="CC35" s="187"/>
      <c r="CD35" s="187"/>
      <c r="CE35" s="196"/>
      <c r="CF35" s="187"/>
      <c r="CG35" s="187"/>
      <c r="CH35" s="187"/>
      <c r="CI35" s="188"/>
      <c r="CJ35" s="186"/>
      <c r="CK35" s="187"/>
      <c r="CL35" s="187"/>
      <c r="CM35" s="187"/>
      <c r="CN35" s="187"/>
      <c r="CO35" s="187"/>
      <c r="CP35" s="187"/>
      <c r="CQ35" s="196"/>
      <c r="CR35" s="187"/>
      <c r="CS35" s="187"/>
      <c r="CT35" s="187"/>
      <c r="CU35" s="188"/>
      <c r="CV35" s="186"/>
      <c r="CW35" s="187"/>
      <c r="CX35" s="187"/>
      <c r="CY35" s="187"/>
      <c r="CZ35" s="187"/>
      <c r="DA35" s="187"/>
      <c r="DB35" s="187"/>
      <c r="DC35" s="196"/>
      <c r="DD35" s="187"/>
      <c r="DE35" s="187"/>
      <c r="DF35" s="187"/>
      <c r="DG35" s="188"/>
      <c r="DH35" s="186"/>
      <c r="DI35" s="187"/>
      <c r="DJ35" s="187"/>
      <c r="DK35" s="187"/>
      <c r="DL35" s="187"/>
      <c r="DM35" s="187"/>
      <c r="DN35" s="187"/>
      <c r="DO35" s="196"/>
      <c r="DP35" s="187"/>
      <c r="DQ35" s="187"/>
      <c r="DR35" s="187"/>
      <c r="DS35" s="188"/>
      <c r="DT35" s="186"/>
      <c r="DU35" s="187"/>
      <c r="DV35" s="187"/>
      <c r="DW35" s="187"/>
      <c r="DX35" s="187"/>
      <c r="DY35" s="187"/>
      <c r="DZ35" s="187"/>
      <c r="EA35" s="196"/>
      <c r="EB35" s="187"/>
      <c r="EC35" s="187"/>
      <c r="ED35" s="187"/>
      <c r="EE35" s="188"/>
      <c r="EF35" s="186"/>
      <c r="EG35" s="187"/>
      <c r="EH35" s="187"/>
      <c r="EI35" s="187"/>
      <c r="EJ35" s="187"/>
      <c r="EK35" s="187"/>
      <c r="EL35" s="187"/>
      <c r="EM35" s="196"/>
      <c r="EN35" s="187"/>
      <c r="EO35" s="187"/>
      <c r="EP35" s="187"/>
      <c r="EQ35" s="188"/>
    </row>
    <row r="36" hidden="1">
      <c r="A36" s="187"/>
      <c r="B36" s="187"/>
      <c r="C36" s="187"/>
      <c r="D36" s="186"/>
      <c r="E36" s="187"/>
      <c r="F36" s="187"/>
      <c r="G36" s="187"/>
      <c r="H36" s="187"/>
      <c r="I36" s="187"/>
      <c r="J36" s="187"/>
      <c r="K36" s="196"/>
      <c r="L36" s="187"/>
      <c r="M36" s="187"/>
      <c r="N36" s="187"/>
      <c r="O36" s="188"/>
      <c r="P36" s="186"/>
      <c r="Q36" s="187"/>
      <c r="R36" s="187"/>
      <c r="S36" s="187"/>
      <c r="T36" s="187"/>
      <c r="U36" s="187"/>
      <c r="V36" s="187"/>
      <c r="W36" s="196"/>
      <c r="X36" s="187"/>
      <c r="Y36" s="187"/>
      <c r="Z36" s="187"/>
      <c r="AA36" s="188"/>
      <c r="AB36" s="186"/>
      <c r="AC36" s="187"/>
      <c r="AD36" s="187"/>
      <c r="AE36" s="187"/>
      <c r="AF36" s="187"/>
      <c r="AG36" s="187"/>
      <c r="AH36" s="187"/>
      <c r="AI36" s="196"/>
      <c r="AJ36" s="187"/>
      <c r="AK36" s="187"/>
      <c r="AL36" s="187"/>
      <c r="AM36" s="188"/>
      <c r="AN36" s="186"/>
      <c r="AO36" s="187"/>
      <c r="AP36" s="187"/>
      <c r="AQ36" s="187"/>
      <c r="AR36" s="187"/>
      <c r="AS36" s="187"/>
      <c r="AT36" s="187"/>
      <c r="AU36" s="196"/>
      <c r="AV36" s="187"/>
      <c r="AW36" s="187"/>
      <c r="AX36" s="187"/>
      <c r="AY36" s="188"/>
      <c r="AZ36" s="186"/>
      <c r="BA36" s="187"/>
      <c r="BB36" s="187"/>
      <c r="BC36" s="187"/>
      <c r="BD36" s="187"/>
      <c r="BE36" s="187"/>
      <c r="BF36" s="187"/>
      <c r="BG36" s="196"/>
      <c r="BH36" s="187"/>
      <c r="BI36" s="187"/>
      <c r="BJ36" s="187"/>
      <c r="BK36" s="188"/>
      <c r="BL36" s="186"/>
      <c r="BM36" s="187"/>
      <c r="BN36" s="187"/>
      <c r="BO36" s="187"/>
      <c r="BP36" s="187"/>
      <c r="BQ36" s="187"/>
      <c r="BR36" s="187"/>
      <c r="BS36" s="196"/>
      <c r="BT36" s="187"/>
      <c r="BU36" s="187"/>
      <c r="BV36" s="187"/>
      <c r="BW36" s="188"/>
      <c r="BX36" s="186"/>
      <c r="BY36" s="187"/>
      <c r="BZ36" s="187"/>
      <c r="CA36" s="187"/>
      <c r="CB36" s="187"/>
      <c r="CC36" s="187"/>
      <c r="CD36" s="187"/>
      <c r="CE36" s="196"/>
      <c r="CF36" s="187"/>
      <c r="CG36" s="187"/>
      <c r="CH36" s="187"/>
      <c r="CI36" s="188"/>
      <c r="CJ36" s="186"/>
      <c r="CK36" s="187"/>
      <c r="CL36" s="187"/>
      <c r="CM36" s="187"/>
      <c r="CN36" s="187"/>
      <c r="CO36" s="187"/>
      <c r="CP36" s="187"/>
      <c r="CQ36" s="196"/>
      <c r="CR36" s="187"/>
      <c r="CS36" s="187"/>
      <c r="CT36" s="187"/>
      <c r="CU36" s="188"/>
      <c r="CV36" s="186"/>
      <c r="CW36" s="187"/>
      <c r="CX36" s="187"/>
      <c r="CY36" s="187"/>
      <c r="CZ36" s="187"/>
      <c r="DA36" s="187"/>
      <c r="DB36" s="187"/>
      <c r="DC36" s="196"/>
      <c r="DD36" s="187"/>
      <c r="DE36" s="187"/>
      <c r="DF36" s="187"/>
      <c r="DG36" s="188"/>
      <c r="DH36" s="186"/>
      <c r="DI36" s="187"/>
      <c r="DJ36" s="187"/>
      <c r="DK36" s="187"/>
      <c r="DL36" s="187"/>
      <c r="DM36" s="187"/>
      <c r="DN36" s="187"/>
      <c r="DO36" s="196"/>
      <c r="DP36" s="187"/>
      <c r="DQ36" s="187"/>
      <c r="DR36" s="187"/>
      <c r="DS36" s="188"/>
      <c r="DT36" s="186"/>
      <c r="DU36" s="187"/>
      <c r="DV36" s="187"/>
      <c r="DW36" s="187"/>
      <c r="DX36" s="187"/>
      <c r="DY36" s="187"/>
      <c r="DZ36" s="187"/>
      <c r="EA36" s="196"/>
      <c r="EB36" s="187"/>
      <c r="EC36" s="187"/>
      <c r="ED36" s="187"/>
      <c r="EE36" s="188"/>
      <c r="EF36" s="186"/>
      <c r="EG36" s="187"/>
      <c r="EH36" s="187"/>
      <c r="EI36" s="187"/>
      <c r="EJ36" s="187"/>
      <c r="EK36" s="187"/>
      <c r="EL36" s="187"/>
      <c r="EM36" s="196"/>
      <c r="EN36" s="187"/>
      <c r="EO36" s="187"/>
      <c r="EP36" s="187"/>
      <c r="EQ36" s="188"/>
    </row>
    <row r="37" hidden="1">
      <c r="A37" s="187"/>
      <c r="B37" s="187"/>
      <c r="C37" s="187"/>
      <c r="D37" s="186"/>
      <c r="E37" s="187"/>
      <c r="F37" s="187"/>
      <c r="G37" s="187"/>
      <c r="H37" s="187"/>
      <c r="I37" s="187"/>
      <c r="J37" s="187"/>
      <c r="K37" s="196"/>
      <c r="L37" s="187"/>
      <c r="M37" s="187"/>
      <c r="N37" s="187"/>
      <c r="O37" s="188"/>
      <c r="P37" s="186"/>
      <c r="Q37" s="187"/>
      <c r="R37" s="187"/>
      <c r="S37" s="187"/>
      <c r="T37" s="187"/>
      <c r="U37" s="187"/>
      <c r="V37" s="187"/>
      <c r="W37" s="196"/>
      <c r="X37" s="187"/>
      <c r="Y37" s="187"/>
      <c r="Z37" s="187"/>
      <c r="AA37" s="188"/>
      <c r="AB37" s="186"/>
      <c r="AC37" s="187"/>
      <c r="AD37" s="187"/>
      <c r="AE37" s="187"/>
      <c r="AF37" s="187"/>
      <c r="AG37" s="187"/>
      <c r="AH37" s="187"/>
      <c r="AI37" s="196"/>
      <c r="AJ37" s="187"/>
      <c r="AK37" s="187"/>
      <c r="AL37" s="187"/>
      <c r="AM37" s="188"/>
      <c r="AN37" s="186"/>
      <c r="AO37" s="187"/>
      <c r="AP37" s="187"/>
      <c r="AQ37" s="187"/>
      <c r="AR37" s="187"/>
      <c r="AS37" s="187"/>
      <c r="AT37" s="187"/>
      <c r="AU37" s="196"/>
      <c r="AV37" s="187"/>
      <c r="AW37" s="187"/>
      <c r="AX37" s="187"/>
      <c r="AY37" s="188"/>
      <c r="AZ37" s="186"/>
      <c r="BA37" s="187"/>
      <c r="BB37" s="187"/>
      <c r="BC37" s="187"/>
      <c r="BD37" s="187"/>
      <c r="BE37" s="187"/>
      <c r="BF37" s="187"/>
      <c r="BG37" s="196"/>
      <c r="BH37" s="187"/>
      <c r="BI37" s="187"/>
      <c r="BJ37" s="187"/>
      <c r="BK37" s="188"/>
      <c r="BL37" s="186"/>
      <c r="BM37" s="187"/>
      <c r="BN37" s="187"/>
      <c r="BO37" s="187"/>
      <c r="BP37" s="187"/>
      <c r="BQ37" s="187"/>
      <c r="BR37" s="187"/>
      <c r="BS37" s="196"/>
      <c r="BT37" s="187"/>
      <c r="BU37" s="187"/>
      <c r="BV37" s="187"/>
      <c r="BW37" s="188"/>
      <c r="BX37" s="186"/>
      <c r="BY37" s="187"/>
      <c r="BZ37" s="187"/>
      <c r="CA37" s="187"/>
      <c r="CB37" s="187"/>
      <c r="CC37" s="187"/>
      <c r="CD37" s="187"/>
      <c r="CE37" s="196"/>
      <c r="CF37" s="187"/>
      <c r="CG37" s="187"/>
      <c r="CH37" s="187"/>
      <c r="CI37" s="188"/>
      <c r="CJ37" s="186"/>
      <c r="CK37" s="187"/>
      <c r="CL37" s="187"/>
      <c r="CM37" s="187"/>
      <c r="CN37" s="187"/>
      <c r="CO37" s="187"/>
      <c r="CP37" s="187"/>
      <c r="CQ37" s="196"/>
      <c r="CR37" s="187"/>
      <c r="CS37" s="187"/>
      <c r="CT37" s="187"/>
      <c r="CU37" s="188"/>
      <c r="CV37" s="186"/>
      <c r="CW37" s="187"/>
      <c r="CX37" s="187"/>
      <c r="CY37" s="187"/>
      <c r="CZ37" s="187"/>
      <c r="DA37" s="187"/>
      <c r="DB37" s="187"/>
      <c r="DC37" s="196"/>
      <c r="DD37" s="187"/>
      <c r="DE37" s="187"/>
      <c r="DF37" s="187"/>
      <c r="DG37" s="188"/>
      <c r="DH37" s="186"/>
      <c r="DI37" s="187"/>
      <c r="DJ37" s="187"/>
      <c r="DK37" s="187"/>
      <c r="DL37" s="187"/>
      <c r="DM37" s="187"/>
      <c r="DN37" s="187"/>
      <c r="DO37" s="196"/>
      <c r="DP37" s="187"/>
      <c r="DQ37" s="187"/>
      <c r="DR37" s="187"/>
      <c r="DS37" s="188"/>
      <c r="DT37" s="186"/>
      <c r="DU37" s="187"/>
      <c r="DV37" s="187"/>
      <c r="DW37" s="187"/>
      <c r="DX37" s="187"/>
      <c r="DY37" s="187"/>
      <c r="DZ37" s="187"/>
      <c r="EA37" s="196"/>
      <c r="EB37" s="187"/>
      <c r="EC37" s="187"/>
      <c r="ED37" s="187"/>
      <c r="EE37" s="188"/>
      <c r="EF37" s="186"/>
      <c r="EG37" s="187"/>
      <c r="EH37" s="187"/>
      <c r="EI37" s="187"/>
      <c r="EJ37" s="187"/>
      <c r="EK37" s="187"/>
      <c r="EL37" s="187"/>
      <c r="EM37" s="196"/>
      <c r="EN37" s="187"/>
      <c r="EO37" s="187"/>
      <c r="EP37" s="187"/>
      <c r="EQ37" s="188"/>
    </row>
    <row r="38" hidden="1">
      <c r="A38" s="187"/>
      <c r="B38" s="187"/>
      <c r="C38" s="187"/>
      <c r="D38" s="186"/>
      <c r="E38" s="187"/>
      <c r="F38" s="187"/>
      <c r="G38" s="187"/>
      <c r="H38" s="187"/>
      <c r="I38" s="187"/>
      <c r="J38" s="187"/>
      <c r="K38" s="196"/>
      <c r="L38" s="187"/>
      <c r="M38" s="187"/>
      <c r="N38" s="187"/>
      <c r="O38" s="188"/>
      <c r="P38" s="186"/>
      <c r="Q38" s="187"/>
      <c r="R38" s="187"/>
      <c r="S38" s="187"/>
      <c r="T38" s="187"/>
      <c r="U38" s="187"/>
      <c r="V38" s="187"/>
      <c r="W38" s="196"/>
      <c r="X38" s="187"/>
      <c r="Y38" s="187"/>
      <c r="Z38" s="187"/>
      <c r="AA38" s="188"/>
      <c r="AB38" s="186"/>
      <c r="AC38" s="187"/>
      <c r="AD38" s="187"/>
      <c r="AE38" s="187"/>
      <c r="AF38" s="187"/>
      <c r="AG38" s="187"/>
      <c r="AH38" s="187"/>
      <c r="AI38" s="196"/>
      <c r="AJ38" s="187"/>
      <c r="AK38" s="187"/>
      <c r="AL38" s="187"/>
      <c r="AM38" s="188"/>
      <c r="AN38" s="186"/>
      <c r="AO38" s="187"/>
      <c r="AP38" s="187"/>
      <c r="AQ38" s="187"/>
      <c r="AR38" s="187"/>
      <c r="AS38" s="187"/>
      <c r="AT38" s="187"/>
      <c r="AU38" s="196"/>
      <c r="AV38" s="187"/>
      <c r="AW38" s="187"/>
      <c r="AX38" s="187"/>
      <c r="AY38" s="188"/>
      <c r="AZ38" s="186"/>
      <c r="BA38" s="187"/>
      <c r="BB38" s="187"/>
      <c r="BC38" s="187"/>
      <c r="BD38" s="187"/>
      <c r="BE38" s="187"/>
      <c r="BF38" s="187"/>
      <c r="BG38" s="196"/>
      <c r="BH38" s="187"/>
      <c r="BI38" s="187"/>
      <c r="BJ38" s="187"/>
      <c r="BK38" s="188"/>
      <c r="BL38" s="186"/>
      <c r="BM38" s="187"/>
      <c r="BN38" s="187"/>
      <c r="BO38" s="187"/>
      <c r="BP38" s="187"/>
      <c r="BQ38" s="187"/>
      <c r="BR38" s="187"/>
      <c r="BS38" s="196"/>
      <c r="BT38" s="187"/>
      <c r="BU38" s="187"/>
      <c r="BV38" s="187"/>
      <c r="BW38" s="188"/>
      <c r="BX38" s="186"/>
      <c r="BY38" s="187"/>
      <c r="BZ38" s="187"/>
      <c r="CA38" s="187"/>
      <c r="CB38" s="187"/>
      <c r="CC38" s="187"/>
      <c r="CD38" s="187"/>
      <c r="CE38" s="196"/>
      <c r="CF38" s="187"/>
      <c r="CG38" s="187"/>
      <c r="CH38" s="187"/>
      <c r="CI38" s="188"/>
      <c r="CJ38" s="186"/>
      <c r="CK38" s="187"/>
      <c r="CL38" s="187"/>
      <c r="CM38" s="187"/>
      <c r="CN38" s="187"/>
      <c r="CO38" s="187"/>
      <c r="CP38" s="187"/>
      <c r="CQ38" s="196"/>
      <c r="CR38" s="187"/>
      <c r="CS38" s="187"/>
      <c r="CT38" s="187"/>
      <c r="CU38" s="188"/>
      <c r="CV38" s="186"/>
      <c r="CW38" s="187"/>
      <c r="CX38" s="187"/>
      <c r="CY38" s="187"/>
      <c r="CZ38" s="187"/>
      <c r="DA38" s="187"/>
      <c r="DB38" s="187"/>
      <c r="DC38" s="196"/>
      <c r="DD38" s="187"/>
      <c r="DE38" s="187"/>
      <c r="DF38" s="187"/>
      <c r="DG38" s="188"/>
      <c r="DH38" s="186"/>
      <c r="DI38" s="187"/>
      <c r="DJ38" s="187"/>
      <c r="DK38" s="187"/>
      <c r="DL38" s="187"/>
      <c r="DM38" s="187"/>
      <c r="DN38" s="187"/>
      <c r="DO38" s="196"/>
      <c r="DP38" s="187"/>
      <c r="DQ38" s="187"/>
      <c r="DR38" s="187"/>
      <c r="DS38" s="188"/>
      <c r="DT38" s="186"/>
      <c r="DU38" s="187"/>
      <c r="DV38" s="187"/>
      <c r="DW38" s="187"/>
      <c r="DX38" s="187"/>
      <c r="DY38" s="187"/>
      <c r="DZ38" s="187"/>
      <c r="EA38" s="196"/>
      <c r="EB38" s="187"/>
      <c r="EC38" s="187"/>
      <c r="ED38" s="187"/>
      <c r="EE38" s="188"/>
      <c r="EF38" s="186"/>
      <c r="EG38" s="187"/>
      <c r="EH38" s="187"/>
      <c r="EI38" s="187"/>
      <c r="EJ38" s="187"/>
      <c r="EK38" s="187"/>
      <c r="EL38" s="187"/>
      <c r="EM38" s="196"/>
      <c r="EN38" s="187"/>
      <c r="EO38" s="187"/>
      <c r="EP38" s="187"/>
      <c r="EQ38" s="188"/>
    </row>
    <row r="39" hidden="1">
      <c r="A39" s="187"/>
      <c r="B39" s="187"/>
      <c r="C39" s="187"/>
      <c r="D39" s="186"/>
      <c r="E39" s="187"/>
      <c r="F39" s="187"/>
      <c r="G39" s="187"/>
      <c r="H39" s="187"/>
      <c r="I39" s="187"/>
      <c r="J39" s="187"/>
      <c r="K39" s="196"/>
      <c r="L39" s="187"/>
      <c r="M39" s="187"/>
      <c r="N39" s="187"/>
      <c r="O39" s="188"/>
      <c r="P39" s="186"/>
      <c r="Q39" s="187"/>
      <c r="R39" s="187"/>
      <c r="S39" s="187"/>
      <c r="T39" s="187"/>
      <c r="U39" s="187"/>
      <c r="V39" s="187"/>
      <c r="W39" s="196"/>
      <c r="X39" s="187"/>
      <c r="Y39" s="187"/>
      <c r="Z39" s="187"/>
      <c r="AA39" s="188"/>
      <c r="AB39" s="186"/>
      <c r="AC39" s="187"/>
      <c r="AD39" s="187"/>
      <c r="AE39" s="187"/>
      <c r="AF39" s="187"/>
      <c r="AG39" s="187"/>
      <c r="AH39" s="187"/>
      <c r="AI39" s="196"/>
      <c r="AJ39" s="187"/>
      <c r="AK39" s="187"/>
      <c r="AL39" s="187"/>
      <c r="AM39" s="188"/>
      <c r="AN39" s="186"/>
      <c r="AO39" s="187"/>
      <c r="AP39" s="187"/>
      <c r="AQ39" s="187"/>
      <c r="AR39" s="187"/>
      <c r="AS39" s="187"/>
      <c r="AT39" s="187"/>
      <c r="AU39" s="196"/>
      <c r="AV39" s="187"/>
      <c r="AW39" s="187"/>
      <c r="AX39" s="187"/>
      <c r="AY39" s="188"/>
      <c r="AZ39" s="186"/>
      <c r="BA39" s="187"/>
      <c r="BB39" s="187"/>
      <c r="BC39" s="187"/>
      <c r="BD39" s="187"/>
      <c r="BE39" s="187"/>
      <c r="BF39" s="187"/>
      <c r="BG39" s="196"/>
      <c r="BH39" s="187"/>
      <c r="BI39" s="187"/>
      <c r="BJ39" s="187"/>
      <c r="BK39" s="188"/>
      <c r="BL39" s="186"/>
      <c r="BM39" s="187"/>
      <c r="BN39" s="187"/>
      <c r="BO39" s="187"/>
      <c r="BP39" s="187"/>
      <c r="BQ39" s="187"/>
      <c r="BR39" s="187"/>
      <c r="BS39" s="196"/>
      <c r="BT39" s="187"/>
      <c r="BU39" s="187"/>
      <c r="BV39" s="187"/>
      <c r="BW39" s="188"/>
      <c r="BX39" s="186"/>
      <c r="BY39" s="187"/>
      <c r="BZ39" s="187"/>
      <c r="CA39" s="187"/>
      <c r="CB39" s="187"/>
      <c r="CC39" s="187"/>
      <c r="CD39" s="187"/>
      <c r="CE39" s="196"/>
      <c r="CF39" s="187"/>
      <c r="CG39" s="187"/>
      <c r="CH39" s="187"/>
      <c r="CI39" s="188"/>
      <c r="CJ39" s="186"/>
      <c r="CK39" s="187"/>
      <c r="CL39" s="187"/>
      <c r="CM39" s="187"/>
      <c r="CN39" s="187"/>
      <c r="CO39" s="187"/>
      <c r="CP39" s="187"/>
      <c r="CQ39" s="196"/>
      <c r="CR39" s="187"/>
      <c r="CS39" s="187"/>
      <c r="CT39" s="187"/>
      <c r="CU39" s="188"/>
      <c r="CV39" s="186"/>
      <c r="CW39" s="187"/>
      <c r="CX39" s="187"/>
      <c r="CY39" s="187"/>
      <c r="CZ39" s="187"/>
      <c r="DA39" s="187"/>
      <c r="DB39" s="187"/>
      <c r="DC39" s="196"/>
      <c r="DD39" s="187"/>
      <c r="DE39" s="187"/>
      <c r="DF39" s="187"/>
      <c r="DG39" s="188"/>
      <c r="DH39" s="186"/>
      <c r="DI39" s="187"/>
      <c r="DJ39" s="187"/>
      <c r="DK39" s="187"/>
      <c r="DL39" s="187"/>
      <c r="DM39" s="187"/>
      <c r="DN39" s="187"/>
      <c r="DO39" s="196"/>
      <c r="DP39" s="187"/>
      <c r="DQ39" s="187"/>
      <c r="DR39" s="187"/>
      <c r="DS39" s="188"/>
      <c r="DT39" s="186"/>
      <c r="DU39" s="187"/>
      <c r="DV39" s="187"/>
      <c r="DW39" s="187"/>
      <c r="DX39" s="187"/>
      <c r="DY39" s="187"/>
      <c r="DZ39" s="187"/>
      <c r="EA39" s="196"/>
      <c r="EB39" s="187"/>
      <c r="EC39" s="187"/>
      <c r="ED39" s="187"/>
      <c r="EE39" s="188"/>
      <c r="EF39" s="186"/>
      <c r="EG39" s="187"/>
      <c r="EH39" s="187"/>
      <c r="EI39" s="187"/>
      <c r="EJ39" s="187"/>
      <c r="EK39" s="187"/>
      <c r="EL39" s="187"/>
      <c r="EM39" s="196"/>
      <c r="EN39" s="187"/>
      <c r="EO39" s="187"/>
      <c r="EP39" s="187"/>
      <c r="EQ39" s="188"/>
    </row>
    <row r="40" hidden="1">
      <c r="A40" s="187"/>
      <c r="B40" s="187"/>
      <c r="C40" s="187"/>
      <c r="D40" s="186"/>
      <c r="E40" s="187"/>
      <c r="F40" s="187"/>
      <c r="G40" s="187"/>
      <c r="H40" s="187"/>
      <c r="I40" s="187"/>
      <c r="J40" s="187"/>
      <c r="K40" s="196"/>
      <c r="L40" s="187"/>
      <c r="M40" s="187"/>
      <c r="N40" s="187"/>
      <c r="O40" s="188"/>
      <c r="P40" s="186"/>
      <c r="Q40" s="187"/>
      <c r="R40" s="187"/>
      <c r="S40" s="187"/>
      <c r="T40" s="187"/>
      <c r="U40" s="187"/>
      <c r="V40" s="187"/>
      <c r="W40" s="196"/>
      <c r="X40" s="187"/>
      <c r="Y40" s="187"/>
      <c r="Z40" s="187"/>
      <c r="AA40" s="188"/>
      <c r="AB40" s="186"/>
      <c r="AC40" s="187"/>
      <c r="AD40" s="187"/>
      <c r="AE40" s="187"/>
      <c r="AF40" s="187"/>
      <c r="AG40" s="187"/>
      <c r="AH40" s="187"/>
      <c r="AI40" s="196"/>
      <c r="AJ40" s="187"/>
      <c r="AK40" s="187"/>
      <c r="AL40" s="187"/>
      <c r="AM40" s="188"/>
      <c r="AN40" s="186"/>
      <c r="AO40" s="187"/>
      <c r="AP40" s="187"/>
      <c r="AQ40" s="187"/>
      <c r="AR40" s="187"/>
      <c r="AS40" s="187"/>
      <c r="AT40" s="187"/>
      <c r="AU40" s="196"/>
      <c r="AV40" s="187"/>
      <c r="AW40" s="187"/>
      <c r="AX40" s="187"/>
      <c r="AY40" s="188"/>
      <c r="AZ40" s="186"/>
      <c r="BA40" s="187"/>
      <c r="BB40" s="187"/>
      <c r="BC40" s="187"/>
      <c r="BD40" s="187"/>
      <c r="BE40" s="187"/>
      <c r="BF40" s="187"/>
      <c r="BG40" s="196"/>
      <c r="BH40" s="187"/>
      <c r="BI40" s="187"/>
      <c r="BJ40" s="187"/>
      <c r="BK40" s="188"/>
      <c r="BL40" s="186"/>
      <c r="BM40" s="187"/>
      <c r="BN40" s="187"/>
      <c r="BO40" s="187"/>
      <c r="BP40" s="187"/>
      <c r="BQ40" s="187"/>
      <c r="BR40" s="187"/>
      <c r="BS40" s="196"/>
      <c r="BT40" s="187"/>
      <c r="BU40" s="187"/>
      <c r="BV40" s="187"/>
      <c r="BW40" s="188"/>
      <c r="BX40" s="186"/>
      <c r="BY40" s="187"/>
      <c r="BZ40" s="187"/>
      <c r="CA40" s="187"/>
      <c r="CB40" s="187"/>
      <c r="CC40" s="187"/>
      <c r="CD40" s="187"/>
      <c r="CE40" s="196"/>
      <c r="CF40" s="187"/>
      <c r="CG40" s="187"/>
      <c r="CH40" s="187"/>
      <c r="CI40" s="188"/>
      <c r="CJ40" s="186"/>
      <c r="CK40" s="187"/>
      <c r="CL40" s="187"/>
      <c r="CM40" s="187"/>
      <c r="CN40" s="187"/>
      <c r="CO40" s="187"/>
      <c r="CP40" s="187"/>
      <c r="CQ40" s="196"/>
      <c r="CR40" s="187"/>
      <c r="CS40" s="187"/>
      <c r="CT40" s="187"/>
      <c r="CU40" s="188"/>
      <c r="CV40" s="186"/>
      <c r="CW40" s="187"/>
      <c r="CX40" s="187"/>
      <c r="CY40" s="187"/>
      <c r="CZ40" s="187"/>
      <c r="DA40" s="187"/>
      <c r="DB40" s="187"/>
      <c r="DC40" s="196"/>
      <c r="DD40" s="187"/>
      <c r="DE40" s="187"/>
      <c r="DF40" s="187"/>
      <c r="DG40" s="188"/>
      <c r="DH40" s="186"/>
      <c r="DI40" s="187"/>
      <c r="DJ40" s="187"/>
      <c r="DK40" s="187"/>
      <c r="DL40" s="187"/>
      <c r="DM40" s="187"/>
      <c r="DN40" s="187"/>
      <c r="DO40" s="196"/>
      <c r="DP40" s="187"/>
      <c r="DQ40" s="187"/>
      <c r="DR40" s="187"/>
      <c r="DS40" s="188"/>
      <c r="DT40" s="186"/>
      <c r="DU40" s="187"/>
      <c r="DV40" s="187"/>
      <c r="DW40" s="187"/>
      <c r="DX40" s="187"/>
      <c r="DY40" s="187"/>
      <c r="DZ40" s="187"/>
      <c r="EA40" s="196"/>
      <c r="EB40" s="187"/>
      <c r="EC40" s="187"/>
      <c r="ED40" s="187"/>
      <c r="EE40" s="188"/>
      <c r="EF40" s="186"/>
      <c r="EG40" s="187"/>
      <c r="EH40" s="187"/>
      <c r="EI40" s="187"/>
      <c r="EJ40" s="187"/>
      <c r="EK40" s="187"/>
      <c r="EL40" s="187"/>
      <c r="EM40" s="196"/>
      <c r="EN40" s="187"/>
      <c r="EO40" s="187"/>
      <c r="EP40" s="187"/>
      <c r="EQ40" s="188"/>
    </row>
    <row r="41" hidden="1">
      <c r="A41" s="187"/>
      <c r="B41" s="187"/>
      <c r="C41" s="187"/>
      <c r="D41" s="186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8"/>
      <c r="P41" s="186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8"/>
      <c r="AB41" s="186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8"/>
      <c r="AN41" s="186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8"/>
      <c r="AZ41" s="186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8"/>
      <c r="BL41" s="186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8"/>
      <c r="BX41" s="186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8"/>
      <c r="CJ41" s="186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8"/>
      <c r="CV41" s="186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8"/>
      <c r="DH41" s="186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8"/>
      <c r="DT41" s="186"/>
      <c r="DU41" s="187"/>
      <c r="DV41" s="187"/>
      <c r="DW41" s="187"/>
      <c r="DX41" s="187"/>
      <c r="DY41" s="187"/>
      <c r="DZ41" s="187"/>
      <c r="EA41" s="187"/>
      <c r="EB41" s="187"/>
      <c r="EC41" s="187"/>
      <c r="ED41" s="187"/>
      <c r="EE41" s="188"/>
      <c r="EF41" s="186"/>
      <c r="EG41" s="187"/>
      <c r="EH41" s="187"/>
      <c r="EI41" s="187"/>
      <c r="EJ41" s="187"/>
      <c r="EK41" s="187"/>
      <c r="EL41" s="187"/>
      <c r="EM41" s="187"/>
      <c r="EN41" s="187"/>
      <c r="EO41" s="187"/>
      <c r="EP41" s="187"/>
      <c r="EQ41" s="188"/>
    </row>
    <row r="42" hidden="1">
      <c r="A42" s="187"/>
      <c r="B42" s="187"/>
      <c r="C42" s="187"/>
      <c r="D42" s="186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8"/>
      <c r="P42" s="186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8"/>
      <c r="AB42" s="186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8"/>
      <c r="AN42" s="186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8"/>
      <c r="AZ42" s="186"/>
      <c r="BA42" s="187"/>
      <c r="BB42" s="187"/>
      <c r="BC42" s="187"/>
      <c r="BD42" s="187"/>
      <c r="BE42" s="187"/>
      <c r="BF42" s="187"/>
      <c r="BG42" s="187"/>
      <c r="BH42" s="187"/>
      <c r="BI42" s="187"/>
      <c r="BJ42" s="187"/>
      <c r="BK42" s="188"/>
      <c r="BL42" s="186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8"/>
      <c r="BX42" s="186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8"/>
      <c r="CJ42" s="186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8"/>
      <c r="CV42" s="186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8"/>
      <c r="DH42" s="186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8"/>
      <c r="DT42" s="186"/>
      <c r="DU42" s="187"/>
      <c r="DV42" s="187"/>
      <c r="DW42" s="187"/>
      <c r="DX42" s="187"/>
      <c r="DY42" s="187"/>
      <c r="DZ42" s="187"/>
      <c r="EA42" s="187"/>
      <c r="EB42" s="187"/>
      <c r="EC42" s="187"/>
      <c r="ED42" s="187"/>
      <c r="EE42" s="188"/>
      <c r="EF42" s="186"/>
      <c r="EG42" s="187"/>
      <c r="EH42" s="187"/>
      <c r="EI42" s="187"/>
      <c r="EJ42" s="187"/>
      <c r="EK42" s="187"/>
      <c r="EL42" s="187"/>
      <c r="EM42" s="187"/>
      <c r="EN42" s="187"/>
      <c r="EO42" s="187"/>
      <c r="EP42" s="187"/>
      <c r="EQ42" s="188"/>
    </row>
    <row r="43" hidden="1">
      <c r="A43" s="187"/>
      <c r="B43" s="187"/>
      <c r="C43" s="187"/>
      <c r="D43" s="186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8"/>
      <c r="AB43" s="186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8"/>
      <c r="AN43" s="186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8"/>
      <c r="AZ43" s="186"/>
      <c r="BA43" s="187"/>
      <c r="BB43" s="187"/>
      <c r="BC43" s="187"/>
      <c r="BD43" s="187"/>
      <c r="BE43" s="187"/>
      <c r="BF43" s="187"/>
      <c r="BG43" s="187"/>
      <c r="BH43" s="187"/>
      <c r="BI43" s="187"/>
      <c r="BJ43" s="187"/>
      <c r="BK43" s="188"/>
      <c r="BL43" s="186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8"/>
      <c r="BX43" s="186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8"/>
      <c r="CJ43" s="186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8"/>
      <c r="CV43" s="186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8"/>
      <c r="DH43" s="186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8"/>
      <c r="DT43" s="186"/>
      <c r="DU43" s="187"/>
      <c r="DV43" s="187"/>
      <c r="DW43" s="187"/>
      <c r="DX43" s="187"/>
      <c r="DY43" s="187"/>
      <c r="DZ43" s="187"/>
      <c r="EA43" s="187"/>
      <c r="EB43" s="187"/>
      <c r="EC43" s="187"/>
      <c r="ED43" s="187"/>
      <c r="EE43" s="188"/>
      <c r="EF43" s="186"/>
      <c r="EG43" s="187"/>
      <c r="EH43" s="187"/>
      <c r="EI43" s="187"/>
      <c r="EJ43" s="187"/>
      <c r="EK43" s="187"/>
      <c r="EL43" s="187"/>
      <c r="EM43" s="187"/>
      <c r="EN43" s="187"/>
      <c r="EO43" s="187"/>
      <c r="EP43" s="187"/>
      <c r="EQ43" s="188"/>
    </row>
    <row r="44" hidden="1">
      <c r="A44" s="187"/>
      <c r="B44" s="187"/>
      <c r="C44" s="187"/>
      <c r="D44" s="186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8"/>
      <c r="P44" s="186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8"/>
      <c r="AB44" s="186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8"/>
      <c r="AN44" s="186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8"/>
      <c r="AZ44" s="186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188"/>
      <c r="BL44" s="186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8"/>
      <c r="BX44" s="186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8"/>
      <c r="CJ44" s="186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8"/>
      <c r="CV44" s="186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8"/>
      <c r="DH44" s="186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8"/>
      <c r="DT44" s="186"/>
      <c r="DU44" s="187"/>
      <c r="DV44" s="187"/>
      <c r="DW44" s="187"/>
      <c r="DX44" s="187"/>
      <c r="DY44" s="187"/>
      <c r="DZ44" s="187"/>
      <c r="EA44" s="187"/>
      <c r="EB44" s="187"/>
      <c r="EC44" s="187"/>
      <c r="ED44" s="187"/>
      <c r="EE44" s="188"/>
      <c r="EF44" s="186"/>
      <c r="EG44" s="187"/>
      <c r="EH44" s="187"/>
      <c r="EI44" s="187"/>
      <c r="EJ44" s="187"/>
      <c r="EK44" s="187"/>
      <c r="EL44" s="187"/>
      <c r="EM44" s="187"/>
      <c r="EN44" s="187"/>
      <c r="EO44" s="187"/>
      <c r="EP44" s="187"/>
      <c r="EQ44" s="188"/>
    </row>
    <row r="45" hidden="1">
      <c r="A45" s="187"/>
      <c r="B45" s="187"/>
      <c r="C45" s="187"/>
      <c r="D45" s="186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8"/>
      <c r="P45" s="186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8"/>
      <c r="AB45" s="186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8"/>
      <c r="AN45" s="186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8"/>
      <c r="AZ45" s="186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8"/>
      <c r="BL45" s="186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8"/>
      <c r="BX45" s="186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8"/>
      <c r="CJ45" s="186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8"/>
      <c r="CV45" s="186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8"/>
      <c r="DH45" s="186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8"/>
      <c r="DT45" s="186"/>
      <c r="DU45" s="187"/>
      <c r="DV45" s="187"/>
      <c r="DW45" s="187"/>
      <c r="DX45" s="187"/>
      <c r="DY45" s="187"/>
      <c r="DZ45" s="187"/>
      <c r="EA45" s="187"/>
      <c r="EB45" s="187"/>
      <c r="EC45" s="187"/>
      <c r="ED45" s="187"/>
      <c r="EE45" s="188"/>
      <c r="EF45" s="186"/>
      <c r="EG45" s="187"/>
      <c r="EH45" s="187"/>
      <c r="EI45" s="187"/>
      <c r="EJ45" s="187"/>
      <c r="EK45" s="187"/>
      <c r="EL45" s="187"/>
      <c r="EM45" s="187"/>
      <c r="EN45" s="187"/>
      <c r="EO45" s="187"/>
      <c r="EP45" s="187"/>
      <c r="EQ45" s="188"/>
    </row>
    <row r="46" hidden="1">
      <c r="A46" s="187"/>
      <c r="B46" s="187"/>
      <c r="C46" s="187"/>
      <c r="D46" s="186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8"/>
      <c r="P46" s="186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8"/>
      <c r="AB46" s="186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8"/>
      <c r="AN46" s="186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8"/>
      <c r="AZ46" s="186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8"/>
      <c r="BL46" s="186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8"/>
      <c r="BX46" s="186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8"/>
      <c r="CJ46" s="186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8"/>
      <c r="CV46" s="186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8"/>
      <c r="DH46" s="186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8"/>
      <c r="DT46" s="186"/>
      <c r="DU46" s="187"/>
      <c r="DV46" s="187"/>
      <c r="DW46" s="187"/>
      <c r="DX46" s="187"/>
      <c r="DY46" s="187"/>
      <c r="DZ46" s="187"/>
      <c r="EA46" s="187"/>
      <c r="EB46" s="187"/>
      <c r="EC46" s="187"/>
      <c r="ED46" s="187"/>
      <c r="EE46" s="188"/>
      <c r="EF46" s="186"/>
      <c r="EG46" s="187"/>
      <c r="EH46" s="187"/>
      <c r="EI46" s="187"/>
      <c r="EJ46" s="187"/>
      <c r="EK46" s="187"/>
      <c r="EL46" s="187"/>
      <c r="EM46" s="187"/>
      <c r="EN46" s="187"/>
      <c r="EO46" s="187"/>
      <c r="EP46" s="187"/>
      <c r="EQ46" s="188"/>
    </row>
    <row r="47" hidden="1">
      <c r="A47" s="187"/>
      <c r="B47" s="187"/>
      <c r="C47" s="187"/>
      <c r="D47" s="186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8"/>
      <c r="P47" s="186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8"/>
      <c r="AB47" s="186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8"/>
      <c r="AN47" s="186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8"/>
      <c r="AZ47" s="186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8"/>
      <c r="BL47" s="186"/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8"/>
      <c r="BX47" s="186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8"/>
      <c r="CJ47" s="186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8"/>
      <c r="CV47" s="186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8"/>
      <c r="DH47" s="186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8"/>
      <c r="DT47" s="186"/>
      <c r="DU47" s="187"/>
      <c r="DV47" s="187"/>
      <c r="DW47" s="187"/>
      <c r="DX47" s="187"/>
      <c r="DY47" s="187"/>
      <c r="DZ47" s="187"/>
      <c r="EA47" s="187"/>
      <c r="EB47" s="187"/>
      <c r="EC47" s="187"/>
      <c r="ED47" s="187"/>
      <c r="EE47" s="188"/>
      <c r="EF47" s="186"/>
      <c r="EG47" s="187"/>
      <c r="EH47" s="187"/>
      <c r="EI47" s="187"/>
      <c r="EJ47" s="187"/>
      <c r="EK47" s="187"/>
      <c r="EL47" s="187"/>
      <c r="EM47" s="187"/>
      <c r="EN47" s="187"/>
      <c r="EO47" s="187"/>
      <c r="EP47" s="187"/>
      <c r="EQ47" s="188"/>
    </row>
    <row r="48" hidden="1">
      <c r="A48" s="187"/>
      <c r="B48" s="187"/>
      <c r="C48" s="187"/>
      <c r="D48" s="186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8"/>
      <c r="P48" s="186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8"/>
      <c r="AB48" s="186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  <c r="AM48" s="188"/>
      <c r="AN48" s="186"/>
      <c r="AO48" s="187"/>
      <c r="AP48" s="187"/>
      <c r="AQ48" s="187"/>
      <c r="AR48" s="187"/>
      <c r="AS48" s="187"/>
      <c r="AT48" s="187"/>
      <c r="AU48" s="187"/>
      <c r="AV48" s="187"/>
      <c r="AW48" s="187"/>
      <c r="AX48" s="187"/>
      <c r="AY48" s="188"/>
      <c r="AZ48" s="186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8"/>
      <c r="BL48" s="186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8"/>
      <c r="BX48" s="186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8"/>
      <c r="CJ48" s="186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8"/>
      <c r="CV48" s="186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8"/>
      <c r="DH48" s="186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8"/>
      <c r="DT48" s="186"/>
      <c r="DU48" s="187"/>
      <c r="DV48" s="187"/>
      <c r="DW48" s="187"/>
      <c r="DX48" s="187"/>
      <c r="DY48" s="187"/>
      <c r="DZ48" s="187"/>
      <c r="EA48" s="187"/>
      <c r="EB48" s="187"/>
      <c r="EC48" s="187"/>
      <c r="ED48" s="187"/>
      <c r="EE48" s="188"/>
      <c r="EF48" s="186"/>
      <c r="EG48" s="187"/>
      <c r="EH48" s="187"/>
      <c r="EI48" s="187"/>
      <c r="EJ48" s="187"/>
      <c r="EK48" s="187"/>
      <c r="EL48" s="187"/>
      <c r="EM48" s="187"/>
      <c r="EN48" s="187"/>
      <c r="EO48" s="187"/>
      <c r="EP48" s="187"/>
      <c r="EQ48" s="188"/>
    </row>
    <row r="49" hidden="1">
      <c r="A49" s="187"/>
      <c r="B49" s="187"/>
      <c r="C49" s="187"/>
      <c r="D49" s="186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8"/>
      <c r="P49" s="186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8"/>
      <c r="AB49" s="186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8"/>
      <c r="AN49" s="186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8"/>
      <c r="AZ49" s="186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8"/>
      <c r="BL49" s="186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8"/>
      <c r="BX49" s="186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8"/>
      <c r="CJ49" s="186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8"/>
      <c r="CV49" s="186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8"/>
      <c r="DH49" s="186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8"/>
      <c r="DT49" s="186"/>
      <c r="DU49" s="187"/>
      <c r="DV49" s="187"/>
      <c r="DW49" s="187"/>
      <c r="DX49" s="187"/>
      <c r="DY49" s="187"/>
      <c r="DZ49" s="187"/>
      <c r="EA49" s="187"/>
      <c r="EB49" s="187"/>
      <c r="EC49" s="187"/>
      <c r="ED49" s="187"/>
      <c r="EE49" s="188"/>
      <c r="EF49" s="186"/>
      <c r="EG49" s="187"/>
      <c r="EH49" s="187"/>
      <c r="EI49" s="187"/>
      <c r="EJ49" s="187"/>
      <c r="EK49" s="187"/>
      <c r="EL49" s="187"/>
      <c r="EM49" s="187"/>
      <c r="EN49" s="187"/>
      <c r="EO49" s="187"/>
      <c r="EP49" s="187"/>
      <c r="EQ49" s="188"/>
    </row>
    <row r="50" hidden="1">
      <c r="A50" s="187"/>
      <c r="B50" s="187"/>
      <c r="C50" s="187"/>
      <c r="D50" s="186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8"/>
      <c r="P50" s="186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8"/>
      <c r="AB50" s="186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8"/>
      <c r="AN50" s="186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8"/>
      <c r="AZ50" s="186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8"/>
      <c r="BL50" s="186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8"/>
      <c r="BX50" s="186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8"/>
      <c r="CJ50" s="186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8"/>
      <c r="CV50" s="186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8"/>
      <c r="DH50" s="186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8"/>
      <c r="DT50" s="186"/>
      <c r="DU50" s="187"/>
      <c r="DV50" s="187"/>
      <c r="DW50" s="187"/>
      <c r="DX50" s="187"/>
      <c r="DY50" s="187"/>
      <c r="DZ50" s="187"/>
      <c r="EA50" s="187"/>
      <c r="EB50" s="187"/>
      <c r="EC50" s="187"/>
      <c r="ED50" s="187"/>
      <c r="EE50" s="188"/>
      <c r="EF50" s="186"/>
      <c r="EG50" s="187"/>
      <c r="EH50" s="187"/>
      <c r="EI50" s="187"/>
      <c r="EJ50" s="187"/>
      <c r="EK50" s="187"/>
      <c r="EL50" s="187"/>
      <c r="EM50" s="187"/>
      <c r="EN50" s="187"/>
      <c r="EO50" s="187"/>
      <c r="EP50" s="187"/>
      <c r="EQ50" s="188"/>
    </row>
    <row r="51" hidden="1">
      <c r="A51" s="187"/>
      <c r="B51" s="187"/>
      <c r="C51" s="187"/>
      <c r="D51" s="201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3"/>
      <c r="P51" s="201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3"/>
      <c r="AB51" s="201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3"/>
      <c r="AN51" s="201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3"/>
      <c r="AZ51" s="201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3"/>
      <c r="BL51" s="201"/>
      <c r="BM51" s="172"/>
      <c r="BN51" s="172"/>
      <c r="BO51" s="172"/>
      <c r="BP51" s="172"/>
      <c r="BQ51" s="172"/>
      <c r="BR51" s="172"/>
      <c r="BS51" s="172"/>
      <c r="BT51" s="172"/>
      <c r="BU51" s="172"/>
      <c r="BV51" s="172"/>
      <c r="BW51" s="173"/>
      <c r="BX51" s="201"/>
      <c r="BY51" s="172"/>
      <c r="BZ51" s="172"/>
      <c r="CA51" s="172"/>
      <c r="CB51" s="172"/>
      <c r="CC51" s="172"/>
      <c r="CD51" s="172"/>
      <c r="CE51" s="172"/>
      <c r="CF51" s="172"/>
      <c r="CG51" s="172"/>
      <c r="CH51" s="172"/>
      <c r="CI51" s="173"/>
      <c r="CJ51" s="201"/>
      <c r="CK51" s="172"/>
      <c r="CL51" s="172"/>
      <c r="CM51" s="172"/>
      <c r="CN51" s="172"/>
      <c r="CO51" s="172"/>
      <c r="CP51" s="172"/>
      <c r="CQ51" s="172"/>
      <c r="CR51" s="172"/>
      <c r="CS51" s="172"/>
      <c r="CT51" s="172"/>
      <c r="CU51" s="173"/>
      <c r="CV51" s="201"/>
      <c r="CW51" s="172"/>
      <c r="CX51" s="172"/>
      <c r="CY51" s="172"/>
      <c r="CZ51" s="172"/>
      <c r="DA51" s="172"/>
      <c r="DB51" s="172"/>
      <c r="DC51" s="172"/>
      <c r="DD51" s="172"/>
      <c r="DE51" s="172"/>
      <c r="DF51" s="172"/>
      <c r="DG51" s="173"/>
      <c r="DH51" s="201"/>
      <c r="DI51" s="172"/>
      <c r="DJ51" s="172"/>
      <c r="DK51" s="172"/>
      <c r="DL51" s="172"/>
      <c r="DM51" s="172"/>
      <c r="DN51" s="172"/>
      <c r="DO51" s="172"/>
      <c r="DP51" s="172"/>
      <c r="DQ51" s="172"/>
      <c r="DR51" s="172"/>
      <c r="DS51" s="173"/>
      <c r="DT51" s="201"/>
      <c r="DU51" s="172"/>
      <c r="DV51" s="172"/>
      <c r="DW51" s="172"/>
      <c r="DX51" s="172"/>
      <c r="DY51" s="172"/>
      <c r="DZ51" s="172"/>
      <c r="EA51" s="172"/>
      <c r="EB51" s="172"/>
      <c r="EC51" s="172"/>
      <c r="ED51" s="172"/>
      <c r="EE51" s="173"/>
      <c r="EF51" s="201"/>
      <c r="EG51" s="172"/>
      <c r="EH51" s="172"/>
      <c r="EI51" s="172"/>
      <c r="EJ51" s="172"/>
      <c r="EK51" s="172"/>
      <c r="EL51" s="172"/>
      <c r="EM51" s="172"/>
      <c r="EN51" s="172"/>
      <c r="EO51" s="172"/>
      <c r="EP51" s="172"/>
      <c r="EQ51" s="173"/>
    </row>
    <row r="52" hidden="1">
      <c r="A52" s="187"/>
      <c r="B52" s="187"/>
      <c r="C52" s="187"/>
      <c r="D52" s="202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4"/>
      <c r="P52" s="202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4"/>
      <c r="AB52" s="202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4"/>
      <c r="AN52" s="202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4"/>
      <c r="AZ52" s="202"/>
      <c r="BA52" s="203"/>
      <c r="BB52" s="203"/>
      <c r="BC52" s="203"/>
      <c r="BD52" s="203"/>
      <c r="BE52" s="203"/>
      <c r="BF52" s="203"/>
      <c r="BG52" s="203"/>
      <c r="BH52" s="203"/>
      <c r="BI52" s="203"/>
      <c r="BJ52" s="203"/>
      <c r="BK52" s="204"/>
      <c r="BL52" s="202"/>
      <c r="BM52" s="203"/>
      <c r="BN52" s="203"/>
      <c r="BO52" s="203"/>
      <c r="BP52" s="203"/>
      <c r="BQ52" s="203"/>
      <c r="BR52" s="203"/>
      <c r="BS52" s="203"/>
      <c r="BT52" s="203"/>
      <c r="BU52" s="203"/>
      <c r="BV52" s="203"/>
      <c r="BW52" s="204"/>
      <c r="BX52" s="202"/>
      <c r="BY52" s="203"/>
      <c r="BZ52" s="203"/>
      <c r="CA52" s="203"/>
      <c r="CB52" s="203"/>
      <c r="CC52" s="203"/>
      <c r="CD52" s="203"/>
      <c r="CE52" s="203"/>
      <c r="CF52" s="203"/>
      <c r="CG52" s="203"/>
      <c r="CH52" s="203"/>
      <c r="CI52" s="204"/>
      <c r="CJ52" s="202"/>
      <c r="CK52" s="203"/>
      <c r="CL52" s="203"/>
      <c r="CM52" s="203"/>
      <c r="CN52" s="203"/>
      <c r="CO52" s="203"/>
      <c r="CP52" s="203"/>
      <c r="CQ52" s="203"/>
      <c r="CR52" s="203"/>
      <c r="CS52" s="203"/>
      <c r="CT52" s="203"/>
      <c r="CU52" s="204"/>
      <c r="CV52" s="202"/>
      <c r="CW52" s="203"/>
      <c r="CX52" s="203"/>
      <c r="CY52" s="203"/>
      <c r="CZ52" s="203"/>
      <c r="DA52" s="203"/>
      <c r="DB52" s="203"/>
      <c r="DC52" s="203"/>
      <c r="DD52" s="203"/>
      <c r="DE52" s="203"/>
      <c r="DF52" s="203"/>
      <c r="DG52" s="204"/>
      <c r="DH52" s="202"/>
      <c r="DI52" s="203"/>
      <c r="DJ52" s="203"/>
      <c r="DK52" s="203"/>
      <c r="DL52" s="203"/>
      <c r="DM52" s="203"/>
      <c r="DN52" s="203"/>
      <c r="DO52" s="203"/>
      <c r="DP52" s="203"/>
      <c r="DQ52" s="203"/>
      <c r="DR52" s="203"/>
      <c r="DS52" s="204"/>
      <c r="DT52" s="202"/>
      <c r="DU52" s="203"/>
      <c r="DV52" s="203"/>
      <c r="DW52" s="203"/>
      <c r="DX52" s="203"/>
      <c r="DY52" s="203"/>
      <c r="DZ52" s="203"/>
      <c r="EA52" s="203"/>
      <c r="EB52" s="203"/>
      <c r="EC52" s="203"/>
      <c r="ED52" s="203"/>
      <c r="EE52" s="204"/>
      <c r="EF52" s="202"/>
      <c r="EG52" s="203"/>
      <c r="EH52" s="203"/>
      <c r="EI52" s="203"/>
      <c r="EJ52" s="203"/>
      <c r="EK52" s="203"/>
      <c r="EL52" s="203"/>
      <c r="EM52" s="203"/>
      <c r="EN52" s="203"/>
      <c r="EO52" s="203"/>
      <c r="EP52" s="203"/>
      <c r="EQ52" s="204"/>
    </row>
    <row r="53" hidden="1">
      <c r="A53" s="187"/>
      <c r="B53" s="187"/>
      <c r="C53" s="187"/>
      <c r="D53" s="205"/>
      <c r="E53" s="206"/>
      <c r="F53" s="207"/>
      <c r="G53" s="207"/>
      <c r="H53" s="207"/>
      <c r="I53" s="207"/>
      <c r="J53" s="206"/>
      <c r="K53" s="206"/>
      <c r="L53" s="206"/>
      <c r="M53" s="206"/>
      <c r="N53" s="206"/>
      <c r="O53" s="208"/>
      <c r="P53" s="205"/>
      <c r="Q53" s="206"/>
      <c r="R53" s="207"/>
      <c r="S53" s="207"/>
      <c r="T53" s="207"/>
      <c r="U53" s="207"/>
      <c r="V53" s="206"/>
      <c r="W53" s="206"/>
      <c r="X53" s="206"/>
      <c r="Y53" s="206"/>
      <c r="Z53" s="206"/>
      <c r="AA53" s="208"/>
      <c r="AB53" s="205"/>
      <c r="AC53" s="206"/>
      <c r="AD53" s="207"/>
      <c r="AE53" s="207"/>
      <c r="AF53" s="207"/>
      <c r="AG53" s="207"/>
      <c r="AH53" s="206"/>
      <c r="AI53" s="206"/>
      <c r="AJ53" s="206"/>
      <c r="AK53" s="206"/>
      <c r="AL53" s="206"/>
      <c r="AM53" s="208"/>
      <c r="AN53" s="205"/>
      <c r="AO53" s="206"/>
      <c r="AP53" s="207"/>
      <c r="AQ53" s="207"/>
      <c r="AR53" s="207"/>
      <c r="AS53" s="207"/>
      <c r="AT53" s="206"/>
      <c r="AU53" s="206"/>
      <c r="AV53" s="206"/>
      <c r="AW53" s="206"/>
      <c r="AX53" s="206"/>
      <c r="AY53" s="208"/>
      <c r="AZ53" s="205"/>
      <c r="BA53" s="206"/>
      <c r="BB53" s="207"/>
      <c r="BC53" s="207"/>
      <c r="BD53" s="207"/>
      <c r="BE53" s="207"/>
      <c r="BF53" s="206"/>
      <c r="BG53" s="206"/>
      <c r="BH53" s="206"/>
      <c r="BI53" s="206"/>
      <c r="BJ53" s="206"/>
      <c r="BK53" s="208"/>
      <c r="BL53" s="205"/>
      <c r="BM53" s="206"/>
      <c r="BN53" s="207"/>
      <c r="BO53" s="207"/>
      <c r="BP53" s="207"/>
      <c r="BQ53" s="207"/>
      <c r="BR53" s="206"/>
      <c r="BS53" s="206"/>
      <c r="BT53" s="206"/>
      <c r="BU53" s="206"/>
      <c r="BV53" s="206"/>
      <c r="BW53" s="208"/>
      <c r="BX53" s="205"/>
      <c r="BY53" s="206"/>
      <c r="BZ53" s="207"/>
      <c r="CA53" s="207"/>
      <c r="CB53" s="207"/>
      <c r="CC53" s="207"/>
      <c r="CD53" s="206"/>
      <c r="CE53" s="206"/>
      <c r="CF53" s="206"/>
      <c r="CG53" s="206"/>
      <c r="CH53" s="206"/>
      <c r="CI53" s="208"/>
      <c r="CJ53" s="205"/>
      <c r="CK53" s="206"/>
      <c r="CL53" s="207"/>
      <c r="CM53" s="207"/>
      <c r="CN53" s="207"/>
      <c r="CO53" s="207"/>
      <c r="CP53" s="206"/>
      <c r="CQ53" s="206"/>
      <c r="CR53" s="206"/>
      <c r="CS53" s="206"/>
      <c r="CT53" s="206"/>
      <c r="CU53" s="208"/>
      <c r="CV53" s="205"/>
      <c r="CW53" s="206"/>
      <c r="CX53" s="207"/>
      <c r="CY53" s="207"/>
      <c r="CZ53" s="207"/>
      <c r="DA53" s="207"/>
      <c r="DB53" s="206"/>
      <c r="DC53" s="206"/>
      <c r="DD53" s="206"/>
      <c r="DE53" s="206"/>
      <c r="DF53" s="206"/>
      <c r="DG53" s="208"/>
      <c r="DH53" s="205"/>
      <c r="DI53" s="206"/>
      <c r="DJ53" s="207"/>
      <c r="DK53" s="207"/>
      <c r="DL53" s="207"/>
      <c r="DM53" s="207"/>
      <c r="DN53" s="206"/>
      <c r="DO53" s="206"/>
      <c r="DP53" s="206"/>
      <c r="DQ53" s="206"/>
      <c r="DR53" s="206"/>
      <c r="DS53" s="208"/>
      <c r="DT53" s="205"/>
      <c r="DU53" s="206"/>
      <c r="DV53" s="207"/>
      <c r="DW53" s="207"/>
      <c r="DX53" s="207"/>
      <c r="DY53" s="207"/>
      <c r="DZ53" s="206"/>
      <c r="EA53" s="206"/>
      <c r="EB53" s="206"/>
      <c r="EC53" s="206"/>
      <c r="ED53" s="206"/>
      <c r="EE53" s="208"/>
      <c r="EF53" s="205"/>
      <c r="EG53" s="206"/>
      <c r="EH53" s="207"/>
      <c r="EI53" s="207"/>
      <c r="EJ53" s="207"/>
      <c r="EK53" s="207"/>
      <c r="EL53" s="206"/>
      <c r="EM53" s="206"/>
      <c r="EN53" s="206"/>
      <c r="EO53" s="206"/>
      <c r="EP53" s="206"/>
      <c r="EQ53" s="208"/>
    </row>
    <row r="54" hidden="1">
      <c r="A54" s="187"/>
      <c r="B54" s="187"/>
      <c r="C54" s="187"/>
      <c r="D54" s="186"/>
      <c r="E54" s="187"/>
      <c r="F54" s="187"/>
      <c r="G54" s="187"/>
      <c r="H54" s="187"/>
      <c r="I54" s="187"/>
      <c r="J54" s="187"/>
      <c r="K54" s="196"/>
      <c r="L54" s="187"/>
      <c r="M54" s="187"/>
      <c r="N54" s="187"/>
      <c r="O54" s="188"/>
      <c r="P54" s="186"/>
      <c r="Q54" s="187"/>
      <c r="R54" s="187"/>
      <c r="S54" s="187"/>
      <c r="T54" s="187"/>
      <c r="U54" s="187"/>
      <c r="V54" s="187"/>
      <c r="W54" s="196"/>
      <c r="X54" s="187"/>
      <c r="Y54" s="187"/>
      <c r="Z54" s="187"/>
      <c r="AA54" s="188"/>
      <c r="AB54" s="186"/>
      <c r="AC54" s="187"/>
      <c r="AD54" s="187"/>
      <c r="AE54" s="187"/>
      <c r="AF54" s="187"/>
      <c r="AG54" s="187"/>
      <c r="AH54" s="187"/>
      <c r="AI54" s="196"/>
      <c r="AJ54" s="187"/>
      <c r="AK54" s="187"/>
      <c r="AL54" s="187"/>
      <c r="AM54" s="188"/>
      <c r="AN54" s="186"/>
      <c r="AO54" s="187"/>
      <c r="AP54" s="187"/>
      <c r="AQ54" s="187"/>
      <c r="AR54" s="187"/>
      <c r="AS54" s="187"/>
      <c r="AT54" s="187"/>
      <c r="AU54" s="196"/>
      <c r="AV54" s="187"/>
      <c r="AW54" s="187"/>
      <c r="AX54" s="187"/>
      <c r="AY54" s="188"/>
      <c r="AZ54" s="186"/>
      <c r="BA54" s="187"/>
      <c r="BB54" s="187"/>
      <c r="BC54" s="187"/>
      <c r="BD54" s="187"/>
      <c r="BE54" s="187"/>
      <c r="BF54" s="187"/>
      <c r="BG54" s="196"/>
      <c r="BH54" s="187"/>
      <c r="BI54" s="187"/>
      <c r="BJ54" s="187"/>
      <c r="BK54" s="188"/>
      <c r="BL54" s="186"/>
      <c r="BM54" s="187"/>
      <c r="BN54" s="187"/>
      <c r="BO54" s="187"/>
      <c r="BP54" s="187"/>
      <c r="BQ54" s="187"/>
      <c r="BR54" s="187"/>
      <c r="BS54" s="196"/>
      <c r="BT54" s="187"/>
      <c r="BU54" s="187"/>
      <c r="BV54" s="187"/>
      <c r="BW54" s="188"/>
      <c r="BX54" s="186"/>
      <c r="BY54" s="187"/>
      <c r="BZ54" s="187"/>
      <c r="CA54" s="187"/>
      <c r="CB54" s="187"/>
      <c r="CC54" s="187"/>
      <c r="CD54" s="187"/>
      <c r="CE54" s="196"/>
      <c r="CF54" s="187"/>
      <c r="CG54" s="187"/>
      <c r="CH54" s="187"/>
      <c r="CI54" s="188"/>
      <c r="CJ54" s="186"/>
      <c r="CK54" s="187"/>
      <c r="CL54" s="187"/>
      <c r="CM54" s="187"/>
      <c r="CN54" s="187"/>
      <c r="CO54" s="187"/>
      <c r="CP54" s="187"/>
      <c r="CQ54" s="196"/>
      <c r="CR54" s="187"/>
      <c r="CS54" s="187"/>
      <c r="CT54" s="187"/>
      <c r="CU54" s="188"/>
      <c r="CV54" s="186"/>
      <c r="CW54" s="187"/>
      <c r="CX54" s="187"/>
      <c r="CY54" s="187"/>
      <c r="CZ54" s="187"/>
      <c r="DA54" s="187"/>
      <c r="DB54" s="187"/>
      <c r="DC54" s="196"/>
      <c r="DD54" s="187"/>
      <c r="DE54" s="187"/>
      <c r="DF54" s="187"/>
      <c r="DG54" s="188"/>
      <c r="DH54" s="186"/>
      <c r="DI54" s="187"/>
      <c r="DJ54" s="187"/>
      <c r="DK54" s="187"/>
      <c r="DL54" s="187"/>
      <c r="DM54" s="187"/>
      <c r="DN54" s="187"/>
      <c r="DO54" s="196"/>
      <c r="DP54" s="187"/>
      <c r="DQ54" s="187"/>
      <c r="DR54" s="187"/>
      <c r="DS54" s="188"/>
      <c r="DT54" s="186"/>
      <c r="DU54" s="187"/>
      <c r="DV54" s="187"/>
      <c r="DW54" s="187"/>
      <c r="DX54" s="187"/>
      <c r="DY54" s="187"/>
      <c r="DZ54" s="187"/>
      <c r="EA54" s="196"/>
      <c r="EB54" s="187"/>
      <c r="EC54" s="187"/>
      <c r="ED54" s="187"/>
      <c r="EE54" s="188"/>
      <c r="EF54" s="186"/>
      <c r="EG54" s="187"/>
      <c r="EH54" s="187"/>
      <c r="EI54" s="187"/>
      <c r="EJ54" s="187"/>
      <c r="EK54" s="187"/>
      <c r="EL54" s="187"/>
      <c r="EM54" s="196"/>
      <c r="EN54" s="187"/>
      <c r="EO54" s="187"/>
      <c r="EP54" s="187"/>
      <c r="EQ54" s="188"/>
    </row>
    <row r="55" hidden="1">
      <c r="A55" s="187"/>
      <c r="B55" s="187"/>
      <c r="C55" s="187"/>
      <c r="D55" s="186"/>
      <c r="E55" s="187"/>
      <c r="F55" s="187"/>
      <c r="G55" s="187"/>
      <c r="H55" s="187"/>
      <c r="I55" s="187"/>
      <c r="J55" s="187"/>
      <c r="K55" s="196"/>
      <c r="L55" s="187"/>
      <c r="M55" s="187"/>
      <c r="N55" s="187"/>
      <c r="O55" s="188"/>
      <c r="P55" s="186"/>
      <c r="Q55" s="187"/>
      <c r="R55" s="187"/>
      <c r="S55" s="187"/>
      <c r="T55" s="187"/>
      <c r="U55" s="187"/>
      <c r="V55" s="187"/>
      <c r="W55" s="196"/>
      <c r="X55" s="187"/>
      <c r="Y55" s="187"/>
      <c r="Z55" s="187"/>
      <c r="AA55" s="188"/>
      <c r="AB55" s="186"/>
      <c r="AC55" s="187"/>
      <c r="AD55" s="187"/>
      <c r="AE55" s="187"/>
      <c r="AF55" s="187"/>
      <c r="AG55" s="187"/>
      <c r="AH55" s="187"/>
      <c r="AI55" s="196"/>
      <c r="AJ55" s="187"/>
      <c r="AK55" s="187"/>
      <c r="AL55" s="187"/>
      <c r="AM55" s="188"/>
      <c r="AN55" s="186"/>
      <c r="AO55" s="187"/>
      <c r="AP55" s="187"/>
      <c r="AQ55" s="187"/>
      <c r="AR55" s="187"/>
      <c r="AS55" s="187"/>
      <c r="AT55" s="187"/>
      <c r="AU55" s="196"/>
      <c r="AV55" s="187"/>
      <c r="AW55" s="187"/>
      <c r="AX55" s="187"/>
      <c r="AY55" s="188"/>
      <c r="AZ55" s="186"/>
      <c r="BA55" s="187"/>
      <c r="BB55" s="187"/>
      <c r="BC55" s="187"/>
      <c r="BD55" s="187"/>
      <c r="BE55" s="187"/>
      <c r="BF55" s="187"/>
      <c r="BG55" s="196"/>
      <c r="BH55" s="187"/>
      <c r="BI55" s="187"/>
      <c r="BJ55" s="187"/>
      <c r="BK55" s="188"/>
      <c r="BL55" s="186"/>
      <c r="BM55" s="187"/>
      <c r="BN55" s="187"/>
      <c r="BO55" s="187"/>
      <c r="BP55" s="187"/>
      <c r="BQ55" s="187"/>
      <c r="BR55" s="187"/>
      <c r="BS55" s="196"/>
      <c r="BT55" s="187"/>
      <c r="BU55" s="187"/>
      <c r="BV55" s="187"/>
      <c r="BW55" s="188"/>
      <c r="BX55" s="186"/>
      <c r="BY55" s="187"/>
      <c r="BZ55" s="187"/>
      <c r="CA55" s="187"/>
      <c r="CB55" s="187"/>
      <c r="CC55" s="187"/>
      <c r="CD55" s="187"/>
      <c r="CE55" s="196"/>
      <c r="CF55" s="187"/>
      <c r="CG55" s="187"/>
      <c r="CH55" s="187"/>
      <c r="CI55" s="188"/>
      <c r="CJ55" s="186"/>
      <c r="CK55" s="187"/>
      <c r="CL55" s="187"/>
      <c r="CM55" s="187"/>
      <c r="CN55" s="187"/>
      <c r="CO55" s="187"/>
      <c r="CP55" s="187"/>
      <c r="CQ55" s="196"/>
      <c r="CR55" s="187"/>
      <c r="CS55" s="187"/>
      <c r="CT55" s="187"/>
      <c r="CU55" s="188"/>
      <c r="CV55" s="186"/>
      <c r="CW55" s="187"/>
      <c r="CX55" s="187"/>
      <c r="CY55" s="187"/>
      <c r="CZ55" s="187"/>
      <c r="DA55" s="187"/>
      <c r="DB55" s="187"/>
      <c r="DC55" s="196"/>
      <c r="DD55" s="187"/>
      <c r="DE55" s="187"/>
      <c r="DF55" s="187"/>
      <c r="DG55" s="188"/>
      <c r="DH55" s="186"/>
      <c r="DI55" s="187"/>
      <c r="DJ55" s="187"/>
      <c r="DK55" s="187"/>
      <c r="DL55" s="187"/>
      <c r="DM55" s="187"/>
      <c r="DN55" s="187"/>
      <c r="DO55" s="196"/>
      <c r="DP55" s="187"/>
      <c r="DQ55" s="187"/>
      <c r="DR55" s="187"/>
      <c r="DS55" s="188"/>
      <c r="DT55" s="186"/>
      <c r="DU55" s="187"/>
      <c r="DV55" s="187"/>
      <c r="DW55" s="187"/>
      <c r="DX55" s="187"/>
      <c r="DY55" s="187"/>
      <c r="DZ55" s="187"/>
      <c r="EA55" s="196"/>
      <c r="EB55" s="187"/>
      <c r="EC55" s="187"/>
      <c r="ED55" s="187"/>
      <c r="EE55" s="188"/>
      <c r="EF55" s="186"/>
      <c r="EG55" s="187"/>
      <c r="EH55" s="187"/>
      <c r="EI55" s="187"/>
      <c r="EJ55" s="187"/>
      <c r="EK55" s="187"/>
      <c r="EL55" s="187"/>
      <c r="EM55" s="196"/>
      <c r="EN55" s="187"/>
      <c r="EO55" s="187"/>
      <c r="EP55" s="187"/>
      <c r="EQ55" s="188"/>
    </row>
    <row r="56" hidden="1">
      <c r="A56" s="187"/>
      <c r="B56" s="187"/>
      <c r="C56" s="187"/>
      <c r="D56" s="186"/>
      <c r="E56" s="187"/>
      <c r="F56" s="187"/>
      <c r="G56" s="187"/>
      <c r="H56" s="187"/>
      <c r="I56" s="187"/>
      <c r="J56" s="187"/>
      <c r="K56" s="196"/>
      <c r="L56" s="187"/>
      <c r="M56" s="187"/>
      <c r="N56" s="187"/>
      <c r="O56" s="188"/>
      <c r="P56" s="186"/>
      <c r="Q56" s="187"/>
      <c r="R56" s="187"/>
      <c r="S56" s="187"/>
      <c r="T56" s="187"/>
      <c r="U56" s="187"/>
      <c r="V56" s="187"/>
      <c r="W56" s="196"/>
      <c r="X56" s="187"/>
      <c r="Y56" s="187"/>
      <c r="Z56" s="187"/>
      <c r="AA56" s="188"/>
      <c r="AB56" s="186"/>
      <c r="AC56" s="187"/>
      <c r="AD56" s="187"/>
      <c r="AE56" s="187"/>
      <c r="AF56" s="187"/>
      <c r="AG56" s="187"/>
      <c r="AH56" s="187"/>
      <c r="AI56" s="196"/>
      <c r="AJ56" s="187"/>
      <c r="AK56" s="187"/>
      <c r="AL56" s="187"/>
      <c r="AM56" s="188"/>
      <c r="AN56" s="186"/>
      <c r="AO56" s="187"/>
      <c r="AP56" s="187"/>
      <c r="AQ56" s="187"/>
      <c r="AR56" s="187"/>
      <c r="AS56" s="187"/>
      <c r="AT56" s="187"/>
      <c r="AU56" s="196"/>
      <c r="AV56" s="187"/>
      <c r="AW56" s="187"/>
      <c r="AX56" s="187"/>
      <c r="AY56" s="188"/>
      <c r="AZ56" s="186"/>
      <c r="BA56" s="187"/>
      <c r="BB56" s="187"/>
      <c r="BC56" s="187"/>
      <c r="BD56" s="187"/>
      <c r="BE56" s="187"/>
      <c r="BF56" s="187"/>
      <c r="BG56" s="196"/>
      <c r="BH56" s="187"/>
      <c r="BI56" s="187"/>
      <c r="BJ56" s="187"/>
      <c r="BK56" s="188"/>
      <c r="BL56" s="186"/>
      <c r="BM56" s="187"/>
      <c r="BN56" s="187"/>
      <c r="BO56" s="187"/>
      <c r="BP56" s="187"/>
      <c r="BQ56" s="187"/>
      <c r="BR56" s="187"/>
      <c r="BS56" s="196"/>
      <c r="BT56" s="187"/>
      <c r="BU56" s="187"/>
      <c r="BV56" s="187"/>
      <c r="BW56" s="188"/>
      <c r="BX56" s="186"/>
      <c r="BY56" s="187"/>
      <c r="BZ56" s="187"/>
      <c r="CA56" s="187"/>
      <c r="CB56" s="187"/>
      <c r="CC56" s="187"/>
      <c r="CD56" s="187"/>
      <c r="CE56" s="196"/>
      <c r="CF56" s="187"/>
      <c r="CG56" s="187"/>
      <c r="CH56" s="187"/>
      <c r="CI56" s="188"/>
      <c r="CJ56" s="186"/>
      <c r="CK56" s="187"/>
      <c r="CL56" s="187"/>
      <c r="CM56" s="187"/>
      <c r="CN56" s="187"/>
      <c r="CO56" s="187"/>
      <c r="CP56" s="187"/>
      <c r="CQ56" s="196"/>
      <c r="CR56" s="187"/>
      <c r="CS56" s="187"/>
      <c r="CT56" s="187"/>
      <c r="CU56" s="188"/>
      <c r="CV56" s="186"/>
      <c r="CW56" s="187"/>
      <c r="CX56" s="187"/>
      <c r="CY56" s="187"/>
      <c r="CZ56" s="187"/>
      <c r="DA56" s="187"/>
      <c r="DB56" s="187"/>
      <c r="DC56" s="196"/>
      <c r="DD56" s="187"/>
      <c r="DE56" s="187"/>
      <c r="DF56" s="187"/>
      <c r="DG56" s="188"/>
      <c r="DH56" s="186"/>
      <c r="DI56" s="187"/>
      <c r="DJ56" s="187"/>
      <c r="DK56" s="187"/>
      <c r="DL56" s="187"/>
      <c r="DM56" s="187"/>
      <c r="DN56" s="187"/>
      <c r="DO56" s="196"/>
      <c r="DP56" s="187"/>
      <c r="DQ56" s="187"/>
      <c r="DR56" s="187"/>
      <c r="DS56" s="188"/>
      <c r="DT56" s="186"/>
      <c r="DU56" s="187"/>
      <c r="DV56" s="187"/>
      <c r="DW56" s="187"/>
      <c r="DX56" s="187"/>
      <c r="DY56" s="187"/>
      <c r="DZ56" s="187"/>
      <c r="EA56" s="196"/>
      <c r="EB56" s="187"/>
      <c r="EC56" s="187"/>
      <c r="ED56" s="187"/>
      <c r="EE56" s="188"/>
      <c r="EF56" s="186"/>
      <c r="EG56" s="187"/>
      <c r="EH56" s="187"/>
      <c r="EI56" s="187"/>
      <c r="EJ56" s="187"/>
      <c r="EK56" s="187"/>
      <c r="EL56" s="187"/>
      <c r="EM56" s="196"/>
      <c r="EN56" s="187"/>
      <c r="EO56" s="187"/>
      <c r="EP56" s="187"/>
      <c r="EQ56" s="188"/>
    </row>
    <row r="57" hidden="1">
      <c r="A57" s="187"/>
      <c r="B57" s="187"/>
      <c r="C57" s="187"/>
      <c r="D57" s="186"/>
      <c r="E57" s="187"/>
      <c r="F57" s="187"/>
      <c r="G57" s="187"/>
      <c r="H57" s="187"/>
      <c r="I57" s="187"/>
      <c r="J57" s="187"/>
      <c r="K57" s="196"/>
      <c r="L57" s="187"/>
      <c r="M57" s="187"/>
      <c r="N57" s="187"/>
      <c r="O57" s="188"/>
      <c r="P57" s="186"/>
      <c r="Q57" s="187"/>
      <c r="R57" s="187"/>
      <c r="S57" s="187"/>
      <c r="T57" s="187"/>
      <c r="U57" s="187"/>
      <c r="V57" s="187"/>
      <c r="W57" s="196"/>
      <c r="X57" s="187"/>
      <c r="Y57" s="187"/>
      <c r="Z57" s="187"/>
      <c r="AA57" s="188"/>
      <c r="AB57" s="186"/>
      <c r="AC57" s="187"/>
      <c r="AD57" s="187"/>
      <c r="AE57" s="187"/>
      <c r="AF57" s="187"/>
      <c r="AG57" s="187"/>
      <c r="AH57" s="187"/>
      <c r="AI57" s="196"/>
      <c r="AJ57" s="187"/>
      <c r="AK57" s="187"/>
      <c r="AL57" s="187"/>
      <c r="AM57" s="188"/>
      <c r="AN57" s="186"/>
      <c r="AO57" s="187"/>
      <c r="AP57" s="187"/>
      <c r="AQ57" s="187"/>
      <c r="AR57" s="187"/>
      <c r="AS57" s="187"/>
      <c r="AT57" s="187"/>
      <c r="AU57" s="196"/>
      <c r="AV57" s="187"/>
      <c r="AW57" s="187"/>
      <c r="AX57" s="187"/>
      <c r="AY57" s="188"/>
      <c r="AZ57" s="186"/>
      <c r="BA57" s="187"/>
      <c r="BB57" s="187"/>
      <c r="BC57" s="187"/>
      <c r="BD57" s="187"/>
      <c r="BE57" s="187"/>
      <c r="BF57" s="187"/>
      <c r="BG57" s="196"/>
      <c r="BH57" s="187"/>
      <c r="BI57" s="187"/>
      <c r="BJ57" s="187"/>
      <c r="BK57" s="188"/>
      <c r="BL57" s="186"/>
      <c r="BM57" s="187"/>
      <c r="BN57" s="187"/>
      <c r="BO57" s="187"/>
      <c r="BP57" s="187"/>
      <c r="BQ57" s="187"/>
      <c r="BR57" s="187"/>
      <c r="BS57" s="196"/>
      <c r="BT57" s="187"/>
      <c r="BU57" s="187"/>
      <c r="BV57" s="187"/>
      <c r="BW57" s="188"/>
      <c r="BX57" s="186"/>
      <c r="BY57" s="187"/>
      <c r="BZ57" s="187"/>
      <c r="CA57" s="187"/>
      <c r="CB57" s="187"/>
      <c r="CC57" s="187"/>
      <c r="CD57" s="187"/>
      <c r="CE57" s="196"/>
      <c r="CF57" s="187"/>
      <c r="CG57" s="187"/>
      <c r="CH57" s="187"/>
      <c r="CI57" s="188"/>
      <c r="CJ57" s="186"/>
      <c r="CK57" s="187"/>
      <c r="CL57" s="187"/>
      <c r="CM57" s="187"/>
      <c r="CN57" s="187"/>
      <c r="CO57" s="187"/>
      <c r="CP57" s="187"/>
      <c r="CQ57" s="196"/>
      <c r="CR57" s="187"/>
      <c r="CS57" s="187"/>
      <c r="CT57" s="187"/>
      <c r="CU57" s="188"/>
      <c r="CV57" s="186"/>
      <c r="CW57" s="187"/>
      <c r="CX57" s="187"/>
      <c r="CY57" s="187"/>
      <c r="CZ57" s="187"/>
      <c r="DA57" s="187"/>
      <c r="DB57" s="187"/>
      <c r="DC57" s="196"/>
      <c r="DD57" s="187"/>
      <c r="DE57" s="187"/>
      <c r="DF57" s="187"/>
      <c r="DG57" s="188"/>
      <c r="DH57" s="186"/>
      <c r="DI57" s="187"/>
      <c r="DJ57" s="187"/>
      <c r="DK57" s="187"/>
      <c r="DL57" s="187"/>
      <c r="DM57" s="187"/>
      <c r="DN57" s="187"/>
      <c r="DO57" s="196"/>
      <c r="DP57" s="187"/>
      <c r="DQ57" s="187"/>
      <c r="DR57" s="187"/>
      <c r="DS57" s="188"/>
      <c r="DT57" s="186"/>
      <c r="DU57" s="187"/>
      <c r="DV57" s="187"/>
      <c r="DW57" s="187"/>
      <c r="DX57" s="187"/>
      <c r="DY57" s="187"/>
      <c r="DZ57" s="187"/>
      <c r="EA57" s="196"/>
      <c r="EB57" s="187"/>
      <c r="EC57" s="187"/>
      <c r="ED57" s="187"/>
      <c r="EE57" s="188"/>
      <c r="EF57" s="186"/>
      <c r="EG57" s="187"/>
      <c r="EH57" s="187"/>
      <c r="EI57" s="187"/>
      <c r="EJ57" s="187"/>
      <c r="EK57" s="187"/>
      <c r="EL57" s="187"/>
      <c r="EM57" s="196"/>
      <c r="EN57" s="187"/>
      <c r="EO57" s="187"/>
      <c r="EP57" s="187"/>
      <c r="EQ57" s="188"/>
    </row>
    <row r="58" hidden="1">
      <c r="A58" s="187"/>
      <c r="B58" s="187"/>
      <c r="C58" s="187"/>
      <c r="D58" s="186"/>
      <c r="E58" s="187"/>
      <c r="F58" s="187"/>
      <c r="G58" s="187"/>
      <c r="H58" s="187"/>
      <c r="I58" s="187"/>
      <c r="J58" s="187"/>
      <c r="K58" s="196"/>
      <c r="L58" s="187"/>
      <c r="M58" s="187"/>
      <c r="N58" s="187"/>
      <c r="O58" s="188"/>
      <c r="P58" s="186"/>
      <c r="Q58" s="187"/>
      <c r="R58" s="187"/>
      <c r="S58" s="187"/>
      <c r="T58" s="187"/>
      <c r="U58" s="187"/>
      <c r="V58" s="187"/>
      <c r="W58" s="196"/>
      <c r="X58" s="187"/>
      <c r="Y58" s="187"/>
      <c r="Z58" s="187"/>
      <c r="AA58" s="188"/>
      <c r="AB58" s="186"/>
      <c r="AC58" s="187"/>
      <c r="AD58" s="187"/>
      <c r="AE58" s="187"/>
      <c r="AF58" s="187"/>
      <c r="AG58" s="187"/>
      <c r="AH58" s="187"/>
      <c r="AI58" s="196"/>
      <c r="AJ58" s="187"/>
      <c r="AK58" s="187"/>
      <c r="AL58" s="187"/>
      <c r="AM58" s="188"/>
      <c r="AN58" s="186"/>
      <c r="AO58" s="187"/>
      <c r="AP58" s="187"/>
      <c r="AQ58" s="187"/>
      <c r="AR58" s="187"/>
      <c r="AS58" s="187"/>
      <c r="AT58" s="187"/>
      <c r="AU58" s="196"/>
      <c r="AV58" s="187"/>
      <c r="AW58" s="187"/>
      <c r="AX58" s="187"/>
      <c r="AY58" s="188"/>
      <c r="AZ58" s="186"/>
      <c r="BA58" s="187"/>
      <c r="BB58" s="187"/>
      <c r="BC58" s="187"/>
      <c r="BD58" s="187"/>
      <c r="BE58" s="187"/>
      <c r="BF58" s="187"/>
      <c r="BG58" s="196"/>
      <c r="BH58" s="187"/>
      <c r="BI58" s="187"/>
      <c r="BJ58" s="187"/>
      <c r="BK58" s="188"/>
      <c r="BL58" s="186"/>
      <c r="BM58" s="187"/>
      <c r="BN58" s="187"/>
      <c r="BO58" s="187"/>
      <c r="BP58" s="187"/>
      <c r="BQ58" s="187"/>
      <c r="BR58" s="187"/>
      <c r="BS58" s="196"/>
      <c r="BT58" s="187"/>
      <c r="BU58" s="187"/>
      <c r="BV58" s="187"/>
      <c r="BW58" s="188"/>
      <c r="BX58" s="186"/>
      <c r="BY58" s="187"/>
      <c r="BZ58" s="187"/>
      <c r="CA58" s="187"/>
      <c r="CB58" s="187"/>
      <c r="CC58" s="187"/>
      <c r="CD58" s="187"/>
      <c r="CE58" s="196"/>
      <c r="CF58" s="187"/>
      <c r="CG58" s="187"/>
      <c r="CH58" s="187"/>
      <c r="CI58" s="188"/>
      <c r="CJ58" s="186"/>
      <c r="CK58" s="187"/>
      <c r="CL58" s="187"/>
      <c r="CM58" s="187"/>
      <c r="CN58" s="187"/>
      <c r="CO58" s="187"/>
      <c r="CP58" s="187"/>
      <c r="CQ58" s="196"/>
      <c r="CR58" s="187"/>
      <c r="CS58" s="187"/>
      <c r="CT58" s="187"/>
      <c r="CU58" s="188"/>
      <c r="CV58" s="186"/>
      <c r="CW58" s="187"/>
      <c r="CX58" s="187"/>
      <c r="CY58" s="187"/>
      <c r="CZ58" s="187"/>
      <c r="DA58" s="187"/>
      <c r="DB58" s="187"/>
      <c r="DC58" s="196"/>
      <c r="DD58" s="187"/>
      <c r="DE58" s="187"/>
      <c r="DF58" s="187"/>
      <c r="DG58" s="188"/>
      <c r="DH58" s="186"/>
      <c r="DI58" s="187"/>
      <c r="DJ58" s="187"/>
      <c r="DK58" s="187"/>
      <c r="DL58" s="187"/>
      <c r="DM58" s="187"/>
      <c r="DN58" s="187"/>
      <c r="DO58" s="196"/>
      <c r="DP58" s="187"/>
      <c r="DQ58" s="187"/>
      <c r="DR58" s="187"/>
      <c r="DS58" s="188"/>
      <c r="DT58" s="186"/>
      <c r="DU58" s="187"/>
      <c r="DV58" s="187"/>
      <c r="DW58" s="187"/>
      <c r="DX58" s="187"/>
      <c r="DY58" s="187"/>
      <c r="DZ58" s="187"/>
      <c r="EA58" s="196"/>
      <c r="EB58" s="187"/>
      <c r="EC58" s="187"/>
      <c r="ED58" s="187"/>
      <c r="EE58" s="188"/>
      <c r="EF58" s="186"/>
      <c r="EG58" s="187"/>
      <c r="EH58" s="187"/>
      <c r="EI58" s="187"/>
      <c r="EJ58" s="187"/>
      <c r="EK58" s="187"/>
      <c r="EL58" s="187"/>
      <c r="EM58" s="196"/>
      <c r="EN58" s="187"/>
      <c r="EO58" s="187"/>
      <c r="EP58" s="187"/>
      <c r="EQ58" s="188"/>
    </row>
    <row r="59" hidden="1">
      <c r="A59" s="187"/>
      <c r="B59" s="187"/>
      <c r="C59" s="187"/>
      <c r="D59" s="186"/>
      <c r="E59" s="187"/>
      <c r="F59" s="187"/>
      <c r="G59" s="187"/>
      <c r="H59" s="187"/>
      <c r="I59" s="187"/>
      <c r="J59" s="187"/>
      <c r="K59" s="196"/>
      <c r="L59" s="187"/>
      <c r="M59" s="187"/>
      <c r="N59" s="187"/>
      <c r="O59" s="188"/>
      <c r="P59" s="186"/>
      <c r="Q59" s="187"/>
      <c r="R59" s="187"/>
      <c r="S59" s="187"/>
      <c r="T59" s="187"/>
      <c r="U59" s="187"/>
      <c r="V59" s="187"/>
      <c r="W59" s="196"/>
      <c r="X59" s="187"/>
      <c r="Y59" s="187"/>
      <c r="Z59" s="187"/>
      <c r="AA59" s="188"/>
      <c r="AB59" s="186"/>
      <c r="AC59" s="187"/>
      <c r="AD59" s="187"/>
      <c r="AE59" s="187"/>
      <c r="AF59" s="187"/>
      <c r="AG59" s="187"/>
      <c r="AH59" s="187"/>
      <c r="AI59" s="196"/>
      <c r="AJ59" s="187"/>
      <c r="AK59" s="187"/>
      <c r="AL59" s="187"/>
      <c r="AM59" s="188"/>
      <c r="AN59" s="186"/>
      <c r="AO59" s="187"/>
      <c r="AP59" s="187"/>
      <c r="AQ59" s="187"/>
      <c r="AR59" s="187"/>
      <c r="AS59" s="187"/>
      <c r="AT59" s="187"/>
      <c r="AU59" s="196"/>
      <c r="AV59" s="187"/>
      <c r="AW59" s="187"/>
      <c r="AX59" s="187"/>
      <c r="AY59" s="188"/>
      <c r="AZ59" s="186"/>
      <c r="BA59" s="187"/>
      <c r="BB59" s="187"/>
      <c r="BC59" s="187"/>
      <c r="BD59" s="187"/>
      <c r="BE59" s="187"/>
      <c r="BF59" s="187"/>
      <c r="BG59" s="196"/>
      <c r="BH59" s="187"/>
      <c r="BI59" s="187"/>
      <c r="BJ59" s="187"/>
      <c r="BK59" s="188"/>
      <c r="BL59" s="186"/>
      <c r="BM59" s="187"/>
      <c r="BN59" s="187"/>
      <c r="BO59" s="187"/>
      <c r="BP59" s="187"/>
      <c r="BQ59" s="187"/>
      <c r="BR59" s="187"/>
      <c r="BS59" s="196"/>
      <c r="BT59" s="187"/>
      <c r="BU59" s="187"/>
      <c r="BV59" s="187"/>
      <c r="BW59" s="188"/>
      <c r="BX59" s="186"/>
      <c r="BY59" s="187"/>
      <c r="BZ59" s="187"/>
      <c r="CA59" s="187"/>
      <c r="CB59" s="187"/>
      <c r="CC59" s="187"/>
      <c r="CD59" s="187"/>
      <c r="CE59" s="196"/>
      <c r="CF59" s="187"/>
      <c r="CG59" s="187"/>
      <c r="CH59" s="187"/>
      <c r="CI59" s="188"/>
      <c r="CJ59" s="186"/>
      <c r="CK59" s="187"/>
      <c r="CL59" s="187"/>
      <c r="CM59" s="187"/>
      <c r="CN59" s="187"/>
      <c r="CO59" s="187"/>
      <c r="CP59" s="187"/>
      <c r="CQ59" s="196"/>
      <c r="CR59" s="187"/>
      <c r="CS59" s="187"/>
      <c r="CT59" s="187"/>
      <c r="CU59" s="188"/>
      <c r="CV59" s="186"/>
      <c r="CW59" s="187"/>
      <c r="CX59" s="187"/>
      <c r="CY59" s="187"/>
      <c r="CZ59" s="187"/>
      <c r="DA59" s="187"/>
      <c r="DB59" s="187"/>
      <c r="DC59" s="196"/>
      <c r="DD59" s="187"/>
      <c r="DE59" s="187"/>
      <c r="DF59" s="187"/>
      <c r="DG59" s="188"/>
      <c r="DH59" s="186"/>
      <c r="DI59" s="187"/>
      <c r="DJ59" s="187"/>
      <c r="DK59" s="187"/>
      <c r="DL59" s="187"/>
      <c r="DM59" s="187"/>
      <c r="DN59" s="187"/>
      <c r="DO59" s="196"/>
      <c r="DP59" s="187"/>
      <c r="DQ59" s="187"/>
      <c r="DR59" s="187"/>
      <c r="DS59" s="188"/>
      <c r="DT59" s="186"/>
      <c r="DU59" s="187"/>
      <c r="DV59" s="187"/>
      <c r="DW59" s="187"/>
      <c r="DX59" s="187"/>
      <c r="DY59" s="187"/>
      <c r="DZ59" s="187"/>
      <c r="EA59" s="196"/>
      <c r="EB59" s="187"/>
      <c r="EC59" s="187"/>
      <c r="ED59" s="187"/>
      <c r="EE59" s="188"/>
      <c r="EF59" s="186"/>
      <c r="EG59" s="187"/>
      <c r="EH59" s="187"/>
      <c r="EI59" s="187"/>
      <c r="EJ59" s="187"/>
      <c r="EK59" s="187"/>
      <c r="EL59" s="187"/>
      <c r="EM59" s="196"/>
      <c r="EN59" s="187"/>
      <c r="EO59" s="187"/>
      <c r="EP59" s="187"/>
      <c r="EQ59" s="188"/>
    </row>
    <row r="60" hidden="1">
      <c r="A60" s="187"/>
      <c r="B60" s="187"/>
      <c r="C60" s="187"/>
      <c r="D60" s="186"/>
      <c r="E60" s="187"/>
      <c r="F60" s="187"/>
      <c r="G60" s="187"/>
      <c r="H60" s="187"/>
      <c r="I60" s="187"/>
      <c r="J60" s="187"/>
      <c r="K60" s="196"/>
      <c r="L60" s="187"/>
      <c r="M60" s="187"/>
      <c r="N60" s="187"/>
      <c r="O60" s="188"/>
      <c r="P60" s="186"/>
      <c r="Q60" s="187"/>
      <c r="R60" s="187"/>
      <c r="S60" s="187"/>
      <c r="T60" s="187"/>
      <c r="U60" s="187"/>
      <c r="V60" s="187"/>
      <c r="W60" s="196"/>
      <c r="X60" s="187"/>
      <c r="Y60" s="187"/>
      <c r="Z60" s="187"/>
      <c r="AA60" s="188"/>
      <c r="AB60" s="186"/>
      <c r="AC60" s="187"/>
      <c r="AD60" s="187"/>
      <c r="AE60" s="187"/>
      <c r="AF60" s="187"/>
      <c r="AG60" s="187"/>
      <c r="AH60" s="187"/>
      <c r="AI60" s="196"/>
      <c r="AJ60" s="187"/>
      <c r="AK60" s="187"/>
      <c r="AL60" s="187"/>
      <c r="AM60" s="188"/>
      <c r="AN60" s="186"/>
      <c r="AO60" s="187"/>
      <c r="AP60" s="187"/>
      <c r="AQ60" s="187"/>
      <c r="AR60" s="187"/>
      <c r="AS60" s="187"/>
      <c r="AT60" s="187"/>
      <c r="AU60" s="196"/>
      <c r="AV60" s="187"/>
      <c r="AW60" s="187"/>
      <c r="AX60" s="187"/>
      <c r="AY60" s="188"/>
      <c r="AZ60" s="186"/>
      <c r="BA60" s="187"/>
      <c r="BB60" s="187"/>
      <c r="BC60" s="187"/>
      <c r="BD60" s="187"/>
      <c r="BE60" s="187"/>
      <c r="BF60" s="187"/>
      <c r="BG60" s="196"/>
      <c r="BH60" s="187"/>
      <c r="BI60" s="187"/>
      <c r="BJ60" s="187"/>
      <c r="BK60" s="188"/>
      <c r="BL60" s="186"/>
      <c r="BM60" s="187"/>
      <c r="BN60" s="187"/>
      <c r="BO60" s="187"/>
      <c r="BP60" s="187"/>
      <c r="BQ60" s="187"/>
      <c r="BR60" s="187"/>
      <c r="BS60" s="196"/>
      <c r="BT60" s="187"/>
      <c r="BU60" s="187"/>
      <c r="BV60" s="187"/>
      <c r="BW60" s="188"/>
      <c r="BX60" s="186"/>
      <c r="BY60" s="187"/>
      <c r="BZ60" s="187"/>
      <c r="CA60" s="187"/>
      <c r="CB60" s="187"/>
      <c r="CC60" s="187"/>
      <c r="CD60" s="187"/>
      <c r="CE60" s="196"/>
      <c r="CF60" s="187"/>
      <c r="CG60" s="187"/>
      <c r="CH60" s="187"/>
      <c r="CI60" s="188"/>
      <c r="CJ60" s="186"/>
      <c r="CK60" s="187"/>
      <c r="CL60" s="187"/>
      <c r="CM60" s="187"/>
      <c r="CN60" s="187"/>
      <c r="CO60" s="187"/>
      <c r="CP60" s="187"/>
      <c r="CQ60" s="196"/>
      <c r="CR60" s="187"/>
      <c r="CS60" s="187"/>
      <c r="CT60" s="187"/>
      <c r="CU60" s="188"/>
      <c r="CV60" s="186"/>
      <c r="CW60" s="187"/>
      <c r="CX60" s="187"/>
      <c r="CY60" s="187"/>
      <c r="CZ60" s="187"/>
      <c r="DA60" s="187"/>
      <c r="DB60" s="187"/>
      <c r="DC60" s="196"/>
      <c r="DD60" s="187"/>
      <c r="DE60" s="187"/>
      <c r="DF60" s="187"/>
      <c r="DG60" s="188"/>
      <c r="DH60" s="186"/>
      <c r="DI60" s="187"/>
      <c r="DJ60" s="187"/>
      <c r="DK60" s="187"/>
      <c r="DL60" s="187"/>
      <c r="DM60" s="187"/>
      <c r="DN60" s="187"/>
      <c r="DO60" s="196"/>
      <c r="DP60" s="187"/>
      <c r="DQ60" s="187"/>
      <c r="DR60" s="187"/>
      <c r="DS60" s="188"/>
      <c r="DT60" s="186"/>
      <c r="DU60" s="187"/>
      <c r="DV60" s="187"/>
      <c r="DW60" s="187"/>
      <c r="DX60" s="187"/>
      <c r="DY60" s="187"/>
      <c r="DZ60" s="187"/>
      <c r="EA60" s="196"/>
      <c r="EB60" s="187"/>
      <c r="EC60" s="187"/>
      <c r="ED60" s="187"/>
      <c r="EE60" s="188"/>
      <c r="EF60" s="186"/>
      <c r="EG60" s="187"/>
      <c r="EH60" s="187"/>
      <c r="EI60" s="187"/>
      <c r="EJ60" s="187"/>
      <c r="EK60" s="187"/>
      <c r="EL60" s="187"/>
      <c r="EM60" s="196"/>
      <c r="EN60" s="187"/>
      <c r="EO60" s="187"/>
      <c r="EP60" s="187"/>
      <c r="EQ60" s="188"/>
    </row>
    <row r="61" hidden="1">
      <c r="A61" s="187"/>
      <c r="B61" s="187"/>
      <c r="C61" s="187"/>
      <c r="D61" s="186"/>
      <c r="E61" s="187"/>
      <c r="F61" s="187"/>
      <c r="G61" s="187"/>
      <c r="H61" s="187"/>
      <c r="I61" s="187"/>
      <c r="J61" s="187"/>
      <c r="K61" s="196"/>
      <c r="L61" s="187"/>
      <c r="M61" s="187"/>
      <c r="N61" s="187"/>
      <c r="O61" s="188"/>
      <c r="P61" s="186"/>
      <c r="Q61" s="187"/>
      <c r="R61" s="187"/>
      <c r="S61" s="187"/>
      <c r="T61" s="187"/>
      <c r="U61" s="187"/>
      <c r="V61" s="187"/>
      <c r="W61" s="196"/>
      <c r="X61" s="187"/>
      <c r="Y61" s="187"/>
      <c r="Z61" s="187"/>
      <c r="AA61" s="188"/>
      <c r="AB61" s="186"/>
      <c r="AC61" s="187"/>
      <c r="AD61" s="187"/>
      <c r="AE61" s="187"/>
      <c r="AF61" s="187"/>
      <c r="AG61" s="187"/>
      <c r="AH61" s="187"/>
      <c r="AI61" s="196"/>
      <c r="AJ61" s="187"/>
      <c r="AK61" s="187"/>
      <c r="AL61" s="187"/>
      <c r="AM61" s="188"/>
      <c r="AN61" s="186"/>
      <c r="AO61" s="187"/>
      <c r="AP61" s="187"/>
      <c r="AQ61" s="187"/>
      <c r="AR61" s="187"/>
      <c r="AS61" s="187"/>
      <c r="AT61" s="187"/>
      <c r="AU61" s="196"/>
      <c r="AV61" s="187"/>
      <c r="AW61" s="187"/>
      <c r="AX61" s="187"/>
      <c r="AY61" s="188"/>
      <c r="AZ61" s="186"/>
      <c r="BA61" s="187"/>
      <c r="BB61" s="187"/>
      <c r="BC61" s="187"/>
      <c r="BD61" s="187"/>
      <c r="BE61" s="187"/>
      <c r="BF61" s="187"/>
      <c r="BG61" s="196"/>
      <c r="BH61" s="187"/>
      <c r="BI61" s="187"/>
      <c r="BJ61" s="187"/>
      <c r="BK61" s="188"/>
      <c r="BL61" s="186"/>
      <c r="BM61" s="187"/>
      <c r="BN61" s="187"/>
      <c r="BO61" s="187"/>
      <c r="BP61" s="187"/>
      <c r="BQ61" s="187"/>
      <c r="BR61" s="187"/>
      <c r="BS61" s="196"/>
      <c r="BT61" s="187"/>
      <c r="BU61" s="187"/>
      <c r="BV61" s="187"/>
      <c r="BW61" s="188"/>
      <c r="BX61" s="186"/>
      <c r="BY61" s="187"/>
      <c r="BZ61" s="187"/>
      <c r="CA61" s="187"/>
      <c r="CB61" s="187"/>
      <c r="CC61" s="187"/>
      <c r="CD61" s="187"/>
      <c r="CE61" s="196"/>
      <c r="CF61" s="187"/>
      <c r="CG61" s="187"/>
      <c r="CH61" s="187"/>
      <c r="CI61" s="188"/>
      <c r="CJ61" s="186"/>
      <c r="CK61" s="187"/>
      <c r="CL61" s="187"/>
      <c r="CM61" s="187"/>
      <c r="CN61" s="187"/>
      <c r="CO61" s="187"/>
      <c r="CP61" s="187"/>
      <c r="CQ61" s="196"/>
      <c r="CR61" s="187"/>
      <c r="CS61" s="187"/>
      <c r="CT61" s="187"/>
      <c r="CU61" s="188"/>
      <c r="CV61" s="186"/>
      <c r="CW61" s="187"/>
      <c r="CX61" s="187"/>
      <c r="CY61" s="187"/>
      <c r="CZ61" s="187"/>
      <c r="DA61" s="187"/>
      <c r="DB61" s="187"/>
      <c r="DC61" s="196"/>
      <c r="DD61" s="187"/>
      <c r="DE61" s="187"/>
      <c r="DF61" s="187"/>
      <c r="DG61" s="188"/>
      <c r="DH61" s="186"/>
      <c r="DI61" s="187"/>
      <c r="DJ61" s="187"/>
      <c r="DK61" s="187"/>
      <c r="DL61" s="187"/>
      <c r="DM61" s="187"/>
      <c r="DN61" s="187"/>
      <c r="DO61" s="196"/>
      <c r="DP61" s="187"/>
      <c r="DQ61" s="187"/>
      <c r="DR61" s="187"/>
      <c r="DS61" s="188"/>
      <c r="DT61" s="186"/>
      <c r="DU61" s="187"/>
      <c r="DV61" s="187"/>
      <c r="DW61" s="187"/>
      <c r="DX61" s="187"/>
      <c r="DY61" s="187"/>
      <c r="DZ61" s="187"/>
      <c r="EA61" s="196"/>
      <c r="EB61" s="187"/>
      <c r="EC61" s="187"/>
      <c r="ED61" s="187"/>
      <c r="EE61" s="188"/>
      <c r="EF61" s="186"/>
      <c r="EG61" s="187"/>
      <c r="EH61" s="187"/>
      <c r="EI61" s="187"/>
      <c r="EJ61" s="187"/>
      <c r="EK61" s="187"/>
      <c r="EL61" s="187"/>
      <c r="EM61" s="196"/>
      <c r="EN61" s="187"/>
      <c r="EO61" s="187"/>
      <c r="EP61" s="187"/>
      <c r="EQ61" s="188"/>
    </row>
    <row r="62" hidden="1">
      <c r="A62" s="187"/>
      <c r="B62" s="187"/>
      <c r="C62" s="187"/>
      <c r="D62" s="186"/>
      <c r="E62" s="187"/>
      <c r="F62" s="187"/>
      <c r="G62" s="187"/>
      <c r="H62" s="187"/>
      <c r="I62" s="187"/>
      <c r="J62" s="187"/>
      <c r="K62" s="196"/>
      <c r="L62" s="187"/>
      <c r="M62" s="187"/>
      <c r="N62" s="187"/>
      <c r="O62" s="188"/>
      <c r="P62" s="186"/>
      <c r="Q62" s="187"/>
      <c r="R62" s="187"/>
      <c r="S62" s="187"/>
      <c r="T62" s="187"/>
      <c r="U62" s="187"/>
      <c r="V62" s="187"/>
      <c r="W62" s="196"/>
      <c r="X62" s="187"/>
      <c r="Y62" s="187"/>
      <c r="Z62" s="187"/>
      <c r="AA62" s="188"/>
      <c r="AB62" s="186"/>
      <c r="AC62" s="187"/>
      <c r="AD62" s="187"/>
      <c r="AE62" s="187"/>
      <c r="AF62" s="187"/>
      <c r="AG62" s="187"/>
      <c r="AH62" s="187"/>
      <c r="AI62" s="196"/>
      <c r="AJ62" s="187"/>
      <c r="AK62" s="187"/>
      <c r="AL62" s="187"/>
      <c r="AM62" s="188"/>
      <c r="AN62" s="186"/>
      <c r="AO62" s="187"/>
      <c r="AP62" s="187"/>
      <c r="AQ62" s="187"/>
      <c r="AR62" s="187"/>
      <c r="AS62" s="187"/>
      <c r="AT62" s="187"/>
      <c r="AU62" s="196"/>
      <c r="AV62" s="187"/>
      <c r="AW62" s="187"/>
      <c r="AX62" s="187"/>
      <c r="AY62" s="188"/>
      <c r="AZ62" s="186"/>
      <c r="BA62" s="187"/>
      <c r="BB62" s="187"/>
      <c r="BC62" s="187"/>
      <c r="BD62" s="187"/>
      <c r="BE62" s="187"/>
      <c r="BF62" s="187"/>
      <c r="BG62" s="196"/>
      <c r="BH62" s="187"/>
      <c r="BI62" s="187"/>
      <c r="BJ62" s="187"/>
      <c r="BK62" s="188"/>
      <c r="BL62" s="186"/>
      <c r="BM62" s="187"/>
      <c r="BN62" s="187"/>
      <c r="BO62" s="187"/>
      <c r="BP62" s="187"/>
      <c r="BQ62" s="187"/>
      <c r="BR62" s="187"/>
      <c r="BS62" s="196"/>
      <c r="BT62" s="187"/>
      <c r="BU62" s="187"/>
      <c r="BV62" s="187"/>
      <c r="BW62" s="188"/>
      <c r="BX62" s="186"/>
      <c r="BY62" s="187"/>
      <c r="BZ62" s="187"/>
      <c r="CA62" s="187"/>
      <c r="CB62" s="187"/>
      <c r="CC62" s="187"/>
      <c r="CD62" s="187"/>
      <c r="CE62" s="196"/>
      <c r="CF62" s="187"/>
      <c r="CG62" s="187"/>
      <c r="CH62" s="187"/>
      <c r="CI62" s="188"/>
      <c r="CJ62" s="186"/>
      <c r="CK62" s="187"/>
      <c r="CL62" s="187"/>
      <c r="CM62" s="187"/>
      <c r="CN62" s="187"/>
      <c r="CO62" s="187"/>
      <c r="CP62" s="187"/>
      <c r="CQ62" s="196"/>
      <c r="CR62" s="187"/>
      <c r="CS62" s="187"/>
      <c r="CT62" s="187"/>
      <c r="CU62" s="188"/>
      <c r="CV62" s="186"/>
      <c r="CW62" s="187"/>
      <c r="CX62" s="187"/>
      <c r="CY62" s="187"/>
      <c r="CZ62" s="187"/>
      <c r="DA62" s="187"/>
      <c r="DB62" s="187"/>
      <c r="DC62" s="196"/>
      <c r="DD62" s="187"/>
      <c r="DE62" s="187"/>
      <c r="DF62" s="187"/>
      <c r="DG62" s="188"/>
      <c r="DH62" s="186"/>
      <c r="DI62" s="187"/>
      <c r="DJ62" s="187"/>
      <c r="DK62" s="187"/>
      <c r="DL62" s="187"/>
      <c r="DM62" s="187"/>
      <c r="DN62" s="187"/>
      <c r="DO62" s="196"/>
      <c r="DP62" s="187"/>
      <c r="DQ62" s="187"/>
      <c r="DR62" s="187"/>
      <c r="DS62" s="188"/>
      <c r="DT62" s="186"/>
      <c r="DU62" s="187"/>
      <c r="DV62" s="187"/>
      <c r="DW62" s="187"/>
      <c r="DX62" s="187"/>
      <c r="DY62" s="187"/>
      <c r="DZ62" s="187"/>
      <c r="EA62" s="196"/>
      <c r="EB62" s="187"/>
      <c r="EC62" s="187"/>
      <c r="ED62" s="187"/>
      <c r="EE62" s="188"/>
      <c r="EF62" s="186"/>
      <c r="EG62" s="187"/>
      <c r="EH62" s="187"/>
      <c r="EI62" s="187"/>
      <c r="EJ62" s="187"/>
      <c r="EK62" s="187"/>
      <c r="EL62" s="187"/>
      <c r="EM62" s="196"/>
      <c r="EN62" s="187"/>
      <c r="EO62" s="187"/>
      <c r="EP62" s="187"/>
      <c r="EQ62" s="188"/>
    </row>
    <row r="63" hidden="1">
      <c r="A63" s="187"/>
      <c r="B63" s="187"/>
      <c r="C63" s="187"/>
      <c r="D63" s="186"/>
      <c r="E63" s="187"/>
      <c r="F63" s="187"/>
      <c r="G63" s="187"/>
      <c r="H63" s="187"/>
      <c r="I63" s="187"/>
      <c r="J63" s="187"/>
      <c r="K63" s="196"/>
      <c r="L63" s="187"/>
      <c r="M63" s="187"/>
      <c r="N63" s="187"/>
      <c r="O63" s="188"/>
      <c r="P63" s="186"/>
      <c r="Q63" s="187"/>
      <c r="R63" s="187"/>
      <c r="S63" s="187"/>
      <c r="T63" s="187"/>
      <c r="U63" s="187"/>
      <c r="V63" s="187"/>
      <c r="W63" s="196"/>
      <c r="X63" s="187"/>
      <c r="Y63" s="187"/>
      <c r="Z63" s="187"/>
      <c r="AA63" s="188"/>
      <c r="AB63" s="186"/>
      <c r="AC63" s="187"/>
      <c r="AD63" s="187"/>
      <c r="AE63" s="187"/>
      <c r="AF63" s="187"/>
      <c r="AG63" s="187"/>
      <c r="AH63" s="187"/>
      <c r="AI63" s="196"/>
      <c r="AJ63" s="187"/>
      <c r="AK63" s="187"/>
      <c r="AL63" s="187"/>
      <c r="AM63" s="188"/>
      <c r="AN63" s="186"/>
      <c r="AO63" s="187"/>
      <c r="AP63" s="187"/>
      <c r="AQ63" s="187"/>
      <c r="AR63" s="187"/>
      <c r="AS63" s="187"/>
      <c r="AT63" s="187"/>
      <c r="AU63" s="196"/>
      <c r="AV63" s="187"/>
      <c r="AW63" s="187"/>
      <c r="AX63" s="187"/>
      <c r="AY63" s="188"/>
      <c r="AZ63" s="186"/>
      <c r="BA63" s="187"/>
      <c r="BB63" s="187"/>
      <c r="BC63" s="187"/>
      <c r="BD63" s="187"/>
      <c r="BE63" s="187"/>
      <c r="BF63" s="187"/>
      <c r="BG63" s="196"/>
      <c r="BH63" s="187"/>
      <c r="BI63" s="187"/>
      <c r="BJ63" s="187"/>
      <c r="BK63" s="188"/>
      <c r="BL63" s="186"/>
      <c r="BM63" s="187"/>
      <c r="BN63" s="187"/>
      <c r="BO63" s="187"/>
      <c r="BP63" s="187"/>
      <c r="BQ63" s="187"/>
      <c r="BR63" s="187"/>
      <c r="BS63" s="196"/>
      <c r="BT63" s="187"/>
      <c r="BU63" s="187"/>
      <c r="BV63" s="187"/>
      <c r="BW63" s="188"/>
      <c r="BX63" s="186"/>
      <c r="BY63" s="187"/>
      <c r="BZ63" s="187"/>
      <c r="CA63" s="187"/>
      <c r="CB63" s="187"/>
      <c r="CC63" s="187"/>
      <c r="CD63" s="187"/>
      <c r="CE63" s="196"/>
      <c r="CF63" s="187"/>
      <c r="CG63" s="187"/>
      <c r="CH63" s="187"/>
      <c r="CI63" s="188"/>
      <c r="CJ63" s="186"/>
      <c r="CK63" s="187"/>
      <c r="CL63" s="187"/>
      <c r="CM63" s="187"/>
      <c r="CN63" s="187"/>
      <c r="CO63" s="187"/>
      <c r="CP63" s="187"/>
      <c r="CQ63" s="196"/>
      <c r="CR63" s="187"/>
      <c r="CS63" s="187"/>
      <c r="CT63" s="187"/>
      <c r="CU63" s="188"/>
      <c r="CV63" s="186"/>
      <c r="CW63" s="187"/>
      <c r="CX63" s="187"/>
      <c r="CY63" s="187"/>
      <c r="CZ63" s="187"/>
      <c r="DA63" s="187"/>
      <c r="DB63" s="187"/>
      <c r="DC63" s="196"/>
      <c r="DD63" s="187"/>
      <c r="DE63" s="187"/>
      <c r="DF63" s="187"/>
      <c r="DG63" s="188"/>
      <c r="DH63" s="186"/>
      <c r="DI63" s="187"/>
      <c r="DJ63" s="187"/>
      <c r="DK63" s="187"/>
      <c r="DL63" s="187"/>
      <c r="DM63" s="187"/>
      <c r="DN63" s="187"/>
      <c r="DO63" s="196"/>
      <c r="DP63" s="187"/>
      <c r="DQ63" s="187"/>
      <c r="DR63" s="187"/>
      <c r="DS63" s="188"/>
      <c r="DT63" s="186"/>
      <c r="DU63" s="187"/>
      <c r="DV63" s="187"/>
      <c r="DW63" s="187"/>
      <c r="DX63" s="187"/>
      <c r="DY63" s="187"/>
      <c r="DZ63" s="187"/>
      <c r="EA63" s="196"/>
      <c r="EB63" s="187"/>
      <c r="EC63" s="187"/>
      <c r="ED63" s="187"/>
      <c r="EE63" s="188"/>
      <c r="EF63" s="186"/>
      <c r="EG63" s="187"/>
      <c r="EH63" s="187"/>
      <c r="EI63" s="187"/>
      <c r="EJ63" s="187"/>
      <c r="EK63" s="187"/>
      <c r="EL63" s="187"/>
      <c r="EM63" s="196"/>
      <c r="EN63" s="187"/>
      <c r="EO63" s="187"/>
      <c r="EP63" s="187"/>
      <c r="EQ63" s="188"/>
    </row>
    <row r="64" hidden="1">
      <c r="A64" s="187"/>
      <c r="B64" s="187"/>
      <c r="C64" s="187"/>
      <c r="D64" s="186"/>
      <c r="E64" s="187"/>
      <c r="F64" s="187"/>
      <c r="G64" s="187"/>
      <c r="H64" s="187"/>
      <c r="I64" s="187"/>
      <c r="J64" s="187"/>
      <c r="K64" s="196"/>
      <c r="L64" s="187"/>
      <c r="M64" s="187"/>
      <c r="N64" s="187"/>
      <c r="O64" s="188"/>
      <c r="P64" s="186"/>
      <c r="Q64" s="187"/>
      <c r="R64" s="187"/>
      <c r="S64" s="187"/>
      <c r="T64" s="187"/>
      <c r="U64" s="187"/>
      <c r="V64" s="187"/>
      <c r="W64" s="196"/>
      <c r="X64" s="187"/>
      <c r="Y64" s="187"/>
      <c r="Z64" s="187"/>
      <c r="AA64" s="188"/>
      <c r="AB64" s="186"/>
      <c r="AC64" s="187"/>
      <c r="AD64" s="187"/>
      <c r="AE64" s="187"/>
      <c r="AF64" s="187"/>
      <c r="AG64" s="187"/>
      <c r="AH64" s="187"/>
      <c r="AI64" s="196"/>
      <c r="AJ64" s="187"/>
      <c r="AK64" s="187"/>
      <c r="AL64" s="187"/>
      <c r="AM64" s="188"/>
      <c r="AN64" s="186"/>
      <c r="AO64" s="187"/>
      <c r="AP64" s="187"/>
      <c r="AQ64" s="187"/>
      <c r="AR64" s="187"/>
      <c r="AS64" s="187"/>
      <c r="AT64" s="187"/>
      <c r="AU64" s="196"/>
      <c r="AV64" s="187"/>
      <c r="AW64" s="187"/>
      <c r="AX64" s="187"/>
      <c r="AY64" s="188"/>
      <c r="AZ64" s="186"/>
      <c r="BA64" s="187"/>
      <c r="BB64" s="187"/>
      <c r="BC64" s="187"/>
      <c r="BD64" s="187"/>
      <c r="BE64" s="187"/>
      <c r="BF64" s="187"/>
      <c r="BG64" s="196"/>
      <c r="BH64" s="187"/>
      <c r="BI64" s="187"/>
      <c r="BJ64" s="187"/>
      <c r="BK64" s="188"/>
      <c r="BL64" s="186"/>
      <c r="BM64" s="187"/>
      <c r="BN64" s="187"/>
      <c r="BO64" s="187"/>
      <c r="BP64" s="187"/>
      <c r="BQ64" s="187"/>
      <c r="BR64" s="187"/>
      <c r="BS64" s="196"/>
      <c r="BT64" s="187"/>
      <c r="BU64" s="187"/>
      <c r="BV64" s="187"/>
      <c r="BW64" s="188"/>
      <c r="BX64" s="186"/>
      <c r="BY64" s="187"/>
      <c r="BZ64" s="187"/>
      <c r="CA64" s="187"/>
      <c r="CB64" s="187"/>
      <c r="CC64" s="187"/>
      <c r="CD64" s="187"/>
      <c r="CE64" s="196"/>
      <c r="CF64" s="187"/>
      <c r="CG64" s="187"/>
      <c r="CH64" s="187"/>
      <c r="CI64" s="188"/>
      <c r="CJ64" s="186"/>
      <c r="CK64" s="187"/>
      <c r="CL64" s="187"/>
      <c r="CM64" s="187"/>
      <c r="CN64" s="187"/>
      <c r="CO64" s="187"/>
      <c r="CP64" s="187"/>
      <c r="CQ64" s="196"/>
      <c r="CR64" s="187"/>
      <c r="CS64" s="187"/>
      <c r="CT64" s="187"/>
      <c r="CU64" s="188"/>
      <c r="CV64" s="186"/>
      <c r="CW64" s="187"/>
      <c r="CX64" s="187"/>
      <c r="CY64" s="187"/>
      <c r="CZ64" s="187"/>
      <c r="DA64" s="187"/>
      <c r="DB64" s="187"/>
      <c r="DC64" s="196"/>
      <c r="DD64" s="187"/>
      <c r="DE64" s="187"/>
      <c r="DF64" s="187"/>
      <c r="DG64" s="188"/>
      <c r="DH64" s="186"/>
      <c r="DI64" s="187"/>
      <c r="DJ64" s="187"/>
      <c r="DK64" s="187"/>
      <c r="DL64" s="187"/>
      <c r="DM64" s="187"/>
      <c r="DN64" s="187"/>
      <c r="DO64" s="196"/>
      <c r="DP64" s="187"/>
      <c r="DQ64" s="187"/>
      <c r="DR64" s="187"/>
      <c r="DS64" s="188"/>
      <c r="DT64" s="186"/>
      <c r="DU64" s="187"/>
      <c r="DV64" s="187"/>
      <c r="DW64" s="187"/>
      <c r="DX64" s="187"/>
      <c r="DY64" s="187"/>
      <c r="DZ64" s="187"/>
      <c r="EA64" s="196"/>
      <c r="EB64" s="187"/>
      <c r="EC64" s="187"/>
      <c r="ED64" s="187"/>
      <c r="EE64" s="188"/>
      <c r="EF64" s="186"/>
      <c r="EG64" s="187"/>
      <c r="EH64" s="187"/>
      <c r="EI64" s="187"/>
      <c r="EJ64" s="187"/>
      <c r="EK64" s="187"/>
      <c r="EL64" s="187"/>
      <c r="EM64" s="196"/>
      <c r="EN64" s="187"/>
      <c r="EO64" s="187"/>
      <c r="EP64" s="187"/>
      <c r="EQ64" s="188"/>
    </row>
    <row r="65" hidden="1">
      <c r="A65" s="187"/>
      <c r="B65" s="187"/>
      <c r="C65" s="187"/>
      <c r="D65" s="186"/>
      <c r="E65" s="187"/>
      <c r="F65" s="187"/>
      <c r="G65" s="187"/>
      <c r="H65" s="187"/>
      <c r="I65" s="187"/>
      <c r="J65" s="187"/>
      <c r="K65" s="196"/>
      <c r="L65" s="187"/>
      <c r="M65" s="187"/>
      <c r="N65" s="187"/>
      <c r="O65" s="188"/>
      <c r="P65" s="186"/>
      <c r="Q65" s="187"/>
      <c r="R65" s="187"/>
      <c r="S65" s="187"/>
      <c r="T65" s="187"/>
      <c r="U65" s="187"/>
      <c r="V65" s="187"/>
      <c r="W65" s="196"/>
      <c r="X65" s="187"/>
      <c r="Y65" s="187"/>
      <c r="Z65" s="187"/>
      <c r="AA65" s="188"/>
      <c r="AB65" s="186"/>
      <c r="AC65" s="187"/>
      <c r="AD65" s="187"/>
      <c r="AE65" s="187"/>
      <c r="AF65" s="187"/>
      <c r="AG65" s="187"/>
      <c r="AH65" s="187"/>
      <c r="AI65" s="196"/>
      <c r="AJ65" s="187"/>
      <c r="AK65" s="187"/>
      <c r="AL65" s="187"/>
      <c r="AM65" s="188"/>
      <c r="AN65" s="186"/>
      <c r="AO65" s="187"/>
      <c r="AP65" s="187"/>
      <c r="AQ65" s="187"/>
      <c r="AR65" s="187"/>
      <c r="AS65" s="187"/>
      <c r="AT65" s="187"/>
      <c r="AU65" s="196"/>
      <c r="AV65" s="187"/>
      <c r="AW65" s="187"/>
      <c r="AX65" s="187"/>
      <c r="AY65" s="188"/>
      <c r="AZ65" s="186"/>
      <c r="BA65" s="187"/>
      <c r="BB65" s="187"/>
      <c r="BC65" s="187"/>
      <c r="BD65" s="187"/>
      <c r="BE65" s="187"/>
      <c r="BF65" s="187"/>
      <c r="BG65" s="196"/>
      <c r="BH65" s="187"/>
      <c r="BI65" s="187"/>
      <c r="BJ65" s="187"/>
      <c r="BK65" s="188"/>
      <c r="BL65" s="186"/>
      <c r="BM65" s="187"/>
      <c r="BN65" s="187"/>
      <c r="BO65" s="187"/>
      <c r="BP65" s="187"/>
      <c r="BQ65" s="187"/>
      <c r="BR65" s="187"/>
      <c r="BS65" s="196"/>
      <c r="BT65" s="187"/>
      <c r="BU65" s="187"/>
      <c r="BV65" s="187"/>
      <c r="BW65" s="188"/>
      <c r="BX65" s="186"/>
      <c r="BY65" s="187"/>
      <c r="BZ65" s="187"/>
      <c r="CA65" s="187"/>
      <c r="CB65" s="187"/>
      <c r="CC65" s="187"/>
      <c r="CD65" s="187"/>
      <c r="CE65" s="196"/>
      <c r="CF65" s="187"/>
      <c r="CG65" s="187"/>
      <c r="CH65" s="187"/>
      <c r="CI65" s="188"/>
      <c r="CJ65" s="186"/>
      <c r="CK65" s="187"/>
      <c r="CL65" s="187"/>
      <c r="CM65" s="187"/>
      <c r="CN65" s="187"/>
      <c r="CO65" s="187"/>
      <c r="CP65" s="187"/>
      <c r="CQ65" s="196"/>
      <c r="CR65" s="187"/>
      <c r="CS65" s="187"/>
      <c r="CT65" s="187"/>
      <c r="CU65" s="188"/>
      <c r="CV65" s="186"/>
      <c r="CW65" s="187"/>
      <c r="CX65" s="187"/>
      <c r="CY65" s="187"/>
      <c r="CZ65" s="187"/>
      <c r="DA65" s="187"/>
      <c r="DB65" s="187"/>
      <c r="DC65" s="196"/>
      <c r="DD65" s="187"/>
      <c r="DE65" s="187"/>
      <c r="DF65" s="187"/>
      <c r="DG65" s="188"/>
      <c r="DH65" s="186"/>
      <c r="DI65" s="187"/>
      <c r="DJ65" s="187"/>
      <c r="DK65" s="187"/>
      <c r="DL65" s="187"/>
      <c r="DM65" s="187"/>
      <c r="DN65" s="187"/>
      <c r="DO65" s="196"/>
      <c r="DP65" s="187"/>
      <c r="DQ65" s="187"/>
      <c r="DR65" s="187"/>
      <c r="DS65" s="188"/>
      <c r="DT65" s="186"/>
      <c r="DU65" s="187"/>
      <c r="DV65" s="187"/>
      <c r="DW65" s="187"/>
      <c r="DX65" s="187"/>
      <c r="DY65" s="187"/>
      <c r="DZ65" s="187"/>
      <c r="EA65" s="196"/>
      <c r="EB65" s="187"/>
      <c r="EC65" s="187"/>
      <c r="ED65" s="187"/>
      <c r="EE65" s="188"/>
      <c r="EF65" s="186"/>
      <c r="EG65" s="187"/>
      <c r="EH65" s="187"/>
      <c r="EI65" s="187"/>
      <c r="EJ65" s="187"/>
      <c r="EK65" s="187"/>
      <c r="EL65" s="187"/>
      <c r="EM65" s="196"/>
      <c r="EN65" s="187"/>
      <c r="EO65" s="187"/>
      <c r="EP65" s="187"/>
      <c r="EQ65" s="188"/>
    </row>
    <row r="66" hidden="1">
      <c r="A66" s="187"/>
      <c r="B66" s="187"/>
      <c r="C66" s="187"/>
      <c r="D66" s="186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8"/>
      <c r="P66" s="186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8"/>
      <c r="AB66" s="186"/>
      <c r="AC66" s="187"/>
      <c r="AD66" s="187"/>
      <c r="AE66" s="187"/>
      <c r="AF66" s="187"/>
      <c r="AG66" s="187"/>
      <c r="AH66" s="187"/>
      <c r="AI66" s="187"/>
      <c r="AJ66" s="187"/>
      <c r="AK66" s="187"/>
      <c r="AL66" s="187"/>
      <c r="AM66" s="188"/>
      <c r="AN66" s="186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88"/>
      <c r="AZ66" s="186"/>
      <c r="BA66" s="187"/>
      <c r="BB66" s="187"/>
      <c r="BC66" s="187"/>
      <c r="BD66" s="187"/>
      <c r="BE66" s="187"/>
      <c r="BF66" s="187"/>
      <c r="BG66" s="187"/>
      <c r="BH66" s="187"/>
      <c r="BI66" s="187"/>
      <c r="BJ66" s="187"/>
      <c r="BK66" s="188"/>
      <c r="BL66" s="186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8"/>
      <c r="BX66" s="186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8"/>
      <c r="CJ66" s="186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8"/>
      <c r="CV66" s="186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8"/>
      <c r="DH66" s="186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8"/>
      <c r="DT66" s="186"/>
      <c r="DU66" s="187"/>
      <c r="DV66" s="187"/>
      <c r="DW66" s="187"/>
      <c r="DX66" s="187"/>
      <c r="DY66" s="187"/>
      <c r="DZ66" s="187"/>
      <c r="EA66" s="187"/>
      <c r="EB66" s="187"/>
      <c r="EC66" s="187"/>
      <c r="ED66" s="187"/>
      <c r="EE66" s="188"/>
      <c r="EF66" s="186"/>
      <c r="EG66" s="187"/>
      <c r="EH66" s="187"/>
      <c r="EI66" s="187"/>
      <c r="EJ66" s="187"/>
      <c r="EK66" s="187"/>
      <c r="EL66" s="187"/>
      <c r="EM66" s="187"/>
      <c r="EN66" s="187"/>
      <c r="EO66" s="187"/>
      <c r="EP66" s="187"/>
      <c r="EQ66" s="188"/>
    </row>
    <row r="67" hidden="1">
      <c r="A67" s="187"/>
      <c r="B67" s="187"/>
      <c r="C67" s="187"/>
      <c r="D67" s="186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8"/>
      <c r="P67" s="186"/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8"/>
      <c r="AB67" s="186"/>
      <c r="AC67" s="187"/>
      <c r="AD67" s="187"/>
      <c r="AE67" s="187"/>
      <c r="AF67" s="187"/>
      <c r="AG67" s="187"/>
      <c r="AH67" s="187"/>
      <c r="AI67" s="187"/>
      <c r="AJ67" s="187"/>
      <c r="AK67" s="187"/>
      <c r="AL67" s="187"/>
      <c r="AM67" s="188"/>
      <c r="AN67" s="186"/>
      <c r="AO67" s="187"/>
      <c r="AP67" s="187"/>
      <c r="AQ67" s="187"/>
      <c r="AR67" s="187"/>
      <c r="AS67" s="187"/>
      <c r="AT67" s="187"/>
      <c r="AU67" s="187"/>
      <c r="AV67" s="187"/>
      <c r="AW67" s="187"/>
      <c r="AX67" s="187"/>
      <c r="AY67" s="188"/>
      <c r="AZ67" s="186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8"/>
      <c r="BL67" s="186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8"/>
      <c r="BX67" s="186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8"/>
      <c r="CJ67" s="186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8"/>
      <c r="CV67" s="186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8"/>
      <c r="DH67" s="186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8"/>
      <c r="DT67" s="186"/>
      <c r="DU67" s="187"/>
      <c r="DV67" s="187"/>
      <c r="DW67" s="187"/>
      <c r="DX67" s="187"/>
      <c r="DY67" s="187"/>
      <c r="DZ67" s="187"/>
      <c r="EA67" s="187"/>
      <c r="EB67" s="187"/>
      <c r="EC67" s="187"/>
      <c r="ED67" s="187"/>
      <c r="EE67" s="188"/>
      <c r="EF67" s="186"/>
      <c r="EG67" s="187"/>
      <c r="EH67" s="187"/>
      <c r="EI67" s="187"/>
      <c r="EJ67" s="187"/>
      <c r="EK67" s="187"/>
      <c r="EL67" s="187"/>
      <c r="EM67" s="187"/>
      <c r="EN67" s="187"/>
      <c r="EO67" s="187"/>
      <c r="EP67" s="187"/>
      <c r="EQ67" s="188"/>
    </row>
    <row r="68" hidden="1">
      <c r="A68" s="187"/>
      <c r="B68" s="187"/>
      <c r="C68" s="187"/>
      <c r="D68" s="186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8"/>
      <c r="P68" s="186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8"/>
      <c r="AB68" s="186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8"/>
      <c r="AN68" s="186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8"/>
      <c r="AZ68" s="186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8"/>
      <c r="BL68" s="186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8"/>
      <c r="BX68" s="186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8"/>
      <c r="CJ68" s="186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8"/>
      <c r="CV68" s="186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8"/>
      <c r="DH68" s="186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8"/>
      <c r="DT68" s="186"/>
      <c r="DU68" s="187"/>
      <c r="DV68" s="187"/>
      <c r="DW68" s="187"/>
      <c r="DX68" s="187"/>
      <c r="DY68" s="187"/>
      <c r="DZ68" s="187"/>
      <c r="EA68" s="187"/>
      <c r="EB68" s="187"/>
      <c r="EC68" s="187"/>
      <c r="ED68" s="187"/>
      <c r="EE68" s="188"/>
      <c r="EF68" s="186"/>
      <c r="EG68" s="187"/>
      <c r="EH68" s="187"/>
      <c r="EI68" s="187"/>
      <c r="EJ68" s="187"/>
      <c r="EK68" s="187"/>
      <c r="EL68" s="187"/>
      <c r="EM68" s="187"/>
      <c r="EN68" s="187"/>
      <c r="EO68" s="187"/>
      <c r="EP68" s="187"/>
      <c r="EQ68" s="188"/>
    </row>
    <row r="69" hidden="1">
      <c r="A69" s="187"/>
      <c r="B69" s="187"/>
      <c r="C69" s="187"/>
      <c r="D69" s="186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8"/>
      <c r="P69" s="186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8"/>
      <c r="AB69" s="186"/>
      <c r="AC69" s="187"/>
      <c r="AD69" s="187"/>
      <c r="AE69" s="187"/>
      <c r="AF69" s="187"/>
      <c r="AG69" s="187"/>
      <c r="AH69" s="187"/>
      <c r="AI69" s="187"/>
      <c r="AJ69" s="187"/>
      <c r="AK69" s="187"/>
      <c r="AL69" s="187"/>
      <c r="AM69" s="188"/>
      <c r="AN69" s="186"/>
      <c r="AO69" s="187"/>
      <c r="AP69" s="187"/>
      <c r="AQ69" s="187"/>
      <c r="AR69" s="187"/>
      <c r="AS69" s="187"/>
      <c r="AT69" s="187"/>
      <c r="AU69" s="187"/>
      <c r="AV69" s="187"/>
      <c r="AW69" s="187"/>
      <c r="AX69" s="187"/>
      <c r="AY69" s="188"/>
      <c r="AZ69" s="186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8"/>
      <c r="BL69" s="186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8"/>
      <c r="BX69" s="186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8"/>
      <c r="CJ69" s="186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8"/>
      <c r="CV69" s="186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8"/>
      <c r="DH69" s="186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8"/>
      <c r="DT69" s="186"/>
      <c r="DU69" s="187"/>
      <c r="DV69" s="187"/>
      <c r="DW69" s="187"/>
      <c r="DX69" s="187"/>
      <c r="DY69" s="187"/>
      <c r="DZ69" s="187"/>
      <c r="EA69" s="187"/>
      <c r="EB69" s="187"/>
      <c r="EC69" s="187"/>
      <c r="ED69" s="187"/>
      <c r="EE69" s="188"/>
      <c r="EF69" s="186"/>
      <c r="EG69" s="187"/>
      <c r="EH69" s="187"/>
      <c r="EI69" s="187"/>
      <c r="EJ69" s="187"/>
      <c r="EK69" s="187"/>
      <c r="EL69" s="187"/>
      <c r="EM69" s="187"/>
      <c r="EN69" s="187"/>
      <c r="EO69" s="187"/>
      <c r="EP69" s="187"/>
      <c r="EQ69" s="188"/>
    </row>
    <row r="70" hidden="1">
      <c r="A70" s="187"/>
      <c r="B70" s="187"/>
      <c r="C70" s="187"/>
      <c r="D70" s="186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8"/>
      <c r="P70" s="186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8"/>
      <c r="AB70" s="186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8"/>
      <c r="AN70" s="186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8"/>
      <c r="AZ70" s="186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8"/>
      <c r="BL70" s="186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8"/>
      <c r="BX70" s="186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8"/>
      <c r="CJ70" s="186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8"/>
      <c r="CV70" s="186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8"/>
      <c r="DH70" s="186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8"/>
      <c r="DT70" s="186"/>
      <c r="DU70" s="187"/>
      <c r="DV70" s="187"/>
      <c r="DW70" s="187"/>
      <c r="DX70" s="187"/>
      <c r="DY70" s="187"/>
      <c r="DZ70" s="187"/>
      <c r="EA70" s="187"/>
      <c r="EB70" s="187"/>
      <c r="EC70" s="187"/>
      <c r="ED70" s="187"/>
      <c r="EE70" s="188"/>
      <c r="EF70" s="186"/>
      <c r="EG70" s="187"/>
      <c r="EH70" s="187"/>
      <c r="EI70" s="187"/>
      <c r="EJ70" s="187"/>
      <c r="EK70" s="187"/>
      <c r="EL70" s="187"/>
      <c r="EM70" s="187"/>
      <c r="EN70" s="187"/>
      <c r="EO70" s="187"/>
      <c r="EP70" s="187"/>
      <c r="EQ70" s="188"/>
    </row>
    <row r="71" hidden="1">
      <c r="A71" s="187"/>
      <c r="B71" s="187"/>
      <c r="C71" s="187"/>
      <c r="D71" s="186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8"/>
      <c r="P71" s="186"/>
      <c r="Q71" s="187"/>
      <c r="R71" s="187"/>
      <c r="S71" s="187"/>
      <c r="T71" s="187"/>
      <c r="U71" s="187"/>
      <c r="V71" s="187"/>
      <c r="W71" s="187"/>
      <c r="X71" s="187"/>
      <c r="Y71" s="187"/>
      <c r="Z71" s="187"/>
      <c r="AA71" s="188"/>
      <c r="AB71" s="186"/>
      <c r="AC71" s="187"/>
      <c r="AD71" s="187"/>
      <c r="AE71" s="187"/>
      <c r="AF71" s="187"/>
      <c r="AG71" s="187"/>
      <c r="AH71" s="187"/>
      <c r="AI71" s="187"/>
      <c r="AJ71" s="187"/>
      <c r="AK71" s="187"/>
      <c r="AL71" s="187"/>
      <c r="AM71" s="188"/>
      <c r="AN71" s="186"/>
      <c r="AO71" s="187"/>
      <c r="AP71" s="187"/>
      <c r="AQ71" s="187"/>
      <c r="AR71" s="187"/>
      <c r="AS71" s="187"/>
      <c r="AT71" s="187"/>
      <c r="AU71" s="187"/>
      <c r="AV71" s="187"/>
      <c r="AW71" s="187"/>
      <c r="AX71" s="187"/>
      <c r="AY71" s="188"/>
      <c r="AZ71" s="186"/>
      <c r="BA71" s="187"/>
      <c r="BB71" s="187"/>
      <c r="BC71" s="187"/>
      <c r="BD71" s="187"/>
      <c r="BE71" s="187"/>
      <c r="BF71" s="187"/>
      <c r="BG71" s="187"/>
      <c r="BH71" s="187"/>
      <c r="BI71" s="187"/>
      <c r="BJ71" s="187"/>
      <c r="BK71" s="188"/>
      <c r="BL71" s="186"/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8"/>
      <c r="BX71" s="186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8"/>
      <c r="CJ71" s="186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8"/>
      <c r="CV71" s="186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8"/>
      <c r="DH71" s="186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8"/>
      <c r="DT71" s="186"/>
      <c r="DU71" s="187"/>
      <c r="DV71" s="187"/>
      <c r="DW71" s="187"/>
      <c r="DX71" s="187"/>
      <c r="DY71" s="187"/>
      <c r="DZ71" s="187"/>
      <c r="EA71" s="187"/>
      <c r="EB71" s="187"/>
      <c r="EC71" s="187"/>
      <c r="ED71" s="187"/>
      <c r="EE71" s="188"/>
      <c r="EF71" s="186"/>
      <c r="EG71" s="187"/>
      <c r="EH71" s="187"/>
      <c r="EI71" s="187"/>
      <c r="EJ71" s="187"/>
      <c r="EK71" s="187"/>
      <c r="EL71" s="187"/>
      <c r="EM71" s="187"/>
      <c r="EN71" s="187"/>
      <c r="EO71" s="187"/>
      <c r="EP71" s="187"/>
      <c r="EQ71" s="188"/>
    </row>
    <row r="72" hidden="1">
      <c r="A72" s="187"/>
      <c r="B72" s="187"/>
      <c r="C72" s="187"/>
      <c r="D72" s="186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8"/>
      <c r="P72" s="186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8"/>
      <c r="AB72" s="186"/>
      <c r="AC72" s="187"/>
      <c r="AD72" s="187"/>
      <c r="AE72" s="187"/>
      <c r="AF72" s="187"/>
      <c r="AG72" s="187"/>
      <c r="AH72" s="187"/>
      <c r="AI72" s="187"/>
      <c r="AJ72" s="187"/>
      <c r="AK72" s="187"/>
      <c r="AL72" s="187"/>
      <c r="AM72" s="188"/>
      <c r="AN72" s="186"/>
      <c r="AO72" s="187"/>
      <c r="AP72" s="187"/>
      <c r="AQ72" s="187"/>
      <c r="AR72" s="187"/>
      <c r="AS72" s="187"/>
      <c r="AT72" s="187"/>
      <c r="AU72" s="187"/>
      <c r="AV72" s="187"/>
      <c r="AW72" s="187"/>
      <c r="AX72" s="187"/>
      <c r="AY72" s="188"/>
      <c r="AZ72" s="186"/>
      <c r="BA72" s="187"/>
      <c r="BB72" s="187"/>
      <c r="BC72" s="187"/>
      <c r="BD72" s="187"/>
      <c r="BE72" s="187"/>
      <c r="BF72" s="187"/>
      <c r="BG72" s="187"/>
      <c r="BH72" s="187"/>
      <c r="BI72" s="187"/>
      <c r="BJ72" s="187"/>
      <c r="BK72" s="188"/>
      <c r="BL72" s="186"/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8"/>
      <c r="BX72" s="186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8"/>
      <c r="CJ72" s="186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8"/>
      <c r="CV72" s="186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8"/>
      <c r="DH72" s="186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8"/>
      <c r="DT72" s="186"/>
      <c r="DU72" s="187"/>
      <c r="DV72" s="187"/>
      <c r="DW72" s="187"/>
      <c r="DX72" s="187"/>
      <c r="DY72" s="187"/>
      <c r="DZ72" s="187"/>
      <c r="EA72" s="187"/>
      <c r="EB72" s="187"/>
      <c r="EC72" s="187"/>
      <c r="ED72" s="187"/>
      <c r="EE72" s="188"/>
      <c r="EF72" s="186"/>
      <c r="EG72" s="187"/>
      <c r="EH72" s="187"/>
      <c r="EI72" s="187"/>
      <c r="EJ72" s="187"/>
      <c r="EK72" s="187"/>
      <c r="EL72" s="187"/>
      <c r="EM72" s="187"/>
      <c r="EN72" s="187"/>
      <c r="EO72" s="187"/>
      <c r="EP72" s="187"/>
      <c r="EQ72" s="188"/>
    </row>
    <row r="73" hidden="1">
      <c r="A73" s="187"/>
      <c r="B73" s="187"/>
      <c r="C73" s="187"/>
      <c r="D73" s="186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8"/>
      <c r="P73" s="186"/>
      <c r="Q73" s="187"/>
      <c r="R73" s="187"/>
      <c r="S73" s="187"/>
      <c r="T73" s="187"/>
      <c r="U73" s="187"/>
      <c r="V73" s="187"/>
      <c r="W73" s="187"/>
      <c r="X73" s="187"/>
      <c r="Y73" s="187"/>
      <c r="Z73" s="187"/>
      <c r="AA73" s="188"/>
      <c r="AB73" s="186"/>
      <c r="AC73" s="187"/>
      <c r="AD73" s="187"/>
      <c r="AE73" s="187"/>
      <c r="AF73" s="187"/>
      <c r="AG73" s="187"/>
      <c r="AH73" s="187"/>
      <c r="AI73" s="187"/>
      <c r="AJ73" s="187"/>
      <c r="AK73" s="187"/>
      <c r="AL73" s="187"/>
      <c r="AM73" s="188"/>
      <c r="AN73" s="186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8"/>
      <c r="AZ73" s="186"/>
      <c r="BA73" s="187"/>
      <c r="BB73" s="187"/>
      <c r="BC73" s="187"/>
      <c r="BD73" s="187"/>
      <c r="BE73" s="187"/>
      <c r="BF73" s="187"/>
      <c r="BG73" s="187"/>
      <c r="BH73" s="187"/>
      <c r="BI73" s="187"/>
      <c r="BJ73" s="187"/>
      <c r="BK73" s="188"/>
      <c r="BL73" s="186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8"/>
      <c r="BX73" s="186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8"/>
      <c r="CJ73" s="186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8"/>
      <c r="CV73" s="186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8"/>
      <c r="DH73" s="186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8"/>
      <c r="DT73" s="186"/>
      <c r="DU73" s="187"/>
      <c r="DV73" s="187"/>
      <c r="DW73" s="187"/>
      <c r="DX73" s="187"/>
      <c r="DY73" s="187"/>
      <c r="DZ73" s="187"/>
      <c r="EA73" s="187"/>
      <c r="EB73" s="187"/>
      <c r="EC73" s="187"/>
      <c r="ED73" s="187"/>
      <c r="EE73" s="188"/>
      <c r="EF73" s="186"/>
      <c r="EG73" s="187"/>
      <c r="EH73" s="187"/>
      <c r="EI73" s="187"/>
      <c r="EJ73" s="187"/>
      <c r="EK73" s="187"/>
      <c r="EL73" s="187"/>
      <c r="EM73" s="187"/>
      <c r="EN73" s="187"/>
      <c r="EO73" s="187"/>
      <c r="EP73" s="187"/>
      <c r="EQ73" s="188"/>
    </row>
    <row r="74" hidden="1">
      <c r="A74" s="187"/>
      <c r="B74" s="187"/>
      <c r="C74" s="187"/>
      <c r="D74" s="186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8"/>
      <c r="P74" s="186"/>
      <c r="Q74" s="187"/>
      <c r="R74" s="187"/>
      <c r="S74" s="187"/>
      <c r="T74" s="187"/>
      <c r="U74" s="187"/>
      <c r="V74" s="187"/>
      <c r="W74" s="187"/>
      <c r="X74" s="187"/>
      <c r="Y74" s="187"/>
      <c r="Z74" s="187"/>
      <c r="AA74" s="188"/>
      <c r="AB74" s="186"/>
      <c r="AC74" s="187"/>
      <c r="AD74" s="187"/>
      <c r="AE74" s="187"/>
      <c r="AF74" s="187"/>
      <c r="AG74" s="187"/>
      <c r="AH74" s="187"/>
      <c r="AI74" s="187"/>
      <c r="AJ74" s="187"/>
      <c r="AK74" s="187"/>
      <c r="AL74" s="187"/>
      <c r="AM74" s="188"/>
      <c r="AN74" s="186"/>
      <c r="AO74" s="187"/>
      <c r="AP74" s="187"/>
      <c r="AQ74" s="187"/>
      <c r="AR74" s="187"/>
      <c r="AS74" s="187"/>
      <c r="AT74" s="187"/>
      <c r="AU74" s="187"/>
      <c r="AV74" s="187"/>
      <c r="AW74" s="187"/>
      <c r="AX74" s="187"/>
      <c r="AY74" s="188"/>
      <c r="AZ74" s="186"/>
      <c r="BA74" s="187"/>
      <c r="BB74" s="187"/>
      <c r="BC74" s="187"/>
      <c r="BD74" s="187"/>
      <c r="BE74" s="187"/>
      <c r="BF74" s="187"/>
      <c r="BG74" s="187"/>
      <c r="BH74" s="187"/>
      <c r="BI74" s="187"/>
      <c r="BJ74" s="187"/>
      <c r="BK74" s="188"/>
      <c r="BL74" s="186"/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8"/>
      <c r="BX74" s="186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8"/>
      <c r="CJ74" s="186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8"/>
      <c r="CV74" s="186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8"/>
      <c r="DH74" s="186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8"/>
      <c r="DT74" s="186"/>
      <c r="DU74" s="187"/>
      <c r="DV74" s="187"/>
      <c r="DW74" s="187"/>
      <c r="DX74" s="187"/>
      <c r="DY74" s="187"/>
      <c r="DZ74" s="187"/>
      <c r="EA74" s="187"/>
      <c r="EB74" s="187"/>
      <c r="EC74" s="187"/>
      <c r="ED74" s="187"/>
      <c r="EE74" s="188"/>
      <c r="EF74" s="186"/>
      <c r="EG74" s="187"/>
      <c r="EH74" s="187"/>
      <c r="EI74" s="187"/>
      <c r="EJ74" s="187"/>
      <c r="EK74" s="187"/>
      <c r="EL74" s="187"/>
      <c r="EM74" s="187"/>
      <c r="EN74" s="187"/>
      <c r="EO74" s="187"/>
      <c r="EP74" s="187"/>
      <c r="EQ74" s="188"/>
    </row>
    <row r="75" hidden="1">
      <c r="A75" s="187"/>
      <c r="B75" s="187"/>
      <c r="C75" s="187"/>
      <c r="D75" s="186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8"/>
      <c r="P75" s="186"/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8"/>
      <c r="AB75" s="186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8"/>
      <c r="AN75" s="186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/>
      <c r="AY75" s="188"/>
      <c r="AZ75" s="186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8"/>
      <c r="BL75" s="186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8"/>
      <c r="BX75" s="186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8"/>
      <c r="CJ75" s="186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8"/>
      <c r="CV75" s="186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8"/>
      <c r="DH75" s="186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8"/>
      <c r="DT75" s="186"/>
      <c r="DU75" s="187"/>
      <c r="DV75" s="187"/>
      <c r="DW75" s="187"/>
      <c r="DX75" s="187"/>
      <c r="DY75" s="187"/>
      <c r="DZ75" s="187"/>
      <c r="EA75" s="187"/>
      <c r="EB75" s="187"/>
      <c r="EC75" s="187"/>
      <c r="ED75" s="187"/>
      <c r="EE75" s="188"/>
      <c r="EF75" s="186"/>
      <c r="EG75" s="187"/>
      <c r="EH75" s="187"/>
      <c r="EI75" s="187"/>
      <c r="EJ75" s="187"/>
      <c r="EK75" s="187"/>
      <c r="EL75" s="187"/>
      <c r="EM75" s="187"/>
      <c r="EN75" s="187"/>
      <c r="EO75" s="187"/>
      <c r="EP75" s="187"/>
      <c r="EQ75" s="188"/>
    </row>
    <row r="76" hidden="1">
      <c r="A76" s="187"/>
      <c r="B76" s="187"/>
      <c r="C76" s="187"/>
      <c r="D76" s="201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3"/>
      <c r="P76" s="201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3"/>
      <c r="AB76" s="201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3"/>
      <c r="AN76" s="201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3"/>
      <c r="AZ76" s="201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3"/>
      <c r="BL76" s="201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3"/>
      <c r="BX76" s="201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3"/>
      <c r="CJ76" s="201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3"/>
      <c r="CV76" s="201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3"/>
      <c r="DH76" s="201"/>
      <c r="DI76" s="172"/>
      <c r="DJ76" s="172"/>
      <c r="DK76" s="172"/>
      <c r="DL76" s="172"/>
      <c r="DM76" s="172"/>
      <c r="DN76" s="172"/>
      <c r="DO76" s="172"/>
      <c r="DP76" s="172"/>
      <c r="DQ76" s="172"/>
      <c r="DR76" s="172"/>
      <c r="DS76" s="173"/>
      <c r="DT76" s="201"/>
      <c r="DU76" s="172"/>
      <c r="DV76" s="172"/>
      <c r="DW76" s="172"/>
      <c r="DX76" s="172"/>
      <c r="DY76" s="172"/>
      <c r="DZ76" s="172"/>
      <c r="EA76" s="172"/>
      <c r="EB76" s="172"/>
      <c r="EC76" s="172"/>
      <c r="ED76" s="172"/>
      <c r="EE76" s="173"/>
      <c r="EF76" s="201"/>
      <c r="EG76" s="172"/>
      <c r="EH76" s="172"/>
      <c r="EI76" s="172"/>
      <c r="EJ76" s="172"/>
      <c r="EK76" s="172"/>
      <c r="EL76" s="172"/>
      <c r="EM76" s="172"/>
      <c r="EN76" s="172"/>
      <c r="EO76" s="172"/>
      <c r="EP76" s="172"/>
      <c r="EQ76" s="173"/>
    </row>
    <row r="77" hidden="1">
      <c r="A77" s="187"/>
      <c r="B77" s="187"/>
      <c r="C77" s="187"/>
      <c r="D77" s="202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4"/>
      <c r="P77" s="202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4"/>
      <c r="AB77" s="202"/>
      <c r="AC77" s="203"/>
      <c r="AD77" s="203"/>
      <c r="AE77" s="203"/>
      <c r="AF77" s="203"/>
      <c r="AG77" s="203"/>
      <c r="AH77" s="203"/>
      <c r="AI77" s="203"/>
      <c r="AJ77" s="203"/>
      <c r="AK77" s="203"/>
      <c r="AL77" s="203"/>
      <c r="AM77" s="204"/>
      <c r="AN77" s="202"/>
      <c r="AO77" s="203"/>
      <c r="AP77" s="203"/>
      <c r="AQ77" s="203"/>
      <c r="AR77" s="203"/>
      <c r="AS77" s="203"/>
      <c r="AT77" s="203"/>
      <c r="AU77" s="203"/>
      <c r="AV77" s="203"/>
      <c r="AW77" s="203"/>
      <c r="AX77" s="203"/>
      <c r="AY77" s="204"/>
      <c r="AZ77" s="202"/>
      <c r="BA77" s="203"/>
      <c r="BB77" s="203"/>
      <c r="BC77" s="203"/>
      <c r="BD77" s="203"/>
      <c r="BE77" s="203"/>
      <c r="BF77" s="203"/>
      <c r="BG77" s="203"/>
      <c r="BH77" s="203"/>
      <c r="BI77" s="203"/>
      <c r="BJ77" s="203"/>
      <c r="BK77" s="204"/>
      <c r="BL77" s="202"/>
      <c r="BM77" s="203"/>
      <c r="BN77" s="203"/>
      <c r="BO77" s="203"/>
      <c r="BP77" s="203"/>
      <c r="BQ77" s="203"/>
      <c r="BR77" s="203"/>
      <c r="BS77" s="203"/>
      <c r="BT77" s="203"/>
      <c r="BU77" s="203"/>
      <c r="BV77" s="203"/>
      <c r="BW77" s="204"/>
      <c r="BX77" s="202"/>
      <c r="BY77" s="203"/>
      <c r="BZ77" s="203"/>
      <c r="CA77" s="203"/>
      <c r="CB77" s="203"/>
      <c r="CC77" s="203"/>
      <c r="CD77" s="203"/>
      <c r="CE77" s="203"/>
      <c r="CF77" s="203"/>
      <c r="CG77" s="203"/>
      <c r="CH77" s="203"/>
      <c r="CI77" s="204"/>
      <c r="CJ77" s="202"/>
      <c r="CK77" s="203"/>
      <c r="CL77" s="203"/>
      <c r="CM77" s="203"/>
      <c r="CN77" s="203"/>
      <c r="CO77" s="203"/>
      <c r="CP77" s="203"/>
      <c r="CQ77" s="203"/>
      <c r="CR77" s="203"/>
      <c r="CS77" s="203"/>
      <c r="CT77" s="203"/>
      <c r="CU77" s="204"/>
      <c r="CV77" s="202"/>
      <c r="CW77" s="203"/>
      <c r="CX77" s="203"/>
      <c r="CY77" s="203"/>
      <c r="CZ77" s="203"/>
      <c r="DA77" s="203"/>
      <c r="DB77" s="203"/>
      <c r="DC77" s="203"/>
      <c r="DD77" s="203"/>
      <c r="DE77" s="203"/>
      <c r="DF77" s="203"/>
      <c r="DG77" s="204"/>
      <c r="DH77" s="202"/>
      <c r="DI77" s="203"/>
      <c r="DJ77" s="203"/>
      <c r="DK77" s="203"/>
      <c r="DL77" s="203"/>
      <c r="DM77" s="203"/>
      <c r="DN77" s="203"/>
      <c r="DO77" s="203"/>
      <c r="DP77" s="203"/>
      <c r="DQ77" s="203"/>
      <c r="DR77" s="203"/>
      <c r="DS77" s="204"/>
      <c r="DT77" s="202"/>
      <c r="DU77" s="203"/>
      <c r="DV77" s="203"/>
      <c r="DW77" s="203"/>
      <c r="DX77" s="203"/>
      <c r="DY77" s="203"/>
      <c r="DZ77" s="203"/>
      <c r="EA77" s="203"/>
      <c r="EB77" s="203"/>
      <c r="EC77" s="203"/>
      <c r="ED77" s="203"/>
      <c r="EE77" s="204"/>
      <c r="EF77" s="202"/>
      <c r="EG77" s="203"/>
      <c r="EH77" s="203"/>
      <c r="EI77" s="203"/>
      <c r="EJ77" s="203"/>
      <c r="EK77" s="203"/>
      <c r="EL77" s="203"/>
      <c r="EM77" s="203"/>
      <c r="EN77" s="203"/>
      <c r="EO77" s="203"/>
      <c r="EP77" s="203"/>
      <c r="EQ77" s="204"/>
    </row>
    <row r="78" hidden="1">
      <c r="A78" s="187"/>
      <c r="B78" s="187"/>
      <c r="C78" s="187"/>
      <c r="D78" s="205"/>
      <c r="E78" s="206"/>
      <c r="F78" s="207"/>
      <c r="G78" s="207"/>
      <c r="H78" s="207"/>
      <c r="I78" s="207"/>
      <c r="J78" s="206"/>
      <c r="K78" s="206"/>
      <c r="L78" s="206"/>
      <c r="M78" s="206"/>
      <c r="N78" s="206"/>
      <c r="O78" s="208"/>
      <c r="P78" s="205"/>
      <c r="Q78" s="206"/>
      <c r="R78" s="207"/>
      <c r="S78" s="207"/>
      <c r="T78" s="207"/>
      <c r="U78" s="207"/>
      <c r="V78" s="206"/>
      <c r="W78" s="206"/>
      <c r="X78" s="206"/>
      <c r="Y78" s="206"/>
      <c r="Z78" s="206"/>
      <c r="AA78" s="208"/>
      <c r="AB78" s="205"/>
      <c r="AC78" s="206"/>
      <c r="AD78" s="207"/>
      <c r="AE78" s="207"/>
      <c r="AF78" s="207"/>
      <c r="AG78" s="207"/>
      <c r="AH78" s="206"/>
      <c r="AI78" s="206"/>
      <c r="AJ78" s="206"/>
      <c r="AK78" s="206"/>
      <c r="AL78" s="206"/>
      <c r="AM78" s="208"/>
      <c r="AN78" s="205"/>
      <c r="AO78" s="206"/>
      <c r="AP78" s="207"/>
      <c r="AQ78" s="207"/>
      <c r="AR78" s="207"/>
      <c r="AS78" s="207"/>
      <c r="AT78" s="206"/>
      <c r="AU78" s="206"/>
      <c r="AV78" s="206"/>
      <c r="AW78" s="206"/>
      <c r="AX78" s="206"/>
      <c r="AY78" s="208"/>
      <c r="AZ78" s="205"/>
      <c r="BA78" s="206"/>
      <c r="BB78" s="207"/>
      <c r="BC78" s="207"/>
      <c r="BD78" s="207"/>
      <c r="BE78" s="207"/>
      <c r="BF78" s="206"/>
      <c r="BG78" s="206"/>
      <c r="BH78" s="206"/>
      <c r="BI78" s="206"/>
      <c r="BJ78" s="206"/>
      <c r="BK78" s="208"/>
      <c r="BL78" s="205"/>
      <c r="BM78" s="206"/>
      <c r="BN78" s="207"/>
      <c r="BO78" s="207"/>
      <c r="BP78" s="207"/>
      <c r="BQ78" s="207"/>
      <c r="BR78" s="206"/>
      <c r="BS78" s="206"/>
      <c r="BT78" s="206"/>
      <c r="BU78" s="206"/>
      <c r="BV78" s="206"/>
      <c r="BW78" s="208"/>
      <c r="BX78" s="205"/>
      <c r="BY78" s="206"/>
      <c r="BZ78" s="207"/>
      <c r="CA78" s="207"/>
      <c r="CB78" s="207"/>
      <c r="CC78" s="207"/>
      <c r="CD78" s="206"/>
      <c r="CE78" s="206"/>
      <c r="CF78" s="206"/>
      <c r="CG78" s="206"/>
      <c r="CH78" s="206"/>
      <c r="CI78" s="208"/>
      <c r="CJ78" s="205"/>
      <c r="CK78" s="206"/>
      <c r="CL78" s="207"/>
      <c r="CM78" s="207"/>
      <c r="CN78" s="207"/>
      <c r="CO78" s="207"/>
      <c r="CP78" s="206"/>
      <c r="CQ78" s="206"/>
      <c r="CR78" s="206"/>
      <c r="CS78" s="206"/>
      <c r="CT78" s="206"/>
      <c r="CU78" s="208"/>
      <c r="CV78" s="205"/>
      <c r="CW78" s="206"/>
      <c r="CX78" s="207"/>
      <c r="CY78" s="207"/>
      <c r="CZ78" s="207"/>
      <c r="DA78" s="207"/>
      <c r="DB78" s="206"/>
      <c r="DC78" s="206"/>
      <c r="DD78" s="206"/>
      <c r="DE78" s="206"/>
      <c r="DF78" s="206"/>
      <c r="DG78" s="208"/>
      <c r="DH78" s="205"/>
      <c r="DI78" s="206"/>
      <c r="DJ78" s="207"/>
      <c r="DK78" s="207"/>
      <c r="DL78" s="207"/>
      <c r="DM78" s="207"/>
      <c r="DN78" s="206"/>
      <c r="DO78" s="206"/>
      <c r="DP78" s="206"/>
      <c r="DQ78" s="206"/>
      <c r="DR78" s="206"/>
      <c r="DS78" s="208"/>
      <c r="DT78" s="205"/>
      <c r="DU78" s="206"/>
      <c r="DV78" s="207"/>
      <c r="DW78" s="207"/>
      <c r="DX78" s="207"/>
      <c r="DY78" s="207"/>
      <c r="DZ78" s="206"/>
      <c r="EA78" s="206"/>
      <c r="EB78" s="206"/>
      <c r="EC78" s="206"/>
      <c r="ED78" s="206"/>
      <c r="EE78" s="208"/>
      <c r="EF78" s="205"/>
      <c r="EG78" s="206"/>
      <c r="EH78" s="207"/>
      <c r="EI78" s="207"/>
      <c r="EJ78" s="207"/>
      <c r="EK78" s="207"/>
      <c r="EL78" s="206"/>
      <c r="EM78" s="206"/>
      <c r="EN78" s="206"/>
      <c r="EO78" s="206"/>
      <c r="EP78" s="206"/>
      <c r="EQ78" s="208"/>
    </row>
    <row r="79" hidden="1">
      <c r="A79" s="187"/>
      <c r="B79" s="187"/>
      <c r="C79" s="187"/>
      <c r="D79" s="186"/>
      <c r="E79" s="187"/>
      <c r="F79" s="187"/>
      <c r="G79" s="187"/>
      <c r="H79" s="187"/>
      <c r="I79" s="187"/>
      <c r="J79" s="187"/>
      <c r="K79" s="196"/>
      <c r="L79" s="187"/>
      <c r="M79" s="187"/>
      <c r="N79" s="187"/>
      <c r="O79" s="188"/>
      <c r="P79" s="186"/>
      <c r="Q79" s="187"/>
      <c r="R79" s="187"/>
      <c r="S79" s="187"/>
      <c r="T79" s="187"/>
      <c r="U79" s="187"/>
      <c r="V79" s="187"/>
      <c r="W79" s="196"/>
      <c r="X79" s="187"/>
      <c r="Y79" s="187"/>
      <c r="Z79" s="187"/>
      <c r="AA79" s="188"/>
      <c r="AB79" s="186"/>
      <c r="AC79" s="187"/>
      <c r="AD79" s="187"/>
      <c r="AE79" s="187"/>
      <c r="AF79" s="187"/>
      <c r="AG79" s="187"/>
      <c r="AH79" s="187"/>
      <c r="AI79" s="196"/>
      <c r="AJ79" s="187"/>
      <c r="AK79" s="187"/>
      <c r="AL79" s="187"/>
      <c r="AM79" s="188"/>
      <c r="AN79" s="186"/>
      <c r="AO79" s="187"/>
      <c r="AP79" s="187"/>
      <c r="AQ79" s="187"/>
      <c r="AR79" s="187"/>
      <c r="AS79" s="187"/>
      <c r="AT79" s="187"/>
      <c r="AU79" s="196"/>
      <c r="AV79" s="187"/>
      <c r="AW79" s="187"/>
      <c r="AX79" s="187"/>
      <c r="AY79" s="188"/>
      <c r="AZ79" s="186"/>
      <c r="BA79" s="187"/>
      <c r="BB79" s="187"/>
      <c r="BC79" s="187"/>
      <c r="BD79" s="187"/>
      <c r="BE79" s="187"/>
      <c r="BF79" s="187"/>
      <c r="BG79" s="196"/>
      <c r="BH79" s="187"/>
      <c r="BI79" s="187"/>
      <c r="BJ79" s="187"/>
      <c r="BK79" s="188"/>
      <c r="BL79" s="186"/>
      <c r="BM79" s="187"/>
      <c r="BN79" s="187"/>
      <c r="BO79" s="187"/>
      <c r="BP79" s="187"/>
      <c r="BQ79" s="187"/>
      <c r="BR79" s="187"/>
      <c r="BS79" s="196"/>
      <c r="BT79" s="187"/>
      <c r="BU79" s="187"/>
      <c r="BV79" s="187"/>
      <c r="BW79" s="188"/>
      <c r="BX79" s="186"/>
      <c r="BY79" s="187"/>
      <c r="BZ79" s="187"/>
      <c r="CA79" s="187"/>
      <c r="CB79" s="187"/>
      <c r="CC79" s="187"/>
      <c r="CD79" s="187"/>
      <c r="CE79" s="196"/>
      <c r="CF79" s="187"/>
      <c r="CG79" s="187"/>
      <c r="CH79" s="187"/>
      <c r="CI79" s="188"/>
      <c r="CJ79" s="186"/>
      <c r="CK79" s="187"/>
      <c r="CL79" s="187"/>
      <c r="CM79" s="187"/>
      <c r="CN79" s="187"/>
      <c r="CO79" s="187"/>
      <c r="CP79" s="187"/>
      <c r="CQ79" s="196"/>
      <c r="CR79" s="187"/>
      <c r="CS79" s="187"/>
      <c r="CT79" s="187"/>
      <c r="CU79" s="188"/>
      <c r="CV79" s="186"/>
      <c r="CW79" s="187"/>
      <c r="CX79" s="187"/>
      <c r="CY79" s="187"/>
      <c r="CZ79" s="187"/>
      <c r="DA79" s="187"/>
      <c r="DB79" s="187"/>
      <c r="DC79" s="196"/>
      <c r="DD79" s="187"/>
      <c r="DE79" s="187"/>
      <c r="DF79" s="187"/>
      <c r="DG79" s="188"/>
      <c r="DH79" s="186"/>
      <c r="DI79" s="187"/>
      <c r="DJ79" s="187"/>
      <c r="DK79" s="187"/>
      <c r="DL79" s="187"/>
      <c r="DM79" s="187"/>
      <c r="DN79" s="187"/>
      <c r="DO79" s="196"/>
      <c r="DP79" s="187"/>
      <c r="DQ79" s="187"/>
      <c r="DR79" s="187"/>
      <c r="DS79" s="188"/>
      <c r="DT79" s="186"/>
      <c r="DU79" s="187"/>
      <c r="DV79" s="187"/>
      <c r="DW79" s="187"/>
      <c r="DX79" s="187"/>
      <c r="DY79" s="187"/>
      <c r="DZ79" s="187"/>
      <c r="EA79" s="196"/>
      <c r="EB79" s="187"/>
      <c r="EC79" s="187"/>
      <c r="ED79" s="187"/>
      <c r="EE79" s="188"/>
      <c r="EF79" s="186"/>
      <c r="EG79" s="187"/>
      <c r="EH79" s="187"/>
      <c r="EI79" s="187"/>
      <c r="EJ79" s="187"/>
      <c r="EK79" s="187"/>
      <c r="EL79" s="187"/>
      <c r="EM79" s="196"/>
      <c r="EN79" s="187"/>
      <c r="EO79" s="187"/>
      <c r="EP79" s="187"/>
      <c r="EQ79" s="188"/>
    </row>
    <row r="80" hidden="1">
      <c r="A80" s="187"/>
      <c r="B80" s="187"/>
      <c r="C80" s="187"/>
      <c r="D80" s="186"/>
      <c r="E80" s="187"/>
      <c r="F80" s="187"/>
      <c r="G80" s="187"/>
      <c r="H80" s="187"/>
      <c r="I80" s="187"/>
      <c r="J80" s="187"/>
      <c r="K80" s="196"/>
      <c r="L80" s="187"/>
      <c r="M80" s="187"/>
      <c r="N80" s="187"/>
      <c r="O80" s="188"/>
      <c r="P80" s="186"/>
      <c r="Q80" s="187"/>
      <c r="R80" s="187"/>
      <c r="S80" s="187"/>
      <c r="T80" s="187"/>
      <c r="U80" s="187"/>
      <c r="V80" s="187"/>
      <c r="W80" s="196"/>
      <c r="X80" s="187"/>
      <c r="Y80" s="187"/>
      <c r="Z80" s="187"/>
      <c r="AA80" s="188"/>
      <c r="AB80" s="186"/>
      <c r="AC80" s="187"/>
      <c r="AD80" s="187"/>
      <c r="AE80" s="187"/>
      <c r="AF80" s="187"/>
      <c r="AG80" s="187"/>
      <c r="AH80" s="187"/>
      <c r="AI80" s="196"/>
      <c r="AJ80" s="187"/>
      <c r="AK80" s="187"/>
      <c r="AL80" s="187"/>
      <c r="AM80" s="188"/>
      <c r="AN80" s="186"/>
      <c r="AO80" s="187"/>
      <c r="AP80" s="187"/>
      <c r="AQ80" s="187"/>
      <c r="AR80" s="187"/>
      <c r="AS80" s="187"/>
      <c r="AT80" s="187"/>
      <c r="AU80" s="196"/>
      <c r="AV80" s="187"/>
      <c r="AW80" s="187"/>
      <c r="AX80" s="187"/>
      <c r="AY80" s="188"/>
      <c r="AZ80" s="186"/>
      <c r="BA80" s="187"/>
      <c r="BB80" s="187"/>
      <c r="BC80" s="187"/>
      <c r="BD80" s="187"/>
      <c r="BE80" s="187"/>
      <c r="BF80" s="187"/>
      <c r="BG80" s="196"/>
      <c r="BH80" s="187"/>
      <c r="BI80" s="187"/>
      <c r="BJ80" s="187"/>
      <c r="BK80" s="188"/>
      <c r="BL80" s="186"/>
      <c r="BM80" s="187"/>
      <c r="BN80" s="187"/>
      <c r="BO80" s="187"/>
      <c r="BP80" s="187"/>
      <c r="BQ80" s="187"/>
      <c r="BR80" s="187"/>
      <c r="BS80" s="196"/>
      <c r="BT80" s="187"/>
      <c r="BU80" s="187"/>
      <c r="BV80" s="187"/>
      <c r="BW80" s="188"/>
      <c r="BX80" s="186"/>
      <c r="BY80" s="187"/>
      <c r="BZ80" s="187"/>
      <c r="CA80" s="187"/>
      <c r="CB80" s="187"/>
      <c r="CC80" s="187"/>
      <c r="CD80" s="187"/>
      <c r="CE80" s="196"/>
      <c r="CF80" s="187"/>
      <c r="CG80" s="187"/>
      <c r="CH80" s="187"/>
      <c r="CI80" s="188"/>
      <c r="CJ80" s="186"/>
      <c r="CK80" s="187"/>
      <c r="CL80" s="187"/>
      <c r="CM80" s="187"/>
      <c r="CN80" s="187"/>
      <c r="CO80" s="187"/>
      <c r="CP80" s="187"/>
      <c r="CQ80" s="196"/>
      <c r="CR80" s="187"/>
      <c r="CS80" s="187"/>
      <c r="CT80" s="187"/>
      <c r="CU80" s="188"/>
      <c r="CV80" s="186"/>
      <c r="CW80" s="187"/>
      <c r="CX80" s="187"/>
      <c r="CY80" s="187"/>
      <c r="CZ80" s="187"/>
      <c r="DA80" s="187"/>
      <c r="DB80" s="187"/>
      <c r="DC80" s="196"/>
      <c r="DD80" s="187"/>
      <c r="DE80" s="187"/>
      <c r="DF80" s="187"/>
      <c r="DG80" s="188"/>
      <c r="DH80" s="186"/>
      <c r="DI80" s="187"/>
      <c r="DJ80" s="187"/>
      <c r="DK80" s="187"/>
      <c r="DL80" s="187"/>
      <c r="DM80" s="187"/>
      <c r="DN80" s="187"/>
      <c r="DO80" s="196"/>
      <c r="DP80" s="187"/>
      <c r="DQ80" s="187"/>
      <c r="DR80" s="187"/>
      <c r="DS80" s="188"/>
      <c r="DT80" s="186"/>
      <c r="DU80" s="187"/>
      <c r="DV80" s="187"/>
      <c r="DW80" s="187"/>
      <c r="DX80" s="187"/>
      <c r="DY80" s="187"/>
      <c r="DZ80" s="187"/>
      <c r="EA80" s="196"/>
      <c r="EB80" s="187"/>
      <c r="EC80" s="187"/>
      <c r="ED80" s="187"/>
      <c r="EE80" s="188"/>
      <c r="EF80" s="186"/>
      <c r="EG80" s="187"/>
      <c r="EH80" s="187"/>
      <c r="EI80" s="187"/>
      <c r="EJ80" s="187"/>
      <c r="EK80" s="187"/>
      <c r="EL80" s="187"/>
      <c r="EM80" s="196"/>
      <c r="EN80" s="187"/>
      <c r="EO80" s="187"/>
      <c r="EP80" s="187"/>
      <c r="EQ80" s="188"/>
    </row>
    <row r="81" hidden="1">
      <c r="A81" s="187"/>
      <c r="B81" s="187"/>
      <c r="C81" s="187"/>
      <c r="D81" s="186"/>
      <c r="E81" s="187"/>
      <c r="F81" s="187"/>
      <c r="G81" s="187"/>
      <c r="H81" s="187"/>
      <c r="I81" s="187"/>
      <c r="J81" s="187"/>
      <c r="K81" s="196"/>
      <c r="L81" s="187"/>
      <c r="M81" s="187"/>
      <c r="N81" s="187"/>
      <c r="O81" s="188"/>
      <c r="P81" s="186"/>
      <c r="Q81" s="187"/>
      <c r="R81" s="187"/>
      <c r="S81" s="187"/>
      <c r="T81" s="187"/>
      <c r="U81" s="187"/>
      <c r="V81" s="187"/>
      <c r="W81" s="196"/>
      <c r="X81" s="187"/>
      <c r="Y81" s="187"/>
      <c r="Z81" s="187"/>
      <c r="AA81" s="188"/>
      <c r="AB81" s="186"/>
      <c r="AC81" s="187"/>
      <c r="AD81" s="187"/>
      <c r="AE81" s="187"/>
      <c r="AF81" s="187"/>
      <c r="AG81" s="187"/>
      <c r="AH81" s="187"/>
      <c r="AI81" s="196"/>
      <c r="AJ81" s="187"/>
      <c r="AK81" s="187"/>
      <c r="AL81" s="187"/>
      <c r="AM81" s="188"/>
      <c r="AN81" s="186"/>
      <c r="AO81" s="187"/>
      <c r="AP81" s="187"/>
      <c r="AQ81" s="187"/>
      <c r="AR81" s="187"/>
      <c r="AS81" s="187"/>
      <c r="AT81" s="187"/>
      <c r="AU81" s="196"/>
      <c r="AV81" s="187"/>
      <c r="AW81" s="187"/>
      <c r="AX81" s="187"/>
      <c r="AY81" s="188"/>
      <c r="AZ81" s="186"/>
      <c r="BA81" s="187"/>
      <c r="BB81" s="187"/>
      <c r="BC81" s="187"/>
      <c r="BD81" s="187"/>
      <c r="BE81" s="187"/>
      <c r="BF81" s="187"/>
      <c r="BG81" s="196"/>
      <c r="BH81" s="187"/>
      <c r="BI81" s="187"/>
      <c r="BJ81" s="187"/>
      <c r="BK81" s="188"/>
      <c r="BL81" s="186"/>
      <c r="BM81" s="187"/>
      <c r="BN81" s="187"/>
      <c r="BO81" s="187"/>
      <c r="BP81" s="187"/>
      <c r="BQ81" s="187"/>
      <c r="BR81" s="187"/>
      <c r="BS81" s="196"/>
      <c r="BT81" s="187"/>
      <c r="BU81" s="187"/>
      <c r="BV81" s="187"/>
      <c r="BW81" s="188"/>
      <c r="BX81" s="186"/>
      <c r="BY81" s="187"/>
      <c r="BZ81" s="187"/>
      <c r="CA81" s="187"/>
      <c r="CB81" s="187"/>
      <c r="CC81" s="187"/>
      <c r="CD81" s="187"/>
      <c r="CE81" s="196"/>
      <c r="CF81" s="187"/>
      <c r="CG81" s="187"/>
      <c r="CH81" s="187"/>
      <c r="CI81" s="188"/>
      <c r="CJ81" s="186"/>
      <c r="CK81" s="187"/>
      <c r="CL81" s="187"/>
      <c r="CM81" s="187"/>
      <c r="CN81" s="187"/>
      <c r="CO81" s="187"/>
      <c r="CP81" s="187"/>
      <c r="CQ81" s="196"/>
      <c r="CR81" s="187"/>
      <c r="CS81" s="187"/>
      <c r="CT81" s="187"/>
      <c r="CU81" s="188"/>
      <c r="CV81" s="186"/>
      <c r="CW81" s="187"/>
      <c r="CX81" s="187"/>
      <c r="CY81" s="187"/>
      <c r="CZ81" s="187"/>
      <c r="DA81" s="187"/>
      <c r="DB81" s="187"/>
      <c r="DC81" s="196"/>
      <c r="DD81" s="187"/>
      <c r="DE81" s="187"/>
      <c r="DF81" s="187"/>
      <c r="DG81" s="188"/>
      <c r="DH81" s="186"/>
      <c r="DI81" s="187"/>
      <c r="DJ81" s="187"/>
      <c r="DK81" s="187"/>
      <c r="DL81" s="187"/>
      <c r="DM81" s="187"/>
      <c r="DN81" s="187"/>
      <c r="DO81" s="196"/>
      <c r="DP81" s="187"/>
      <c r="DQ81" s="187"/>
      <c r="DR81" s="187"/>
      <c r="DS81" s="188"/>
      <c r="DT81" s="186"/>
      <c r="DU81" s="187"/>
      <c r="DV81" s="187"/>
      <c r="DW81" s="187"/>
      <c r="DX81" s="187"/>
      <c r="DY81" s="187"/>
      <c r="DZ81" s="187"/>
      <c r="EA81" s="196"/>
      <c r="EB81" s="187"/>
      <c r="EC81" s="187"/>
      <c r="ED81" s="187"/>
      <c r="EE81" s="188"/>
      <c r="EF81" s="186"/>
      <c r="EG81" s="187"/>
      <c r="EH81" s="187"/>
      <c r="EI81" s="187"/>
      <c r="EJ81" s="187"/>
      <c r="EK81" s="187"/>
      <c r="EL81" s="187"/>
      <c r="EM81" s="196"/>
      <c r="EN81" s="187"/>
      <c r="EO81" s="187"/>
      <c r="EP81" s="187"/>
      <c r="EQ81" s="188"/>
    </row>
    <row r="82" hidden="1">
      <c r="A82" s="187"/>
      <c r="B82" s="187"/>
      <c r="C82" s="187"/>
      <c r="D82" s="186"/>
      <c r="E82" s="187"/>
      <c r="F82" s="187"/>
      <c r="G82" s="187"/>
      <c r="H82" s="187"/>
      <c r="I82" s="187"/>
      <c r="J82" s="187"/>
      <c r="K82" s="196"/>
      <c r="L82" s="187"/>
      <c r="M82" s="187"/>
      <c r="N82" s="187"/>
      <c r="O82" s="188"/>
      <c r="P82" s="186"/>
      <c r="Q82" s="187"/>
      <c r="R82" s="187"/>
      <c r="S82" s="187"/>
      <c r="T82" s="187"/>
      <c r="U82" s="187"/>
      <c r="V82" s="187"/>
      <c r="W82" s="196"/>
      <c r="X82" s="187"/>
      <c r="Y82" s="187"/>
      <c r="Z82" s="187"/>
      <c r="AA82" s="188"/>
      <c r="AB82" s="186"/>
      <c r="AC82" s="187"/>
      <c r="AD82" s="187"/>
      <c r="AE82" s="187"/>
      <c r="AF82" s="187"/>
      <c r="AG82" s="187"/>
      <c r="AH82" s="187"/>
      <c r="AI82" s="196"/>
      <c r="AJ82" s="187"/>
      <c r="AK82" s="187"/>
      <c r="AL82" s="187"/>
      <c r="AM82" s="188"/>
      <c r="AN82" s="186"/>
      <c r="AO82" s="187"/>
      <c r="AP82" s="187"/>
      <c r="AQ82" s="187"/>
      <c r="AR82" s="187"/>
      <c r="AS82" s="187"/>
      <c r="AT82" s="187"/>
      <c r="AU82" s="196"/>
      <c r="AV82" s="187"/>
      <c r="AW82" s="187"/>
      <c r="AX82" s="187"/>
      <c r="AY82" s="188"/>
      <c r="AZ82" s="186"/>
      <c r="BA82" s="187"/>
      <c r="BB82" s="187"/>
      <c r="BC82" s="187"/>
      <c r="BD82" s="187"/>
      <c r="BE82" s="187"/>
      <c r="BF82" s="187"/>
      <c r="BG82" s="196"/>
      <c r="BH82" s="187"/>
      <c r="BI82" s="187"/>
      <c r="BJ82" s="187"/>
      <c r="BK82" s="188"/>
      <c r="BL82" s="186"/>
      <c r="BM82" s="187"/>
      <c r="BN82" s="187"/>
      <c r="BO82" s="187"/>
      <c r="BP82" s="187"/>
      <c r="BQ82" s="187"/>
      <c r="BR82" s="187"/>
      <c r="BS82" s="196"/>
      <c r="BT82" s="187"/>
      <c r="BU82" s="187"/>
      <c r="BV82" s="187"/>
      <c r="BW82" s="188"/>
      <c r="BX82" s="186"/>
      <c r="BY82" s="187"/>
      <c r="BZ82" s="187"/>
      <c r="CA82" s="187"/>
      <c r="CB82" s="187"/>
      <c r="CC82" s="187"/>
      <c r="CD82" s="187"/>
      <c r="CE82" s="196"/>
      <c r="CF82" s="187"/>
      <c r="CG82" s="187"/>
      <c r="CH82" s="187"/>
      <c r="CI82" s="188"/>
      <c r="CJ82" s="186"/>
      <c r="CK82" s="187"/>
      <c r="CL82" s="187"/>
      <c r="CM82" s="187"/>
      <c r="CN82" s="187"/>
      <c r="CO82" s="187"/>
      <c r="CP82" s="187"/>
      <c r="CQ82" s="196"/>
      <c r="CR82" s="187"/>
      <c r="CS82" s="187"/>
      <c r="CT82" s="187"/>
      <c r="CU82" s="188"/>
      <c r="CV82" s="186"/>
      <c r="CW82" s="187"/>
      <c r="CX82" s="187"/>
      <c r="CY82" s="187"/>
      <c r="CZ82" s="187"/>
      <c r="DA82" s="187"/>
      <c r="DB82" s="187"/>
      <c r="DC82" s="196"/>
      <c r="DD82" s="187"/>
      <c r="DE82" s="187"/>
      <c r="DF82" s="187"/>
      <c r="DG82" s="188"/>
      <c r="DH82" s="186"/>
      <c r="DI82" s="187"/>
      <c r="DJ82" s="187"/>
      <c r="DK82" s="187"/>
      <c r="DL82" s="187"/>
      <c r="DM82" s="187"/>
      <c r="DN82" s="187"/>
      <c r="DO82" s="196"/>
      <c r="DP82" s="187"/>
      <c r="DQ82" s="187"/>
      <c r="DR82" s="187"/>
      <c r="DS82" s="188"/>
      <c r="DT82" s="186"/>
      <c r="DU82" s="187"/>
      <c r="DV82" s="187"/>
      <c r="DW82" s="187"/>
      <c r="DX82" s="187"/>
      <c r="DY82" s="187"/>
      <c r="DZ82" s="187"/>
      <c r="EA82" s="196"/>
      <c r="EB82" s="187"/>
      <c r="EC82" s="187"/>
      <c r="ED82" s="187"/>
      <c r="EE82" s="188"/>
      <c r="EF82" s="186"/>
      <c r="EG82" s="187"/>
      <c r="EH82" s="187"/>
      <c r="EI82" s="187"/>
      <c r="EJ82" s="187"/>
      <c r="EK82" s="187"/>
      <c r="EL82" s="187"/>
      <c r="EM82" s="196"/>
      <c r="EN82" s="187"/>
      <c r="EO82" s="187"/>
      <c r="EP82" s="187"/>
      <c r="EQ82" s="188"/>
    </row>
    <row r="83" hidden="1">
      <c r="A83" s="196"/>
      <c r="B83" s="196"/>
      <c r="C83" s="196"/>
      <c r="D83" s="186"/>
      <c r="E83" s="187"/>
      <c r="F83" s="187"/>
      <c r="G83" s="187"/>
      <c r="H83" s="187"/>
      <c r="I83" s="187"/>
      <c r="J83" s="187"/>
      <c r="K83" s="196"/>
      <c r="L83" s="187"/>
      <c r="M83" s="187"/>
      <c r="N83" s="187"/>
      <c r="O83" s="188"/>
      <c r="P83" s="186">
        <v>1.0</v>
      </c>
      <c r="Q83" s="187">
        <v>12.0</v>
      </c>
      <c r="R83" s="187"/>
      <c r="S83" s="187"/>
      <c r="T83" s="187"/>
      <c r="U83" s="187"/>
      <c r="V83" s="187"/>
      <c r="W83" s="196"/>
      <c r="X83" s="187"/>
      <c r="Y83" s="187"/>
      <c r="Z83" s="187"/>
      <c r="AA83" s="188"/>
      <c r="AB83" s="186"/>
      <c r="AC83" s="187"/>
      <c r="AD83" s="187"/>
      <c r="AE83" s="187"/>
      <c r="AF83" s="187"/>
      <c r="AG83" s="187"/>
      <c r="AH83" s="187"/>
      <c r="AI83" s="196"/>
      <c r="AJ83" s="187"/>
      <c r="AK83" s="187"/>
      <c r="AL83" s="187"/>
      <c r="AM83" s="188"/>
      <c r="AN83" s="186"/>
      <c r="AO83" s="187"/>
      <c r="AP83" s="187"/>
      <c r="AQ83" s="187"/>
      <c r="AR83" s="187"/>
      <c r="AS83" s="187"/>
      <c r="AT83" s="187"/>
      <c r="AU83" s="196"/>
      <c r="AV83" s="187"/>
      <c r="AW83" s="187"/>
      <c r="AX83" s="187"/>
      <c r="AY83" s="188"/>
      <c r="AZ83" s="186"/>
      <c r="BA83" s="187"/>
      <c r="BB83" s="187"/>
      <c r="BC83" s="187"/>
      <c r="BD83" s="187"/>
      <c r="BE83" s="187"/>
      <c r="BF83" s="187"/>
      <c r="BG83" s="196"/>
      <c r="BH83" s="187"/>
      <c r="BI83" s="187"/>
      <c r="BJ83" s="187"/>
      <c r="BK83" s="188"/>
      <c r="BL83" s="186"/>
      <c r="BM83" s="187"/>
      <c r="BN83" s="187"/>
      <c r="BO83" s="187"/>
      <c r="BP83" s="187"/>
      <c r="BQ83" s="187"/>
      <c r="BR83" s="187"/>
      <c r="BS83" s="196"/>
      <c r="BT83" s="187"/>
      <c r="BU83" s="187"/>
      <c r="BV83" s="187"/>
      <c r="BW83" s="188"/>
      <c r="BX83" s="186"/>
      <c r="BY83" s="187"/>
      <c r="BZ83" s="187"/>
      <c r="CA83" s="187"/>
      <c r="CB83" s="187"/>
      <c r="CC83" s="187"/>
      <c r="CD83" s="187"/>
      <c r="CE83" s="196"/>
      <c r="CF83" s="187"/>
      <c r="CG83" s="187"/>
      <c r="CH83" s="187"/>
      <c r="CI83" s="188"/>
      <c r="CJ83" s="186"/>
      <c r="CK83" s="187"/>
      <c r="CL83" s="187"/>
      <c r="CM83" s="187"/>
      <c r="CN83" s="187"/>
      <c r="CO83" s="187"/>
      <c r="CP83" s="187"/>
      <c r="CQ83" s="196"/>
      <c r="CR83" s="187"/>
      <c r="CS83" s="187"/>
      <c r="CT83" s="187"/>
      <c r="CU83" s="188"/>
      <c r="CV83" s="186"/>
      <c r="CW83" s="187"/>
      <c r="CX83" s="187"/>
      <c r="CY83" s="187"/>
      <c r="CZ83" s="187"/>
      <c r="DA83" s="187"/>
      <c r="DB83" s="187"/>
      <c r="DC83" s="196"/>
      <c r="DD83" s="187"/>
      <c r="DE83" s="187"/>
      <c r="DF83" s="187"/>
      <c r="DG83" s="188"/>
      <c r="DH83" s="186"/>
      <c r="DI83" s="187"/>
      <c r="DJ83" s="187"/>
      <c r="DK83" s="187"/>
      <c r="DL83" s="187"/>
      <c r="DM83" s="187"/>
      <c r="DN83" s="187"/>
      <c r="DO83" s="196"/>
      <c r="DP83" s="187"/>
      <c r="DQ83" s="187"/>
      <c r="DR83" s="187"/>
      <c r="DS83" s="188"/>
      <c r="DT83" s="186"/>
      <c r="DU83" s="187"/>
      <c r="DV83" s="187"/>
      <c r="DW83" s="187"/>
      <c r="DX83" s="187"/>
      <c r="DY83" s="187"/>
      <c r="DZ83" s="187"/>
      <c r="EA83" s="196"/>
      <c r="EB83" s="187"/>
      <c r="EC83" s="187"/>
      <c r="ED83" s="187"/>
      <c r="EE83" s="188"/>
      <c r="EF83" s="186"/>
      <c r="EG83" s="187"/>
      <c r="EH83" s="187"/>
      <c r="EI83" s="187"/>
      <c r="EJ83" s="187"/>
      <c r="EK83" s="187"/>
      <c r="EL83" s="187"/>
      <c r="EM83" s="196"/>
      <c r="EN83" s="187"/>
      <c r="EO83" s="187"/>
      <c r="EP83" s="187"/>
      <c r="EQ83" s="188"/>
    </row>
    <row r="84" hidden="1">
      <c r="A84" s="196"/>
      <c r="B84" s="196"/>
      <c r="C84" s="196"/>
      <c r="D84" s="186"/>
      <c r="E84" s="187"/>
      <c r="F84" s="187"/>
      <c r="G84" s="187"/>
      <c r="H84" s="187"/>
      <c r="I84" s="187"/>
      <c r="J84" s="187"/>
      <c r="K84" s="196"/>
      <c r="L84" s="187"/>
      <c r="M84" s="187"/>
      <c r="N84" s="187"/>
      <c r="O84" s="188"/>
      <c r="P84" s="186">
        <v>2.0</v>
      </c>
      <c r="Q84" s="187">
        <v>9.0</v>
      </c>
      <c r="R84" s="187"/>
      <c r="S84" s="187"/>
      <c r="T84" s="187"/>
      <c r="U84" s="187"/>
      <c r="V84" s="187"/>
      <c r="W84" s="196"/>
      <c r="X84" s="187"/>
      <c r="Y84" s="187"/>
      <c r="Z84" s="187"/>
      <c r="AA84" s="188"/>
      <c r="AB84" s="186"/>
      <c r="AC84" s="187"/>
      <c r="AD84" s="187"/>
      <c r="AE84" s="187"/>
      <c r="AF84" s="187"/>
      <c r="AG84" s="187"/>
      <c r="AH84" s="187"/>
      <c r="AI84" s="196"/>
      <c r="AJ84" s="187"/>
      <c r="AK84" s="187"/>
      <c r="AL84" s="187"/>
      <c r="AM84" s="188"/>
      <c r="AN84" s="186"/>
      <c r="AO84" s="187"/>
      <c r="AP84" s="187"/>
      <c r="AQ84" s="187"/>
      <c r="AR84" s="187"/>
      <c r="AS84" s="187"/>
      <c r="AT84" s="187"/>
      <c r="AU84" s="196"/>
      <c r="AV84" s="187"/>
      <c r="AW84" s="187"/>
      <c r="AX84" s="187"/>
      <c r="AY84" s="188"/>
      <c r="AZ84" s="186"/>
      <c r="BA84" s="187"/>
      <c r="BB84" s="187"/>
      <c r="BC84" s="187"/>
      <c r="BD84" s="187"/>
      <c r="BE84" s="187"/>
      <c r="BF84" s="187"/>
      <c r="BG84" s="196"/>
      <c r="BH84" s="187"/>
      <c r="BI84" s="187"/>
      <c r="BJ84" s="187"/>
      <c r="BK84" s="188"/>
      <c r="BL84" s="186"/>
      <c r="BM84" s="187"/>
      <c r="BN84" s="187"/>
      <c r="BO84" s="187"/>
      <c r="BP84" s="187"/>
      <c r="BQ84" s="187"/>
      <c r="BR84" s="187"/>
      <c r="BS84" s="196"/>
      <c r="BT84" s="187"/>
      <c r="BU84" s="187"/>
      <c r="BV84" s="187"/>
      <c r="BW84" s="188"/>
      <c r="BX84" s="186"/>
      <c r="BY84" s="187"/>
      <c r="BZ84" s="187"/>
      <c r="CA84" s="187"/>
      <c r="CB84" s="187"/>
      <c r="CC84" s="187"/>
      <c r="CD84" s="187"/>
      <c r="CE84" s="196"/>
      <c r="CF84" s="187"/>
      <c r="CG84" s="187"/>
      <c r="CH84" s="187"/>
      <c r="CI84" s="188"/>
      <c r="CJ84" s="186"/>
      <c r="CK84" s="187"/>
      <c r="CL84" s="187"/>
      <c r="CM84" s="187"/>
      <c r="CN84" s="187"/>
      <c r="CO84" s="187"/>
      <c r="CP84" s="187"/>
      <c r="CQ84" s="196"/>
      <c r="CR84" s="187"/>
      <c r="CS84" s="187"/>
      <c r="CT84" s="187"/>
      <c r="CU84" s="188"/>
      <c r="CV84" s="186"/>
      <c r="CW84" s="187"/>
      <c r="CX84" s="187"/>
      <c r="CY84" s="187"/>
      <c r="CZ84" s="187"/>
      <c r="DA84" s="187"/>
      <c r="DB84" s="187"/>
      <c r="DC84" s="196"/>
      <c r="DD84" s="187"/>
      <c r="DE84" s="187"/>
      <c r="DF84" s="187"/>
      <c r="DG84" s="188"/>
      <c r="DH84" s="186"/>
      <c r="DI84" s="187"/>
      <c r="DJ84" s="187"/>
      <c r="DK84" s="187"/>
      <c r="DL84" s="187"/>
      <c r="DM84" s="187"/>
      <c r="DN84" s="187"/>
      <c r="DO84" s="196"/>
      <c r="DP84" s="187"/>
      <c r="DQ84" s="187"/>
      <c r="DR84" s="187"/>
      <c r="DS84" s="188"/>
      <c r="DT84" s="186"/>
      <c r="DU84" s="187"/>
      <c r="DV84" s="187"/>
      <c r="DW84" s="187"/>
      <c r="DX84" s="187"/>
      <c r="DY84" s="187"/>
      <c r="DZ84" s="187"/>
      <c r="EA84" s="196"/>
      <c r="EB84" s="187"/>
      <c r="EC84" s="187"/>
      <c r="ED84" s="187"/>
      <c r="EE84" s="188"/>
      <c r="EF84" s="186"/>
      <c r="EG84" s="187"/>
      <c r="EH84" s="187"/>
      <c r="EI84" s="187"/>
      <c r="EJ84" s="187"/>
      <c r="EK84" s="187"/>
      <c r="EL84" s="187"/>
      <c r="EM84" s="196"/>
      <c r="EN84" s="187"/>
      <c r="EO84" s="187"/>
      <c r="EP84" s="187"/>
      <c r="EQ84" s="188"/>
    </row>
    <row r="85" hidden="1">
      <c r="A85" s="196"/>
      <c r="B85" s="196"/>
      <c r="C85" s="196"/>
      <c r="D85" s="186"/>
      <c r="E85" s="187"/>
      <c r="F85" s="187"/>
      <c r="G85" s="187"/>
      <c r="H85" s="187"/>
      <c r="I85" s="187"/>
      <c r="J85" s="187"/>
      <c r="K85" s="196"/>
      <c r="L85" s="187"/>
      <c r="M85" s="187"/>
      <c r="N85" s="187"/>
      <c r="O85" s="188"/>
      <c r="P85" s="186">
        <v>3.0</v>
      </c>
      <c r="Q85" s="187">
        <v>8.0</v>
      </c>
      <c r="R85" s="187"/>
      <c r="S85" s="187"/>
      <c r="T85" s="187"/>
      <c r="U85" s="187"/>
      <c r="V85" s="187"/>
      <c r="W85" s="196"/>
      <c r="X85" s="187"/>
      <c r="Y85" s="187"/>
      <c r="Z85" s="187"/>
      <c r="AA85" s="188"/>
      <c r="AB85" s="186"/>
      <c r="AC85" s="187"/>
      <c r="AD85" s="187"/>
      <c r="AE85" s="187"/>
      <c r="AF85" s="187"/>
      <c r="AG85" s="187"/>
      <c r="AH85" s="187"/>
      <c r="AI85" s="196"/>
      <c r="AJ85" s="187"/>
      <c r="AK85" s="187"/>
      <c r="AL85" s="187"/>
      <c r="AM85" s="188"/>
      <c r="AN85" s="186"/>
      <c r="AO85" s="187"/>
      <c r="AP85" s="187"/>
      <c r="AQ85" s="187"/>
      <c r="AR85" s="187"/>
      <c r="AS85" s="187"/>
      <c r="AT85" s="187"/>
      <c r="AU85" s="196"/>
      <c r="AV85" s="187"/>
      <c r="AW85" s="187"/>
      <c r="AX85" s="187"/>
      <c r="AY85" s="188"/>
      <c r="AZ85" s="186"/>
      <c r="BA85" s="187"/>
      <c r="BB85" s="187"/>
      <c r="BC85" s="187"/>
      <c r="BD85" s="187"/>
      <c r="BE85" s="187"/>
      <c r="BF85" s="187"/>
      <c r="BG85" s="196"/>
      <c r="BH85" s="187"/>
      <c r="BI85" s="187"/>
      <c r="BJ85" s="187"/>
      <c r="BK85" s="188"/>
      <c r="BL85" s="186"/>
      <c r="BM85" s="187"/>
      <c r="BN85" s="187"/>
      <c r="BO85" s="187"/>
      <c r="BP85" s="187"/>
      <c r="BQ85" s="187"/>
      <c r="BR85" s="187"/>
      <c r="BS85" s="196"/>
      <c r="BT85" s="187"/>
      <c r="BU85" s="187"/>
      <c r="BV85" s="187"/>
      <c r="BW85" s="188"/>
      <c r="BX85" s="186"/>
      <c r="BY85" s="187"/>
      <c r="BZ85" s="187"/>
      <c r="CA85" s="187"/>
      <c r="CB85" s="187"/>
      <c r="CC85" s="187"/>
      <c r="CD85" s="187"/>
      <c r="CE85" s="196"/>
      <c r="CF85" s="187"/>
      <c r="CG85" s="187"/>
      <c r="CH85" s="187"/>
      <c r="CI85" s="188"/>
      <c r="CJ85" s="186"/>
      <c r="CK85" s="187"/>
      <c r="CL85" s="187"/>
      <c r="CM85" s="187"/>
      <c r="CN85" s="187"/>
      <c r="CO85" s="187"/>
      <c r="CP85" s="187"/>
      <c r="CQ85" s="196"/>
      <c r="CR85" s="187"/>
      <c r="CS85" s="187"/>
      <c r="CT85" s="187"/>
      <c r="CU85" s="188"/>
      <c r="CV85" s="186"/>
      <c r="CW85" s="187"/>
      <c r="CX85" s="187"/>
      <c r="CY85" s="187"/>
      <c r="CZ85" s="187"/>
      <c r="DA85" s="187"/>
      <c r="DB85" s="187"/>
      <c r="DC85" s="196"/>
      <c r="DD85" s="187"/>
      <c r="DE85" s="187"/>
      <c r="DF85" s="187"/>
      <c r="DG85" s="188"/>
      <c r="DH85" s="186"/>
      <c r="DI85" s="187"/>
      <c r="DJ85" s="187"/>
      <c r="DK85" s="187"/>
      <c r="DL85" s="187"/>
      <c r="DM85" s="187"/>
      <c r="DN85" s="187"/>
      <c r="DO85" s="196"/>
      <c r="DP85" s="187"/>
      <c r="DQ85" s="187"/>
      <c r="DR85" s="187"/>
      <c r="DS85" s="188"/>
      <c r="DT85" s="186"/>
      <c r="DU85" s="187"/>
      <c r="DV85" s="187"/>
      <c r="DW85" s="187"/>
      <c r="DX85" s="187"/>
      <c r="DY85" s="187"/>
      <c r="DZ85" s="187"/>
      <c r="EA85" s="196"/>
      <c r="EB85" s="187"/>
      <c r="EC85" s="187"/>
      <c r="ED85" s="187"/>
      <c r="EE85" s="188"/>
      <c r="EF85" s="186"/>
      <c r="EG85" s="187"/>
      <c r="EH85" s="187"/>
      <c r="EI85" s="187"/>
      <c r="EJ85" s="187"/>
      <c r="EK85" s="187"/>
      <c r="EL85" s="187"/>
      <c r="EM85" s="196"/>
      <c r="EN85" s="187"/>
      <c r="EO85" s="187"/>
      <c r="EP85" s="187"/>
      <c r="EQ85" s="188"/>
    </row>
    <row r="86" hidden="1">
      <c r="A86" s="196"/>
      <c r="B86" s="196"/>
      <c r="C86" s="196"/>
      <c r="D86" s="186"/>
      <c r="E86" s="187"/>
      <c r="F86" s="187"/>
      <c r="G86" s="187"/>
      <c r="H86" s="187"/>
      <c r="I86" s="187"/>
      <c r="J86" s="187"/>
      <c r="K86" s="196"/>
      <c r="L86" s="187"/>
      <c r="M86" s="187"/>
      <c r="N86" s="187"/>
      <c r="O86" s="188"/>
      <c r="P86" s="186">
        <v>4.0</v>
      </c>
      <c r="Q86" s="187">
        <v>7.0</v>
      </c>
      <c r="R86" s="187"/>
      <c r="S86" s="187"/>
      <c r="T86" s="187"/>
      <c r="U86" s="187"/>
      <c r="V86" s="187"/>
      <c r="W86" s="196"/>
      <c r="X86" s="187"/>
      <c r="Y86" s="187"/>
      <c r="Z86" s="187"/>
      <c r="AA86" s="188"/>
      <c r="AB86" s="186"/>
      <c r="AC86" s="187"/>
      <c r="AD86" s="187"/>
      <c r="AE86" s="187"/>
      <c r="AF86" s="187"/>
      <c r="AG86" s="187"/>
      <c r="AH86" s="187"/>
      <c r="AI86" s="196"/>
      <c r="AJ86" s="187"/>
      <c r="AK86" s="187"/>
      <c r="AL86" s="187"/>
      <c r="AM86" s="188"/>
      <c r="AN86" s="186"/>
      <c r="AO86" s="187"/>
      <c r="AP86" s="187"/>
      <c r="AQ86" s="187"/>
      <c r="AR86" s="187"/>
      <c r="AS86" s="187"/>
      <c r="AT86" s="187"/>
      <c r="AU86" s="196"/>
      <c r="AV86" s="187"/>
      <c r="AW86" s="187"/>
      <c r="AX86" s="187"/>
      <c r="AY86" s="188"/>
      <c r="AZ86" s="186"/>
      <c r="BA86" s="187"/>
      <c r="BB86" s="187"/>
      <c r="BC86" s="187"/>
      <c r="BD86" s="187"/>
      <c r="BE86" s="187"/>
      <c r="BF86" s="187"/>
      <c r="BG86" s="196"/>
      <c r="BH86" s="187"/>
      <c r="BI86" s="187"/>
      <c r="BJ86" s="187"/>
      <c r="BK86" s="188"/>
      <c r="BL86" s="186"/>
      <c r="BM86" s="187"/>
      <c r="BN86" s="187"/>
      <c r="BO86" s="187"/>
      <c r="BP86" s="187"/>
      <c r="BQ86" s="187"/>
      <c r="BR86" s="187"/>
      <c r="BS86" s="196"/>
      <c r="BT86" s="187"/>
      <c r="BU86" s="187"/>
      <c r="BV86" s="187"/>
      <c r="BW86" s="188"/>
      <c r="BX86" s="186"/>
      <c r="BY86" s="187"/>
      <c r="BZ86" s="187"/>
      <c r="CA86" s="187"/>
      <c r="CB86" s="187"/>
      <c r="CC86" s="187"/>
      <c r="CD86" s="187"/>
      <c r="CE86" s="196"/>
      <c r="CF86" s="187"/>
      <c r="CG86" s="187"/>
      <c r="CH86" s="187"/>
      <c r="CI86" s="188"/>
      <c r="CJ86" s="186"/>
      <c r="CK86" s="187"/>
      <c r="CL86" s="187"/>
      <c r="CM86" s="187"/>
      <c r="CN86" s="187"/>
      <c r="CO86" s="187"/>
      <c r="CP86" s="187"/>
      <c r="CQ86" s="196"/>
      <c r="CR86" s="187"/>
      <c r="CS86" s="187"/>
      <c r="CT86" s="187"/>
      <c r="CU86" s="188"/>
      <c r="CV86" s="186"/>
      <c r="CW86" s="187"/>
      <c r="CX86" s="187"/>
      <c r="CY86" s="187"/>
      <c r="CZ86" s="187"/>
      <c r="DA86" s="187"/>
      <c r="DB86" s="187"/>
      <c r="DC86" s="196"/>
      <c r="DD86" s="187"/>
      <c r="DE86" s="187"/>
      <c r="DF86" s="187"/>
      <c r="DG86" s="188"/>
      <c r="DH86" s="186"/>
      <c r="DI86" s="187"/>
      <c r="DJ86" s="187"/>
      <c r="DK86" s="187"/>
      <c r="DL86" s="187"/>
      <c r="DM86" s="187"/>
      <c r="DN86" s="187"/>
      <c r="DO86" s="196"/>
      <c r="DP86" s="187"/>
      <c r="DQ86" s="187"/>
      <c r="DR86" s="187"/>
      <c r="DS86" s="188"/>
      <c r="DT86" s="186"/>
      <c r="DU86" s="187"/>
      <c r="DV86" s="187"/>
      <c r="DW86" s="187"/>
      <c r="DX86" s="187"/>
      <c r="DY86" s="187"/>
      <c r="DZ86" s="187"/>
      <c r="EA86" s="196"/>
      <c r="EB86" s="187"/>
      <c r="EC86" s="187"/>
      <c r="ED86" s="187"/>
      <c r="EE86" s="188"/>
      <c r="EF86" s="186"/>
      <c r="EG86" s="187"/>
      <c r="EH86" s="187"/>
      <c r="EI86" s="187"/>
      <c r="EJ86" s="187"/>
      <c r="EK86" s="187"/>
      <c r="EL86" s="187"/>
      <c r="EM86" s="196"/>
      <c r="EN86" s="187"/>
      <c r="EO86" s="187"/>
      <c r="EP86" s="187"/>
      <c r="EQ86" s="188"/>
    </row>
    <row r="87" hidden="1">
      <c r="A87" s="196"/>
      <c r="B87" s="196"/>
      <c r="C87" s="196"/>
      <c r="D87" s="186"/>
      <c r="E87" s="187"/>
      <c r="F87" s="187"/>
      <c r="G87" s="187"/>
      <c r="H87" s="187"/>
      <c r="I87" s="187"/>
      <c r="J87" s="187"/>
      <c r="K87" s="196"/>
      <c r="L87" s="187"/>
      <c r="M87" s="187"/>
      <c r="N87" s="187"/>
      <c r="O87" s="188"/>
      <c r="P87" s="186">
        <v>5.0</v>
      </c>
      <c r="Q87" s="187">
        <v>6.0</v>
      </c>
      <c r="R87" s="187"/>
      <c r="S87" s="187"/>
      <c r="T87" s="187"/>
      <c r="U87" s="187"/>
      <c r="V87" s="187"/>
      <c r="W87" s="196"/>
      <c r="X87" s="187"/>
      <c r="Y87" s="187"/>
      <c r="Z87" s="187"/>
      <c r="AA87" s="188"/>
      <c r="AB87" s="186"/>
      <c r="AC87" s="187"/>
      <c r="AD87" s="187"/>
      <c r="AE87" s="187"/>
      <c r="AF87" s="187"/>
      <c r="AG87" s="187"/>
      <c r="AH87" s="187"/>
      <c r="AI87" s="196"/>
      <c r="AJ87" s="187"/>
      <c r="AK87" s="187"/>
      <c r="AL87" s="187"/>
      <c r="AM87" s="188"/>
      <c r="AN87" s="186"/>
      <c r="AO87" s="187"/>
      <c r="AP87" s="187"/>
      <c r="AQ87" s="187"/>
      <c r="AR87" s="187"/>
      <c r="AS87" s="187"/>
      <c r="AT87" s="187"/>
      <c r="AU87" s="196"/>
      <c r="AV87" s="187"/>
      <c r="AW87" s="187"/>
      <c r="AX87" s="187"/>
      <c r="AY87" s="188"/>
      <c r="AZ87" s="186"/>
      <c r="BA87" s="187"/>
      <c r="BB87" s="187"/>
      <c r="BC87" s="187"/>
      <c r="BD87" s="187"/>
      <c r="BE87" s="187"/>
      <c r="BF87" s="187"/>
      <c r="BG87" s="196"/>
      <c r="BH87" s="187"/>
      <c r="BI87" s="187"/>
      <c r="BJ87" s="187"/>
      <c r="BK87" s="188"/>
      <c r="BL87" s="186"/>
      <c r="BM87" s="187"/>
      <c r="BN87" s="187"/>
      <c r="BO87" s="187"/>
      <c r="BP87" s="187"/>
      <c r="BQ87" s="187"/>
      <c r="BR87" s="187"/>
      <c r="BS87" s="196"/>
      <c r="BT87" s="187"/>
      <c r="BU87" s="187"/>
      <c r="BV87" s="187"/>
      <c r="BW87" s="188"/>
      <c r="BX87" s="186"/>
      <c r="BY87" s="187"/>
      <c r="BZ87" s="187"/>
      <c r="CA87" s="187"/>
      <c r="CB87" s="187"/>
      <c r="CC87" s="187"/>
      <c r="CD87" s="187"/>
      <c r="CE87" s="196"/>
      <c r="CF87" s="187"/>
      <c r="CG87" s="187"/>
      <c r="CH87" s="187"/>
      <c r="CI87" s="188"/>
      <c r="CJ87" s="186"/>
      <c r="CK87" s="187"/>
      <c r="CL87" s="187"/>
      <c r="CM87" s="187"/>
      <c r="CN87" s="187"/>
      <c r="CO87" s="187"/>
      <c r="CP87" s="187"/>
      <c r="CQ87" s="196"/>
      <c r="CR87" s="187"/>
      <c r="CS87" s="187"/>
      <c r="CT87" s="187"/>
      <c r="CU87" s="188"/>
      <c r="CV87" s="186"/>
      <c r="CW87" s="187"/>
      <c r="CX87" s="187"/>
      <c r="CY87" s="187"/>
      <c r="CZ87" s="187"/>
      <c r="DA87" s="187"/>
      <c r="DB87" s="187"/>
      <c r="DC87" s="196"/>
      <c r="DD87" s="187"/>
      <c r="DE87" s="187"/>
      <c r="DF87" s="187"/>
      <c r="DG87" s="188"/>
      <c r="DH87" s="186"/>
      <c r="DI87" s="187"/>
      <c r="DJ87" s="187"/>
      <c r="DK87" s="187"/>
      <c r="DL87" s="187"/>
      <c r="DM87" s="187"/>
      <c r="DN87" s="187"/>
      <c r="DO87" s="196"/>
      <c r="DP87" s="187"/>
      <c r="DQ87" s="187"/>
      <c r="DR87" s="187"/>
      <c r="DS87" s="188"/>
      <c r="DT87" s="186"/>
      <c r="DU87" s="187"/>
      <c r="DV87" s="187"/>
      <c r="DW87" s="187"/>
      <c r="DX87" s="187"/>
      <c r="DY87" s="187"/>
      <c r="DZ87" s="187"/>
      <c r="EA87" s="196"/>
      <c r="EB87" s="187"/>
      <c r="EC87" s="187"/>
      <c r="ED87" s="187"/>
      <c r="EE87" s="188"/>
      <c r="EF87" s="186"/>
      <c r="EG87" s="187"/>
      <c r="EH87" s="187"/>
      <c r="EI87" s="187"/>
      <c r="EJ87" s="187"/>
      <c r="EK87" s="187"/>
      <c r="EL87" s="187"/>
      <c r="EM87" s="196"/>
      <c r="EN87" s="187"/>
      <c r="EO87" s="187"/>
      <c r="EP87" s="187"/>
      <c r="EQ87" s="188"/>
    </row>
    <row r="88" hidden="1">
      <c r="A88" s="196"/>
      <c r="B88" s="196"/>
      <c r="C88" s="196"/>
      <c r="D88" s="186"/>
      <c r="E88" s="187"/>
      <c r="F88" s="187"/>
      <c r="G88" s="187"/>
      <c r="H88" s="187"/>
      <c r="I88" s="187"/>
      <c r="J88" s="187"/>
      <c r="K88" s="196"/>
      <c r="L88" s="187"/>
      <c r="M88" s="187"/>
      <c r="N88" s="187"/>
      <c r="O88" s="188"/>
      <c r="P88" s="186">
        <v>6.0</v>
      </c>
      <c r="Q88" s="187">
        <v>5.0</v>
      </c>
      <c r="R88" s="187"/>
      <c r="S88" s="187"/>
      <c r="T88" s="187"/>
      <c r="U88" s="187"/>
      <c r="V88" s="187"/>
      <c r="W88" s="196"/>
      <c r="X88" s="187"/>
      <c r="Y88" s="187"/>
      <c r="Z88" s="187"/>
      <c r="AA88" s="188"/>
      <c r="AB88" s="186"/>
      <c r="AC88" s="187"/>
      <c r="AD88" s="187"/>
      <c r="AE88" s="187"/>
      <c r="AF88" s="187"/>
      <c r="AG88" s="187"/>
      <c r="AH88" s="187"/>
      <c r="AI88" s="196"/>
      <c r="AJ88" s="187"/>
      <c r="AK88" s="187"/>
      <c r="AL88" s="187"/>
      <c r="AM88" s="188"/>
      <c r="AN88" s="186"/>
      <c r="AO88" s="187"/>
      <c r="AP88" s="187"/>
      <c r="AQ88" s="187"/>
      <c r="AR88" s="187"/>
      <c r="AS88" s="187"/>
      <c r="AT88" s="187"/>
      <c r="AU88" s="196"/>
      <c r="AV88" s="187"/>
      <c r="AW88" s="187"/>
      <c r="AX88" s="187"/>
      <c r="AY88" s="188"/>
      <c r="AZ88" s="186"/>
      <c r="BA88" s="187"/>
      <c r="BB88" s="187"/>
      <c r="BC88" s="187"/>
      <c r="BD88" s="187"/>
      <c r="BE88" s="187"/>
      <c r="BF88" s="187"/>
      <c r="BG88" s="196"/>
      <c r="BH88" s="187"/>
      <c r="BI88" s="187"/>
      <c r="BJ88" s="187"/>
      <c r="BK88" s="188"/>
      <c r="BL88" s="186"/>
      <c r="BM88" s="187"/>
      <c r="BN88" s="187"/>
      <c r="BO88" s="187"/>
      <c r="BP88" s="187"/>
      <c r="BQ88" s="187"/>
      <c r="BR88" s="187"/>
      <c r="BS88" s="196"/>
      <c r="BT88" s="187"/>
      <c r="BU88" s="187"/>
      <c r="BV88" s="187"/>
      <c r="BW88" s="188"/>
      <c r="BX88" s="186"/>
      <c r="BY88" s="187"/>
      <c r="BZ88" s="187"/>
      <c r="CA88" s="187"/>
      <c r="CB88" s="187"/>
      <c r="CC88" s="187"/>
      <c r="CD88" s="187"/>
      <c r="CE88" s="196"/>
      <c r="CF88" s="187"/>
      <c r="CG88" s="187"/>
      <c r="CH88" s="187"/>
      <c r="CI88" s="188"/>
      <c r="CJ88" s="186"/>
      <c r="CK88" s="187"/>
      <c r="CL88" s="187"/>
      <c r="CM88" s="187"/>
      <c r="CN88" s="187"/>
      <c r="CO88" s="187"/>
      <c r="CP88" s="187"/>
      <c r="CQ88" s="196"/>
      <c r="CR88" s="187"/>
      <c r="CS88" s="187"/>
      <c r="CT88" s="187"/>
      <c r="CU88" s="188"/>
      <c r="CV88" s="186"/>
      <c r="CW88" s="187"/>
      <c r="CX88" s="187"/>
      <c r="CY88" s="187"/>
      <c r="CZ88" s="187"/>
      <c r="DA88" s="187"/>
      <c r="DB88" s="187"/>
      <c r="DC88" s="196"/>
      <c r="DD88" s="187"/>
      <c r="DE88" s="187"/>
      <c r="DF88" s="187"/>
      <c r="DG88" s="188"/>
      <c r="DH88" s="186"/>
      <c r="DI88" s="187"/>
      <c r="DJ88" s="187"/>
      <c r="DK88" s="187"/>
      <c r="DL88" s="187"/>
      <c r="DM88" s="187"/>
      <c r="DN88" s="187"/>
      <c r="DO88" s="196"/>
      <c r="DP88" s="187"/>
      <c r="DQ88" s="187"/>
      <c r="DR88" s="187"/>
      <c r="DS88" s="188"/>
      <c r="DT88" s="186"/>
      <c r="DU88" s="187"/>
      <c r="DV88" s="187"/>
      <c r="DW88" s="187"/>
      <c r="DX88" s="187"/>
      <c r="DY88" s="187"/>
      <c r="DZ88" s="187"/>
      <c r="EA88" s="196"/>
      <c r="EB88" s="187"/>
      <c r="EC88" s="187"/>
      <c r="ED88" s="187"/>
      <c r="EE88" s="188"/>
      <c r="EF88" s="186"/>
      <c r="EG88" s="187"/>
      <c r="EH88" s="187"/>
      <c r="EI88" s="187"/>
      <c r="EJ88" s="187"/>
      <c r="EK88" s="187"/>
      <c r="EL88" s="187"/>
      <c r="EM88" s="196"/>
      <c r="EN88" s="187"/>
      <c r="EO88" s="187"/>
      <c r="EP88" s="187"/>
      <c r="EQ88" s="188"/>
    </row>
    <row r="89" hidden="1">
      <c r="A89" s="196"/>
      <c r="B89" s="196"/>
      <c r="C89" s="196"/>
      <c r="D89" s="186"/>
      <c r="E89" s="187"/>
      <c r="F89" s="187"/>
      <c r="G89" s="187"/>
      <c r="H89" s="187"/>
      <c r="I89" s="187"/>
      <c r="J89" s="187"/>
      <c r="K89" s="196"/>
      <c r="L89" s="187"/>
      <c r="M89" s="187"/>
      <c r="N89" s="187"/>
      <c r="O89" s="188"/>
      <c r="P89" s="186">
        <v>7.0</v>
      </c>
      <c r="Q89" s="187">
        <v>4.0</v>
      </c>
      <c r="R89" s="187"/>
      <c r="S89" s="187"/>
      <c r="T89" s="187"/>
      <c r="U89" s="187"/>
      <c r="V89" s="187"/>
      <c r="W89" s="196"/>
      <c r="X89" s="187"/>
      <c r="Y89" s="187"/>
      <c r="Z89" s="187"/>
      <c r="AA89" s="188"/>
      <c r="AB89" s="186"/>
      <c r="AC89" s="187"/>
      <c r="AD89" s="187"/>
      <c r="AE89" s="187"/>
      <c r="AF89" s="187"/>
      <c r="AG89" s="187"/>
      <c r="AH89" s="187"/>
      <c r="AI89" s="196"/>
      <c r="AJ89" s="187"/>
      <c r="AK89" s="187"/>
      <c r="AL89" s="187"/>
      <c r="AM89" s="188"/>
      <c r="AN89" s="186"/>
      <c r="AO89" s="187"/>
      <c r="AP89" s="187"/>
      <c r="AQ89" s="187"/>
      <c r="AR89" s="187"/>
      <c r="AS89" s="187"/>
      <c r="AT89" s="187"/>
      <c r="AU89" s="196"/>
      <c r="AV89" s="187"/>
      <c r="AW89" s="187"/>
      <c r="AX89" s="187"/>
      <c r="AY89" s="188"/>
      <c r="AZ89" s="186"/>
      <c r="BA89" s="187"/>
      <c r="BB89" s="187"/>
      <c r="BC89" s="187"/>
      <c r="BD89" s="187"/>
      <c r="BE89" s="187"/>
      <c r="BF89" s="187"/>
      <c r="BG89" s="196"/>
      <c r="BH89" s="187"/>
      <c r="BI89" s="187"/>
      <c r="BJ89" s="187"/>
      <c r="BK89" s="188"/>
      <c r="BL89" s="186"/>
      <c r="BM89" s="187"/>
      <c r="BN89" s="187"/>
      <c r="BO89" s="187"/>
      <c r="BP89" s="187"/>
      <c r="BQ89" s="187"/>
      <c r="BR89" s="187"/>
      <c r="BS89" s="196"/>
      <c r="BT89" s="187"/>
      <c r="BU89" s="187"/>
      <c r="BV89" s="187"/>
      <c r="BW89" s="188"/>
      <c r="BX89" s="186"/>
      <c r="BY89" s="187"/>
      <c r="BZ89" s="187"/>
      <c r="CA89" s="187"/>
      <c r="CB89" s="187"/>
      <c r="CC89" s="187"/>
      <c r="CD89" s="187"/>
      <c r="CE89" s="196"/>
      <c r="CF89" s="187"/>
      <c r="CG89" s="187"/>
      <c r="CH89" s="187"/>
      <c r="CI89" s="188"/>
      <c r="CJ89" s="186"/>
      <c r="CK89" s="187"/>
      <c r="CL89" s="187"/>
      <c r="CM89" s="187"/>
      <c r="CN89" s="187"/>
      <c r="CO89" s="187"/>
      <c r="CP89" s="187"/>
      <c r="CQ89" s="196"/>
      <c r="CR89" s="187"/>
      <c r="CS89" s="187"/>
      <c r="CT89" s="187"/>
      <c r="CU89" s="188"/>
      <c r="CV89" s="186"/>
      <c r="CW89" s="187"/>
      <c r="CX89" s="187"/>
      <c r="CY89" s="187"/>
      <c r="CZ89" s="187"/>
      <c r="DA89" s="187"/>
      <c r="DB89" s="187"/>
      <c r="DC89" s="196"/>
      <c r="DD89" s="187"/>
      <c r="DE89" s="187"/>
      <c r="DF89" s="187"/>
      <c r="DG89" s="188"/>
      <c r="DH89" s="186"/>
      <c r="DI89" s="187"/>
      <c r="DJ89" s="187"/>
      <c r="DK89" s="187"/>
      <c r="DL89" s="187"/>
      <c r="DM89" s="187"/>
      <c r="DN89" s="187"/>
      <c r="DO89" s="196"/>
      <c r="DP89" s="187"/>
      <c r="DQ89" s="187"/>
      <c r="DR89" s="187"/>
      <c r="DS89" s="188"/>
      <c r="DT89" s="186"/>
      <c r="DU89" s="187"/>
      <c r="DV89" s="187"/>
      <c r="DW89" s="187"/>
      <c r="DX89" s="187"/>
      <c r="DY89" s="187"/>
      <c r="DZ89" s="187"/>
      <c r="EA89" s="196"/>
      <c r="EB89" s="187"/>
      <c r="EC89" s="187"/>
      <c r="ED89" s="187"/>
      <c r="EE89" s="188"/>
      <c r="EF89" s="186"/>
      <c r="EG89" s="187"/>
      <c r="EH89" s="187"/>
      <c r="EI89" s="187"/>
      <c r="EJ89" s="187"/>
      <c r="EK89" s="187"/>
      <c r="EL89" s="187"/>
      <c r="EM89" s="196"/>
      <c r="EN89" s="187"/>
      <c r="EO89" s="187"/>
      <c r="EP89" s="187"/>
      <c r="EQ89" s="188"/>
    </row>
    <row r="90" hidden="1">
      <c r="A90" s="196"/>
      <c r="B90" s="196"/>
      <c r="C90" s="196"/>
      <c r="D90" s="186"/>
      <c r="E90" s="187"/>
      <c r="F90" s="187"/>
      <c r="G90" s="187"/>
      <c r="H90" s="187"/>
      <c r="I90" s="187"/>
      <c r="J90" s="187"/>
      <c r="K90" s="196"/>
      <c r="L90" s="187"/>
      <c r="M90" s="187"/>
      <c r="N90" s="187"/>
      <c r="O90" s="188"/>
      <c r="P90" s="186">
        <v>8.0</v>
      </c>
      <c r="Q90" s="187">
        <v>3.0</v>
      </c>
      <c r="R90" s="187"/>
      <c r="S90" s="187"/>
      <c r="T90" s="187"/>
      <c r="U90" s="187"/>
      <c r="V90" s="187"/>
      <c r="W90" s="196"/>
      <c r="X90" s="187"/>
      <c r="Y90" s="187"/>
      <c r="Z90" s="187"/>
      <c r="AA90" s="188"/>
      <c r="AB90" s="186"/>
      <c r="AC90" s="187"/>
      <c r="AD90" s="187"/>
      <c r="AE90" s="187"/>
      <c r="AF90" s="187"/>
      <c r="AG90" s="187"/>
      <c r="AH90" s="187"/>
      <c r="AI90" s="196"/>
      <c r="AJ90" s="187"/>
      <c r="AK90" s="187"/>
      <c r="AL90" s="187"/>
      <c r="AM90" s="188"/>
      <c r="AN90" s="186"/>
      <c r="AO90" s="187"/>
      <c r="AP90" s="187"/>
      <c r="AQ90" s="187"/>
      <c r="AR90" s="187"/>
      <c r="AS90" s="187"/>
      <c r="AT90" s="187"/>
      <c r="AU90" s="196"/>
      <c r="AV90" s="187"/>
      <c r="AW90" s="187"/>
      <c r="AX90" s="187"/>
      <c r="AY90" s="188"/>
      <c r="AZ90" s="186"/>
      <c r="BA90" s="187"/>
      <c r="BB90" s="187"/>
      <c r="BC90" s="187"/>
      <c r="BD90" s="187"/>
      <c r="BE90" s="187"/>
      <c r="BF90" s="187"/>
      <c r="BG90" s="196"/>
      <c r="BH90" s="187"/>
      <c r="BI90" s="187"/>
      <c r="BJ90" s="187"/>
      <c r="BK90" s="188"/>
      <c r="BL90" s="186"/>
      <c r="BM90" s="187"/>
      <c r="BN90" s="187"/>
      <c r="BO90" s="187"/>
      <c r="BP90" s="187"/>
      <c r="BQ90" s="187"/>
      <c r="BR90" s="187"/>
      <c r="BS90" s="196"/>
      <c r="BT90" s="187"/>
      <c r="BU90" s="187"/>
      <c r="BV90" s="187"/>
      <c r="BW90" s="188"/>
      <c r="BX90" s="186"/>
      <c r="BY90" s="187"/>
      <c r="BZ90" s="187"/>
      <c r="CA90" s="187"/>
      <c r="CB90" s="187"/>
      <c r="CC90" s="187"/>
      <c r="CD90" s="187"/>
      <c r="CE90" s="196"/>
      <c r="CF90" s="187"/>
      <c r="CG90" s="187"/>
      <c r="CH90" s="187"/>
      <c r="CI90" s="188"/>
      <c r="CJ90" s="186"/>
      <c r="CK90" s="187"/>
      <c r="CL90" s="187"/>
      <c r="CM90" s="187"/>
      <c r="CN90" s="187"/>
      <c r="CO90" s="187"/>
      <c r="CP90" s="187"/>
      <c r="CQ90" s="196"/>
      <c r="CR90" s="187"/>
      <c r="CS90" s="187"/>
      <c r="CT90" s="187"/>
      <c r="CU90" s="188"/>
      <c r="CV90" s="186"/>
      <c r="CW90" s="187"/>
      <c r="CX90" s="187"/>
      <c r="CY90" s="187"/>
      <c r="CZ90" s="187"/>
      <c r="DA90" s="187"/>
      <c r="DB90" s="187"/>
      <c r="DC90" s="196"/>
      <c r="DD90" s="187"/>
      <c r="DE90" s="187"/>
      <c r="DF90" s="187"/>
      <c r="DG90" s="188"/>
      <c r="DH90" s="186"/>
      <c r="DI90" s="187"/>
      <c r="DJ90" s="187"/>
      <c r="DK90" s="187"/>
      <c r="DL90" s="187"/>
      <c r="DM90" s="187"/>
      <c r="DN90" s="187"/>
      <c r="DO90" s="196"/>
      <c r="DP90" s="187"/>
      <c r="DQ90" s="187"/>
      <c r="DR90" s="187"/>
      <c r="DS90" s="188"/>
      <c r="DT90" s="186"/>
      <c r="DU90" s="187"/>
      <c r="DV90" s="187"/>
      <c r="DW90" s="187"/>
      <c r="DX90" s="187"/>
      <c r="DY90" s="187"/>
      <c r="DZ90" s="187"/>
      <c r="EA90" s="196"/>
      <c r="EB90" s="187"/>
      <c r="EC90" s="187"/>
      <c r="ED90" s="187"/>
      <c r="EE90" s="188"/>
      <c r="EF90" s="186"/>
      <c r="EG90" s="187"/>
      <c r="EH90" s="187"/>
      <c r="EI90" s="187"/>
      <c r="EJ90" s="187"/>
      <c r="EK90" s="187"/>
      <c r="EL90" s="187"/>
      <c r="EM90" s="196"/>
      <c r="EN90" s="187"/>
      <c r="EO90" s="187"/>
      <c r="EP90" s="187"/>
      <c r="EQ90" s="188"/>
    </row>
    <row r="91" hidden="1">
      <c r="A91" s="196"/>
      <c r="B91" s="196"/>
      <c r="C91" s="196"/>
      <c r="D91" s="186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8"/>
      <c r="P91" s="186">
        <v>9.0</v>
      </c>
      <c r="Q91" s="187">
        <v>2.0</v>
      </c>
      <c r="R91" s="187"/>
      <c r="S91" s="187"/>
      <c r="T91" s="187"/>
      <c r="U91" s="187"/>
      <c r="V91" s="187"/>
      <c r="W91" s="187"/>
      <c r="X91" s="187"/>
      <c r="Y91" s="187"/>
      <c r="Z91" s="187"/>
      <c r="AA91" s="188"/>
      <c r="AB91" s="186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8"/>
      <c r="AN91" s="186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8"/>
      <c r="AZ91" s="186"/>
      <c r="BA91" s="187"/>
      <c r="BB91" s="187"/>
      <c r="BC91" s="187"/>
      <c r="BD91" s="187"/>
      <c r="BE91" s="187"/>
      <c r="BF91" s="187"/>
      <c r="BG91" s="187"/>
      <c r="BH91" s="187"/>
      <c r="BI91" s="187"/>
      <c r="BJ91" s="187"/>
      <c r="BK91" s="188"/>
      <c r="BL91" s="186"/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8"/>
      <c r="BX91" s="186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8"/>
      <c r="CJ91" s="186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8"/>
      <c r="CV91" s="186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8"/>
      <c r="DH91" s="186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8"/>
      <c r="DT91" s="186"/>
      <c r="DU91" s="187"/>
      <c r="DV91" s="187"/>
      <c r="DW91" s="187"/>
      <c r="DX91" s="187"/>
      <c r="DY91" s="187"/>
      <c r="DZ91" s="187"/>
      <c r="EA91" s="187"/>
      <c r="EB91" s="187"/>
      <c r="EC91" s="187"/>
      <c r="ED91" s="187"/>
      <c r="EE91" s="188"/>
      <c r="EF91" s="186"/>
      <c r="EG91" s="187"/>
      <c r="EH91" s="187"/>
      <c r="EI91" s="187"/>
      <c r="EJ91" s="187"/>
      <c r="EK91" s="187"/>
      <c r="EL91" s="187"/>
      <c r="EM91" s="187"/>
      <c r="EN91" s="187"/>
      <c r="EO91" s="187"/>
      <c r="EP91" s="187"/>
      <c r="EQ91" s="188"/>
    </row>
    <row r="92" hidden="1">
      <c r="A92" s="196"/>
      <c r="B92" s="196"/>
      <c r="C92" s="196"/>
      <c r="D92" s="186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8"/>
      <c r="P92" s="186">
        <v>10.0</v>
      </c>
      <c r="Q92" s="187">
        <v>1.0</v>
      </c>
      <c r="R92" s="187"/>
      <c r="S92" s="187"/>
      <c r="T92" s="187"/>
      <c r="U92" s="187"/>
      <c r="V92" s="187"/>
      <c r="W92" s="187"/>
      <c r="X92" s="187"/>
      <c r="Y92" s="187"/>
      <c r="Z92" s="187"/>
      <c r="AA92" s="188"/>
      <c r="AB92" s="186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8"/>
      <c r="AN92" s="186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8"/>
      <c r="AZ92" s="186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8"/>
      <c r="BL92" s="186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8"/>
      <c r="BX92" s="186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8"/>
      <c r="CJ92" s="186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8"/>
      <c r="CV92" s="186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8"/>
      <c r="DH92" s="186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8"/>
      <c r="DT92" s="186"/>
      <c r="DU92" s="187"/>
      <c r="DV92" s="187"/>
      <c r="DW92" s="187"/>
      <c r="DX92" s="187"/>
      <c r="DY92" s="187"/>
      <c r="DZ92" s="187"/>
      <c r="EA92" s="187"/>
      <c r="EB92" s="187"/>
      <c r="EC92" s="187"/>
      <c r="ED92" s="187"/>
      <c r="EE92" s="188"/>
      <c r="EF92" s="186"/>
      <c r="EG92" s="187"/>
      <c r="EH92" s="187"/>
      <c r="EI92" s="187"/>
      <c r="EJ92" s="187"/>
      <c r="EK92" s="187"/>
      <c r="EL92" s="187"/>
      <c r="EM92" s="187"/>
      <c r="EN92" s="187"/>
      <c r="EO92" s="187"/>
      <c r="EP92" s="187"/>
      <c r="EQ92" s="188"/>
    </row>
    <row r="93" hidden="1">
      <c r="A93" s="196"/>
      <c r="B93" s="196"/>
      <c r="C93" s="196"/>
      <c r="D93" s="186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8"/>
      <c r="P93" s="186">
        <v>11.0</v>
      </c>
      <c r="Q93" s="187">
        <v>1.0</v>
      </c>
      <c r="R93" s="187"/>
      <c r="S93" s="187"/>
      <c r="T93" s="187"/>
      <c r="U93" s="187"/>
      <c r="V93" s="187"/>
      <c r="W93" s="187"/>
      <c r="X93" s="187"/>
      <c r="Y93" s="187"/>
      <c r="Z93" s="187"/>
      <c r="AA93" s="188"/>
      <c r="AB93" s="186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8"/>
      <c r="AN93" s="186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8"/>
      <c r="AZ93" s="186"/>
      <c r="BA93" s="187"/>
      <c r="BB93" s="187"/>
      <c r="BC93" s="187"/>
      <c r="BD93" s="187"/>
      <c r="BE93" s="187"/>
      <c r="BF93" s="187"/>
      <c r="BG93" s="187"/>
      <c r="BH93" s="187"/>
      <c r="BI93" s="187"/>
      <c r="BJ93" s="187"/>
      <c r="BK93" s="188"/>
      <c r="BL93" s="186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8"/>
      <c r="BX93" s="186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8"/>
      <c r="CJ93" s="186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8"/>
      <c r="CV93" s="186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8"/>
      <c r="DH93" s="186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8"/>
      <c r="DT93" s="186"/>
      <c r="DU93" s="187"/>
      <c r="DV93" s="187"/>
      <c r="DW93" s="187"/>
      <c r="DX93" s="187"/>
      <c r="DY93" s="187"/>
      <c r="DZ93" s="187"/>
      <c r="EA93" s="187"/>
      <c r="EB93" s="187"/>
      <c r="EC93" s="187"/>
      <c r="ED93" s="187"/>
      <c r="EE93" s="188"/>
      <c r="EF93" s="186"/>
      <c r="EG93" s="187"/>
      <c r="EH93" s="187"/>
      <c r="EI93" s="187"/>
      <c r="EJ93" s="187"/>
      <c r="EK93" s="187"/>
      <c r="EL93" s="187"/>
      <c r="EM93" s="187"/>
      <c r="EN93" s="187"/>
      <c r="EO93" s="187"/>
      <c r="EP93" s="187"/>
      <c r="EQ93" s="188"/>
    </row>
    <row r="94" hidden="1">
      <c r="A94" s="196"/>
      <c r="B94" s="196"/>
      <c r="C94" s="196"/>
      <c r="D94" s="186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8"/>
      <c r="P94" s="186">
        <v>12.0</v>
      </c>
      <c r="Q94" s="187">
        <v>1.0</v>
      </c>
      <c r="R94" s="187"/>
      <c r="S94" s="187"/>
      <c r="T94" s="187"/>
      <c r="U94" s="187"/>
      <c r="V94" s="187"/>
      <c r="W94" s="187"/>
      <c r="X94" s="187"/>
      <c r="Y94" s="187"/>
      <c r="Z94" s="187"/>
      <c r="AA94" s="188"/>
      <c r="AB94" s="186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8"/>
      <c r="AN94" s="186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8"/>
      <c r="AZ94" s="186"/>
      <c r="BA94" s="187"/>
      <c r="BB94" s="187"/>
      <c r="BC94" s="187"/>
      <c r="BD94" s="187"/>
      <c r="BE94" s="187"/>
      <c r="BF94" s="187"/>
      <c r="BG94" s="187"/>
      <c r="BH94" s="187"/>
      <c r="BI94" s="187"/>
      <c r="BJ94" s="187"/>
      <c r="BK94" s="188"/>
      <c r="BL94" s="186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8"/>
      <c r="BX94" s="186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8"/>
      <c r="CJ94" s="186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8"/>
      <c r="CV94" s="186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8"/>
      <c r="DH94" s="186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8"/>
      <c r="DT94" s="186"/>
      <c r="DU94" s="187"/>
      <c r="DV94" s="187"/>
      <c r="DW94" s="187"/>
      <c r="DX94" s="187"/>
      <c r="DY94" s="187"/>
      <c r="DZ94" s="187"/>
      <c r="EA94" s="187"/>
      <c r="EB94" s="187"/>
      <c r="EC94" s="187"/>
      <c r="ED94" s="187"/>
      <c r="EE94" s="188"/>
      <c r="EF94" s="186"/>
      <c r="EG94" s="187"/>
      <c r="EH94" s="187"/>
      <c r="EI94" s="187"/>
      <c r="EJ94" s="187"/>
      <c r="EK94" s="187"/>
      <c r="EL94" s="187"/>
      <c r="EM94" s="187"/>
      <c r="EN94" s="187"/>
      <c r="EO94" s="187"/>
      <c r="EP94" s="187"/>
      <c r="EQ94" s="188"/>
    </row>
    <row r="95" hidden="1">
      <c r="A95" s="196"/>
      <c r="B95" s="196"/>
      <c r="C95" s="196"/>
      <c r="D95" s="186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8"/>
      <c r="P95" s="186">
        <v>13.0</v>
      </c>
      <c r="Q95" s="187">
        <v>1.0</v>
      </c>
      <c r="R95" s="187"/>
      <c r="S95" s="187"/>
      <c r="T95" s="187"/>
      <c r="U95" s="187"/>
      <c r="V95" s="187"/>
      <c r="W95" s="187"/>
      <c r="X95" s="187"/>
      <c r="Y95" s="187"/>
      <c r="Z95" s="187"/>
      <c r="AA95" s="188"/>
      <c r="AB95" s="186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8"/>
      <c r="AN95" s="186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8"/>
      <c r="AZ95" s="186"/>
      <c r="BA95" s="187"/>
      <c r="BB95" s="187"/>
      <c r="BC95" s="187"/>
      <c r="BD95" s="187"/>
      <c r="BE95" s="187"/>
      <c r="BF95" s="187"/>
      <c r="BG95" s="187"/>
      <c r="BH95" s="187"/>
      <c r="BI95" s="187"/>
      <c r="BJ95" s="187"/>
      <c r="BK95" s="188"/>
      <c r="BL95" s="186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8"/>
      <c r="BX95" s="186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8"/>
      <c r="CJ95" s="186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8"/>
      <c r="CV95" s="186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8"/>
      <c r="DH95" s="186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8"/>
      <c r="DT95" s="186"/>
      <c r="DU95" s="187"/>
      <c r="DV95" s="187"/>
      <c r="DW95" s="187"/>
      <c r="DX95" s="187"/>
      <c r="DY95" s="187"/>
      <c r="DZ95" s="187"/>
      <c r="EA95" s="187"/>
      <c r="EB95" s="187"/>
      <c r="EC95" s="187"/>
      <c r="ED95" s="187"/>
      <c r="EE95" s="188"/>
      <c r="EF95" s="186"/>
      <c r="EG95" s="187"/>
      <c r="EH95" s="187"/>
      <c r="EI95" s="187"/>
      <c r="EJ95" s="187"/>
      <c r="EK95" s="187"/>
      <c r="EL95" s="187"/>
      <c r="EM95" s="187"/>
      <c r="EN95" s="187"/>
      <c r="EO95" s="187"/>
      <c r="EP95" s="187"/>
      <c r="EQ95" s="188"/>
    </row>
    <row r="96" hidden="1">
      <c r="A96" s="196"/>
      <c r="B96" s="196"/>
      <c r="C96" s="196"/>
      <c r="D96" s="186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8"/>
      <c r="P96" s="186">
        <v>14.0</v>
      </c>
      <c r="Q96" s="187">
        <v>1.0</v>
      </c>
      <c r="R96" s="187"/>
      <c r="S96" s="187"/>
      <c r="T96" s="187"/>
      <c r="U96" s="187"/>
      <c r="V96" s="187"/>
      <c r="W96" s="187"/>
      <c r="X96" s="187"/>
      <c r="Y96" s="187"/>
      <c r="Z96" s="187"/>
      <c r="AA96" s="188"/>
      <c r="AB96" s="186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8"/>
      <c r="AN96" s="186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8"/>
      <c r="AZ96" s="186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8"/>
      <c r="BL96" s="186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8"/>
      <c r="BX96" s="186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8"/>
      <c r="CJ96" s="186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8"/>
      <c r="CV96" s="186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8"/>
      <c r="DH96" s="186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8"/>
      <c r="DT96" s="186"/>
      <c r="DU96" s="187"/>
      <c r="DV96" s="187"/>
      <c r="DW96" s="187"/>
      <c r="DX96" s="187"/>
      <c r="DY96" s="187"/>
      <c r="DZ96" s="187"/>
      <c r="EA96" s="187"/>
      <c r="EB96" s="187"/>
      <c r="EC96" s="187"/>
      <c r="ED96" s="187"/>
      <c r="EE96" s="188"/>
      <c r="EF96" s="186"/>
      <c r="EG96" s="187"/>
      <c r="EH96" s="187"/>
      <c r="EI96" s="187"/>
      <c r="EJ96" s="187"/>
      <c r="EK96" s="187"/>
      <c r="EL96" s="187"/>
      <c r="EM96" s="187"/>
      <c r="EN96" s="187"/>
      <c r="EO96" s="187"/>
      <c r="EP96" s="187"/>
      <c r="EQ96" s="188"/>
    </row>
    <row r="97" hidden="1">
      <c r="A97" s="196"/>
      <c r="B97" s="196"/>
      <c r="C97" s="196"/>
      <c r="D97" s="186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8"/>
      <c r="P97" s="186">
        <v>15.0</v>
      </c>
      <c r="Q97" s="187">
        <v>1.0</v>
      </c>
      <c r="R97" s="187"/>
      <c r="S97" s="187"/>
      <c r="T97" s="187"/>
      <c r="U97" s="187"/>
      <c r="V97" s="187"/>
      <c r="W97" s="187"/>
      <c r="X97" s="187"/>
      <c r="Y97" s="187"/>
      <c r="Z97" s="187"/>
      <c r="AA97" s="188"/>
      <c r="AB97" s="186"/>
      <c r="AC97" s="187"/>
      <c r="AD97" s="187"/>
      <c r="AE97" s="187"/>
      <c r="AF97" s="187"/>
      <c r="AG97" s="187"/>
      <c r="AH97" s="187"/>
      <c r="AI97" s="187"/>
      <c r="AJ97" s="187"/>
      <c r="AK97" s="187"/>
      <c r="AL97" s="187"/>
      <c r="AM97" s="188"/>
      <c r="AN97" s="186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8"/>
      <c r="AZ97" s="186"/>
      <c r="BA97" s="187"/>
      <c r="BB97" s="187"/>
      <c r="BC97" s="187"/>
      <c r="BD97" s="187"/>
      <c r="BE97" s="187"/>
      <c r="BF97" s="187"/>
      <c r="BG97" s="187"/>
      <c r="BH97" s="187"/>
      <c r="BI97" s="187"/>
      <c r="BJ97" s="187"/>
      <c r="BK97" s="188"/>
      <c r="BL97" s="186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8"/>
      <c r="BX97" s="186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8"/>
      <c r="CJ97" s="186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8"/>
      <c r="CV97" s="186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8"/>
      <c r="DH97" s="186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8"/>
      <c r="DT97" s="186"/>
      <c r="DU97" s="187"/>
      <c r="DV97" s="187"/>
      <c r="DW97" s="187"/>
      <c r="DX97" s="187"/>
      <c r="DY97" s="187"/>
      <c r="DZ97" s="187"/>
      <c r="EA97" s="187"/>
      <c r="EB97" s="187"/>
      <c r="EC97" s="187"/>
      <c r="ED97" s="187"/>
      <c r="EE97" s="188"/>
      <c r="EF97" s="186"/>
      <c r="EG97" s="187"/>
      <c r="EH97" s="187"/>
      <c r="EI97" s="187"/>
      <c r="EJ97" s="187"/>
      <c r="EK97" s="187"/>
      <c r="EL97" s="187"/>
      <c r="EM97" s="187"/>
      <c r="EN97" s="187"/>
      <c r="EO97" s="187"/>
      <c r="EP97" s="187"/>
      <c r="EQ97" s="188"/>
    </row>
    <row r="98" hidden="1">
      <c r="A98" s="196"/>
      <c r="B98" s="196"/>
      <c r="C98" s="196"/>
      <c r="D98" s="186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8"/>
      <c r="P98" s="186">
        <v>16.0</v>
      </c>
      <c r="Q98" s="187">
        <v>1.0</v>
      </c>
      <c r="R98" s="187"/>
      <c r="S98" s="187"/>
      <c r="T98" s="187"/>
      <c r="U98" s="187"/>
      <c r="V98" s="187"/>
      <c r="W98" s="187"/>
      <c r="X98" s="187"/>
      <c r="Y98" s="187"/>
      <c r="Z98" s="187"/>
      <c r="AA98" s="188"/>
      <c r="AB98" s="186"/>
      <c r="AC98" s="187"/>
      <c r="AD98" s="187"/>
      <c r="AE98" s="187"/>
      <c r="AF98" s="187"/>
      <c r="AG98" s="187"/>
      <c r="AH98" s="187"/>
      <c r="AI98" s="187"/>
      <c r="AJ98" s="187"/>
      <c r="AK98" s="187"/>
      <c r="AL98" s="187"/>
      <c r="AM98" s="188"/>
      <c r="AN98" s="186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8"/>
      <c r="AZ98" s="186"/>
      <c r="BA98" s="187"/>
      <c r="BB98" s="187"/>
      <c r="BC98" s="187"/>
      <c r="BD98" s="187"/>
      <c r="BE98" s="187"/>
      <c r="BF98" s="187"/>
      <c r="BG98" s="187"/>
      <c r="BH98" s="187"/>
      <c r="BI98" s="187"/>
      <c r="BJ98" s="187"/>
      <c r="BK98" s="188"/>
      <c r="BL98" s="186"/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8"/>
      <c r="BX98" s="186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8"/>
      <c r="CJ98" s="186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8"/>
      <c r="CV98" s="186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8"/>
      <c r="DH98" s="186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8"/>
      <c r="DT98" s="186"/>
      <c r="DU98" s="187"/>
      <c r="DV98" s="187"/>
      <c r="DW98" s="187"/>
      <c r="DX98" s="187"/>
      <c r="DY98" s="187"/>
      <c r="DZ98" s="187"/>
      <c r="EA98" s="187"/>
      <c r="EB98" s="187"/>
      <c r="EC98" s="187"/>
      <c r="ED98" s="187"/>
      <c r="EE98" s="188"/>
      <c r="EF98" s="186"/>
      <c r="EG98" s="187"/>
      <c r="EH98" s="187"/>
      <c r="EI98" s="187"/>
      <c r="EJ98" s="187"/>
      <c r="EK98" s="187"/>
      <c r="EL98" s="187"/>
      <c r="EM98" s="187"/>
      <c r="EN98" s="187"/>
      <c r="EO98" s="187"/>
      <c r="EP98" s="187"/>
      <c r="EQ98" s="188"/>
    </row>
    <row r="99" hidden="1">
      <c r="A99" s="196"/>
      <c r="B99" s="196"/>
      <c r="C99" s="196"/>
      <c r="D99" s="186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8"/>
      <c r="P99" s="186">
        <v>17.0</v>
      </c>
      <c r="Q99" s="187">
        <v>1.0</v>
      </c>
      <c r="R99" s="187"/>
      <c r="S99" s="187"/>
      <c r="T99" s="187"/>
      <c r="U99" s="187"/>
      <c r="V99" s="187"/>
      <c r="W99" s="187"/>
      <c r="X99" s="187"/>
      <c r="Y99" s="187"/>
      <c r="Z99" s="187"/>
      <c r="AA99" s="188"/>
      <c r="AB99" s="186"/>
      <c r="AC99" s="187"/>
      <c r="AD99" s="187"/>
      <c r="AE99" s="187"/>
      <c r="AF99" s="187"/>
      <c r="AG99" s="187"/>
      <c r="AH99" s="187"/>
      <c r="AI99" s="187"/>
      <c r="AJ99" s="187"/>
      <c r="AK99" s="187"/>
      <c r="AL99" s="187"/>
      <c r="AM99" s="188"/>
      <c r="AN99" s="186"/>
      <c r="AO99" s="187"/>
      <c r="AP99" s="187"/>
      <c r="AQ99" s="187"/>
      <c r="AR99" s="187"/>
      <c r="AS99" s="187"/>
      <c r="AT99" s="187"/>
      <c r="AU99" s="187"/>
      <c r="AV99" s="187"/>
      <c r="AW99" s="187"/>
      <c r="AX99" s="187"/>
      <c r="AY99" s="188"/>
      <c r="AZ99" s="186"/>
      <c r="BA99" s="187"/>
      <c r="BB99" s="187"/>
      <c r="BC99" s="187"/>
      <c r="BD99" s="187"/>
      <c r="BE99" s="187"/>
      <c r="BF99" s="187"/>
      <c r="BG99" s="187"/>
      <c r="BH99" s="187"/>
      <c r="BI99" s="187"/>
      <c r="BJ99" s="187"/>
      <c r="BK99" s="188"/>
      <c r="BL99" s="186"/>
      <c r="BM99" s="187"/>
      <c r="BN99" s="187"/>
      <c r="BO99" s="187"/>
      <c r="BP99" s="187"/>
      <c r="BQ99" s="187"/>
      <c r="BR99" s="187"/>
      <c r="BS99" s="187"/>
      <c r="BT99" s="187"/>
      <c r="BU99" s="187"/>
      <c r="BV99" s="187"/>
      <c r="BW99" s="188"/>
      <c r="BX99" s="186"/>
      <c r="BY99" s="187"/>
      <c r="BZ99" s="187"/>
      <c r="CA99" s="187"/>
      <c r="CB99" s="187"/>
      <c r="CC99" s="187"/>
      <c r="CD99" s="187"/>
      <c r="CE99" s="187"/>
      <c r="CF99" s="187"/>
      <c r="CG99" s="187"/>
      <c r="CH99" s="187"/>
      <c r="CI99" s="188"/>
      <c r="CJ99" s="186"/>
      <c r="CK99" s="187"/>
      <c r="CL99" s="187"/>
      <c r="CM99" s="187"/>
      <c r="CN99" s="187"/>
      <c r="CO99" s="187"/>
      <c r="CP99" s="187"/>
      <c r="CQ99" s="187"/>
      <c r="CR99" s="187"/>
      <c r="CS99" s="187"/>
      <c r="CT99" s="187"/>
      <c r="CU99" s="188"/>
      <c r="CV99" s="186"/>
      <c r="CW99" s="187"/>
      <c r="CX99" s="187"/>
      <c r="CY99" s="187"/>
      <c r="CZ99" s="187"/>
      <c r="DA99" s="187"/>
      <c r="DB99" s="187"/>
      <c r="DC99" s="187"/>
      <c r="DD99" s="187"/>
      <c r="DE99" s="187"/>
      <c r="DF99" s="187"/>
      <c r="DG99" s="188"/>
      <c r="DH99" s="186"/>
      <c r="DI99" s="187"/>
      <c r="DJ99" s="187"/>
      <c r="DK99" s="187"/>
      <c r="DL99" s="187"/>
      <c r="DM99" s="187"/>
      <c r="DN99" s="187"/>
      <c r="DO99" s="187"/>
      <c r="DP99" s="187"/>
      <c r="DQ99" s="187"/>
      <c r="DR99" s="187"/>
      <c r="DS99" s="188"/>
      <c r="DT99" s="186"/>
      <c r="DU99" s="187"/>
      <c r="DV99" s="187"/>
      <c r="DW99" s="187"/>
      <c r="DX99" s="187"/>
      <c r="DY99" s="187"/>
      <c r="DZ99" s="187"/>
      <c r="EA99" s="187"/>
      <c r="EB99" s="187"/>
      <c r="EC99" s="187"/>
      <c r="ED99" s="187"/>
      <c r="EE99" s="188"/>
      <c r="EF99" s="186"/>
      <c r="EG99" s="187"/>
      <c r="EH99" s="187"/>
      <c r="EI99" s="187"/>
      <c r="EJ99" s="187"/>
      <c r="EK99" s="187"/>
      <c r="EL99" s="187"/>
      <c r="EM99" s="187"/>
      <c r="EN99" s="187"/>
      <c r="EO99" s="187"/>
      <c r="EP99" s="187"/>
      <c r="EQ99" s="188"/>
    </row>
    <row r="100" hidden="1">
      <c r="A100" s="196"/>
      <c r="B100" s="196"/>
      <c r="C100" s="196"/>
      <c r="D100" s="186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8"/>
      <c r="P100" s="186">
        <v>18.0</v>
      </c>
      <c r="Q100" s="187">
        <v>1.0</v>
      </c>
      <c r="R100" s="187"/>
      <c r="S100" s="187"/>
      <c r="T100" s="187"/>
      <c r="U100" s="187"/>
      <c r="V100" s="187"/>
      <c r="W100" s="187"/>
      <c r="X100" s="187"/>
      <c r="Y100" s="187"/>
      <c r="Z100" s="187"/>
      <c r="AA100" s="188"/>
      <c r="AB100" s="186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8"/>
      <c r="AN100" s="186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8"/>
      <c r="AZ100" s="186"/>
      <c r="BA100" s="187"/>
      <c r="BB100" s="187"/>
      <c r="BC100" s="187"/>
      <c r="BD100" s="187"/>
      <c r="BE100" s="187"/>
      <c r="BF100" s="187"/>
      <c r="BG100" s="187"/>
      <c r="BH100" s="187"/>
      <c r="BI100" s="187"/>
      <c r="BJ100" s="187"/>
      <c r="BK100" s="188"/>
      <c r="BL100" s="186"/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8"/>
      <c r="BX100" s="186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8"/>
      <c r="CJ100" s="186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8"/>
      <c r="CV100" s="186"/>
      <c r="CW100" s="187"/>
      <c r="CX100" s="187"/>
      <c r="CY100" s="187"/>
      <c r="CZ100" s="187"/>
      <c r="DA100" s="187"/>
      <c r="DB100" s="187"/>
      <c r="DC100" s="187"/>
      <c r="DD100" s="187"/>
      <c r="DE100" s="187"/>
      <c r="DF100" s="187"/>
      <c r="DG100" s="188"/>
      <c r="DH100" s="186"/>
      <c r="DI100" s="187"/>
      <c r="DJ100" s="187"/>
      <c r="DK100" s="187"/>
      <c r="DL100" s="187"/>
      <c r="DM100" s="187"/>
      <c r="DN100" s="187"/>
      <c r="DO100" s="187"/>
      <c r="DP100" s="187"/>
      <c r="DQ100" s="187"/>
      <c r="DR100" s="187"/>
      <c r="DS100" s="188"/>
      <c r="DT100" s="186"/>
      <c r="DU100" s="187"/>
      <c r="DV100" s="187"/>
      <c r="DW100" s="187"/>
      <c r="DX100" s="187"/>
      <c r="DY100" s="187"/>
      <c r="DZ100" s="187"/>
      <c r="EA100" s="187"/>
      <c r="EB100" s="187"/>
      <c r="EC100" s="187"/>
      <c r="ED100" s="187"/>
      <c r="EE100" s="188"/>
      <c r="EF100" s="186"/>
      <c r="EG100" s="187"/>
      <c r="EH100" s="187"/>
      <c r="EI100" s="187"/>
      <c r="EJ100" s="187"/>
      <c r="EK100" s="187"/>
      <c r="EL100" s="187"/>
      <c r="EM100" s="187"/>
      <c r="EN100" s="187"/>
      <c r="EO100" s="187"/>
      <c r="EP100" s="187"/>
      <c r="EQ100" s="188"/>
    </row>
    <row r="101" hidden="1">
      <c r="A101" s="196"/>
      <c r="B101" s="196"/>
      <c r="C101" s="196"/>
      <c r="D101" s="196"/>
      <c r="E101" s="196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96">
        <v>19.0</v>
      </c>
      <c r="Q101" s="196">
        <v>1.0</v>
      </c>
      <c r="R101" s="187"/>
      <c r="S101" s="187"/>
      <c r="T101" s="187"/>
      <c r="U101" s="187"/>
      <c r="V101" s="187"/>
      <c r="W101" s="187"/>
      <c r="X101" s="187"/>
      <c r="Y101" s="187"/>
      <c r="Z101" s="187"/>
      <c r="AA101" s="187"/>
      <c r="AB101" s="196"/>
      <c r="AC101" s="196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96"/>
      <c r="AO101" s="196"/>
      <c r="AP101" s="187"/>
      <c r="AQ101" s="187"/>
      <c r="AR101" s="187"/>
      <c r="AS101" s="187"/>
      <c r="AT101" s="187"/>
      <c r="AU101" s="187"/>
      <c r="AV101" s="187"/>
      <c r="AW101" s="187"/>
      <c r="AX101" s="187"/>
      <c r="AY101" s="187"/>
      <c r="AZ101" s="196"/>
      <c r="BA101" s="196"/>
      <c r="BB101" s="187"/>
      <c r="BC101" s="187"/>
      <c r="BD101" s="187"/>
      <c r="BE101" s="187"/>
      <c r="BF101" s="187"/>
      <c r="BG101" s="187"/>
      <c r="BH101" s="187"/>
      <c r="BI101" s="187"/>
      <c r="BJ101" s="187"/>
      <c r="BK101" s="187"/>
      <c r="BL101" s="196"/>
      <c r="BM101" s="196"/>
      <c r="BN101" s="187"/>
      <c r="BO101" s="187"/>
      <c r="BP101" s="187"/>
      <c r="BQ101" s="187"/>
      <c r="BR101" s="187"/>
      <c r="BS101" s="187"/>
      <c r="BT101" s="187"/>
      <c r="BU101" s="187"/>
      <c r="BV101" s="187"/>
      <c r="BW101" s="187"/>
      <c r="BX101" s="196"/>
      <c r="BY101" s="196"/>
      <c r="BZ101" s="187"/>
      <c r="CA101" s="187"/>
      <c r="CB101" s="187"/>
      <c r="CC101" s="187"/>
      <c r="CD101" s="187"/>
      <c r="CE101" s="187"/>
      <c r="CF101" s="187"/>
      <c r="CG101" s="187"/>
      <c r="CH101" s="187"/>
      <c r="CI101" s="187"/>
      <c r="CJ101" s="196"/>
      <c r="CK101" s="196"/>
      <c r="CL101" s="187"/>
      <c r="CM101" s="187"/>
      <c r="CN101" s="187"/>
      <c r="CO101" s="187"/>
      <c r="CP101" s="187"/>
      <c r="CQ101" s="187"/>
      <c r="CR101" s="187"/>
      <c r="CS101" s="187"/>
      <c r="CT101" s="187"/>
      <c r="CU101" s="187"/>
      <c r="CV101" s="196"/>
      <c r="CW101" s="196"/>
      <c r="CX101" s="187"/>
      <c r="CY101" s="187"/>
      <c r="CZ101" s="187"/>
      <c r="DA101" s="187"/>
      <c r="DB101" s="187"/>
      <c r="DC101" s="187"/>
      <c r="DD101" s="187"/>
      <c r="DE101" s="187"/>
      <c r="DF101" s="187"/>
      <c r="DG101" s="187"/>
      <c r="DH101" s="196"/>
      <c r="DI101" s="196"/>
      <c r="DJ101" s="187"/>
      <c r="DK101" s="187"/>
      <c r="DL101" s="187"/>
      <c r="DM101" s="187"/>
      <c r="DN101" s="187"/>
      <c r="DO101" s="187"/>
      <c r="DP101" s="187"/>
      <c r="DQ101" s="187"/>
      <c r="DR101" s="187"/>
      <c r="DS101" s="187"/>
      <c r="DT101" s="196"/>
      <c r="DU101" s="196"/>
      <c r="DV101" s="187"/>
      <c r="DW101" s="187"/>
      <c r="DX101" s="187"/>
      <c r="DY101" s="187"/>
      <c r="DZ101" s="187"/>
      <c r="EA101" s="187"/>
      <c r="EB101" s="187"/>
      <c r="EC101" s="187"/>
      <c r="ED101" s="187"/>
      <c r="EE101" s="187"/>
      <c r="EF101" s="196"/>
      <c r="EG101" s="196"/>
      <c r="EH101" s="187"/>
      <c r="EI101" s="187"/>
      <c r="EJ101" s="187"/>
      <c r="EK101" s="187"/>
      <c r="EL101" s="187"/>
      <c r="EM101" s="187"/>
      <c r="EN101" s="187"/>
      <c r="EO101" s="187"/>
      <c r="EP101" s="187"/>
      <c r="EQ101" s="187"/>
    </row>
    <row r="102" hidden="1">
      <c r="A102" s="196"/>
      <c r="B102" s="196"/>
      <c r="C102" s="196"/>
      <c r="D102" s="196"/>
      <c r="E102" s="196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96">
        <v>20.0</v>
      </c>
      <c r="Q102" s="196">
        <v>1.0</v>
      </c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  <c r="AB102" s="196"/>
      <c r="AC102" s="196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96"/>
      <c r="AO102" s="196"/>
      <c r="AP102" s="187"/>
      <c r="AQ102" s="187"/>
      <c r="AR102" s="187"/>
      <c r="AS102" s="187"/>
      <c r="AT102" s="187"/>
      <c r="AU102" s="187"/>
      <c r="AV102" s="187"/>
      <c r="AW102" s="187"/>
      <c r="AX102" s="187"/>
      <c r="AY102" s="187"/>
      <c r="AZ102" s="196"/>
      <c r="BA102" s="196"/>
      <c r="BB102" s="187"/>
      <c r="BC102" s="187"/>
      <c r="BD102" s="187"/>
      <c r="BE102" s="187"/>
      <c r="BF102" s="187"/>
      <c r="BG102" s="187"/>
      <c r="BH102" s="187"/>
      <c r="BI102" s="187"/>
      <c r="BJ102" s="187"/>
      <c r="BK102" s="187"/>
      <c r="BL102" s="196"/>
      <c r="BM102" s="196"/>
      <c r="BN102" s="187"/>
      <c r="BO102" s="187"/>
      <c r="BP102" s="187"/>
      <c r="BQ102" s="187"/>
      <c r="BR102" s="187"/>
      <c r="BS102" s="187"/>
      <c r="BT102" s="187"/>
      <c r="BU102" s="187"/>
      <c r="BV102" s="187"/>
      <c r="BW102" s="187"/>
      <c r="BX102" s="196"/>
      <c r="BY102" s="196"/>
      <c r="BZ102" s="187"/>
      <c r="CA102" s="187"/>
      <c r="CB102" s="187"/>
      <c r="CC102" s="187"/>
      <c r="CD102" s="187"/>
      <c r="CE102" s="187"/>
      <c r="CF102" s="187"/>
      <c r="CG102" s="187"/>
      <c r="CH102" s="187"/>
      <c r="CI102" s="187"/>
      <c r="CJ102" s="196"/>
      <c r="CK102" s="196"/>
      <c r="CL102" s="187"/>
      <c r="CM102" s="187"/>
      <c r="CN102" s="187"/>
      <c r="CO102" s="187"/>
      <c r="CP102" s="187"/>
      <c r="CQ102" s="187"/>
      <c r="CR102" s="187"/>
      <c r="CS102" s="187"/>
      <c r="CT102" s="187"/>
      <c r="CU102" s="187"/>
      <c r="CV102" s="196"/>
      <c r="CW102" s="196"/>
      <c r="CX102" s="187"/>
      <c r="CY102" s="187"/>
      <c r="CZ102" s="187"/>
      <c r="DA102" s="187"/>
      <c r="DB102" s="187"/>
      <c r="DC102" s="187"/>
      <c r="DD102" s="187"/>
      <c r="DE102" s="187"/>
      <c r="DF102" s="187"/>
      <c r="DG102" s="187"/>
      <c r="DH102" s="196"/>
      <c r="DI102" s="196"/>
      <c r="DJ102" s="187"/>
      <c r="DK102" s="187"/>
      <c r="DL102" s="187"/>
      <c r="DM102" s="187"/>
      <c r="DN102" s="187"/>
      <c r="DO102" s="187"/>
      <c r="DP102" s="187"/>
      <c r="DQ102" s="187"/>
      <c r="DR102" s="187"/>
      <c r="DS102" s="187"/>
      <c r="DT102" s="196"/>
      <c r="DU102" s="196"/>
      <c r="DV102" s="187"/>
      <c r="DW102" s="187"/>
      <c r="DX102" s="187"/>
      <c r="DY102" s="187"/>
      <c r="DZ102" s="187"/>
      <c r="EA102" s="187"/>
      <c r="EB102" s="187"/>
      <c r="EC102" s="187"/>
      <c r="ED102" s="187"/>
      <c r="EE102" s="187"/>
      <c r="EF102" s="196"/>
      <c r="EG102" s="196"/>
      <c r="EH102" s="187"/>
      <c r="EI102" s="187"/>
      <c r="EJ102" s="187"/>
      <c r="EK102" s="187"/>
      <c r="EL102" s="187"/>
      <c r="EM102" s="187"/>
      <c r="EN102" s="187"/>
      <c r="EO102" s="187"/>
      <c r="EP102" s="187"/>
      <c r="EQ102" s="187"/>
    </row>
    <row r="103" hidden="1">
      <c r="A103" s="196"/>
      <c r="B103" s="196"/>
      <c r="C103" s="196"/>
      <c r="D103" s="196"/>
      <c r="E103" s="196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96">
        <v>21.0</v>
      </c>
      <c r="Q103" s="196">
        <v>1.0</v>
      </c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96"/>
      <c r="AC103" s="196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96"/>
      <c r="AO103" s="196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96"/>
      <c r="BA103" s="196"/>
      <c r="BB103" s="187"/>
      <c r="BC103" s="187"/>
      <c r="BD103" s="187"/>
      <c r="BE103" s="187"/>
      <c r="BF103" s="187"/>
      <c r="BG103" s="187"/>
      <c r="BH103" s="187"/>
      <c r="BI103" s="187"/>
      <c r="BJ103" s="187"/>
      <c r="BK103" s="187"/>
      <c r="BL103" s="196"/>
      <c r="BM103" s="196"/>
      <c r="BN103" s="187"/>
      <c r="BO103" s="187"/>
      <c r="BP103" s="187"/>
      <c r="BQ103" s="187"/>
      <c r="BR103" s="187"/>
      <c r="BS103" s="187"/>
      <c r="BT103" s="187"/>
      <c r="BU103" s="187"/>
      <c r="BV103" s="187"/>
      <c r="BW103" s="187"/>
      <c r="BX103" s="196"/>
      <c r="BY103" s="196"/>
      <c r="BZ103" s="187"/>
      <c r="CA103" s="187"/>
      <c r="CB103" s="187"/>
      <c r="CC103" s="187"/>
      <c r="CD103" s="187"/>
      <c r="CE103" s="187"/>
      <c r="CF103" s="187"/>
      <c r="CG103" s="187"/>
      <c r="CH103" s="187"/>
      <c r="CI103" s="187"/>
      <c r="CJ103" s="196"/>
      <c r="CK103" s="196"/>
      <c r="CL103" s="187"/>
      <c r="CM103" s="187"/>
      <c r="CN103" s="187"/>
      <c r="CO103" s="187"/>
      <c r="CP103" s="187"/>
      <c r="CQ103" s="187"/>
      <c r="CR103" s="187"/>
      <c r="CS103" s="187"/>
      <c r="CT103" s="187"/>
      <c r="CU103" s="187"/>
      <c r="CV103" s="196"/>
      <c r="CW103" s="196"/>
      <c r="CX103" s="187"/>
      <c r="CY103" s="187"/>
      <c r="CZ103" s="187"/>
      <c r="DA103" s="187"/>
      <c r="DB103" s="187"/>
      <c r="DC103" s="187"/>
      <c r="DD103" s="187"/>
      <c r="DE103" s="187"/>
      <c r="DF103" s="187"/>
      <c r="DG103" s="187"/>
      <c r="DH103" s="196"/>
      <c r="DI103" s="196"/>
      <c r="DJ103" s="187"/>
      <c r="DK103" s="187"/>
      <c r="DL103" s="187"/>
      <c r="DM103" s="187"/>
      <c r="DN103" s="187"/>
      <c r="DO103" s="187"/>
      <c r="DP103" s="187"/>
      <c r="DQ103" s="187"/>
      <c r="DR103" s="187"/>
      <c r="DS103" s="187"/>
      <c r="DT103" s="196"/>
      <c r="DU103" s="196"/>
      <c r="DV103" s="187"/>
      <c r="DW103" s="187"/>
      <c r="DX103" s="187"/>
      <c r="DY103" s="187"/>
      <c r="DZ103" s="187"/>
      <c r="EA103" s="187"/>
      <c r="EB103" s="187"/>
      <c r="EC103" s="187"/>
      <c r="ED103" s="187"/>
      <c r="EE103" s="187"/>
      <c r="EF103" s="196"/>
      <c r="EG103" s="196"/>
      <c r="EH103" s="187"/>
      <c r="EI103" s="187"/>
      <c r="EJ103" s="187"/>
      <c r="EK103" s="187"/>
      <c r="EL103" s="187"/>
      <c r="EM103" s="187"/>
      <c r="EN103" s="187"/>
      <c r="EO103" s="187"/>
      <c r="EP103" s="187"/>
      <c r="EQ103" s="187"/>
    </row>
    <row r="104" hidden="1">
      <c r="A104" s="196"/>
      <c r="B104" s="196"/>
      <c r="C104" s="196"/>
      <c r="D104" s="196"/>
      <c r="E104" s="196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96">
        <v>22.0</v>
      </c>
      <c r="Q104" s="196">
        <v>1.0</v>
      </c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96"/>
      <c r="AC104" s="196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96"/>
      <c r="AO104" s="196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96"/>
      <c r="BA104" s="196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96"/>
      <c r="BM104" s="196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96"/>
      <c r="BY104" s="196"/>
      <c r="BZ104" s="187"/>
      <c r="CA104" s="187"/>
      <c r="CB104" s="187"/>
      <c r="CC104" s="187"/>
      <c r="CD104" s="187"/>
      <c r="CE104" s="187"/>
      <c r="CF104" s="187"/>
      <c r="CG104" s="187"/>
      <c r="CH104" s="187"/>
      <c r="CI104" s="187"/>
      <c r="CJ104" s="196"/>
      <c r="CK104" s="196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96"/>
      <c r="CW104" s="196"/>
      <c r="CX104" s="187"/>
      <c r="CY104" s="187"/>
      <c r="CZ104" s="187"/>
      <c r="DA104" s="187"/>
      <c r="DB104" s="187"/>
      <c r="DC104" s="187"/>
      <c r="DD104" s="187"/>
      <c r="DE104" s="187"/>
      <c r="DF104" s="187"/>
      <c r="DG104" s="187"/>
      <c r="DH104" s="196"/>
      <c r="DI104" s="196"/>
      <c r="DJ104" s="187"/>
      <c r="DK104" s="187"/>
      <c r="DL104" s="187"/>
      <c r="DM104" s="187"/>
      <c r="DN104" s="187"/>
      <c r="DO104" s="187"/>
      <c r="DP104" s="187"/>
      <c r="DQ104" s="187"/>
      <c r="DR104" s="187"/>
      <c r="DS104" s="187"/>
      <c r="DT104" s="196"/>
      <c r="DU104" s="196"/>
      <c r="DV104" s="187"/>
      <c r="DW104" s="187"/>
      <c r="DX104" s="187"/>
      <c r="DY104" s="187"/>
      <c r="DZ104" s="187"/>
      <c r="EA104" s="187"/>
      <c r="EB104" s="187"/>
      <c r="EC104" s="187"/>
      <c r="ED104" s="187"/>
      <c r="EE104" s="187"/>
      <c r="EF104" s="196"/>
      <c r="EG104" s="196"/>
      <c r="EH104" s="187"/>
      <c r="EI104" s="187"/>
      <c r="EJ104" s="187"/>
      <c r="EK104" s="187"/>
      <c r="EL104" s="187"/>
      <c r="EM104" s="187"/>
      <c r="EN104" s="187"/>
      <c r="EO104" s="187"/>
      <c r="EP104" s="187"/>
      <c r="EQ104" s="187"/>
    </row>
    <row r="105" hidden="1">
      <c r="A105" s="196"/>
      <c r="B105" s="196"/>
      <c r="C105" s="196"/>
      <c r="D105" s="196"/>
      <c r="E105" s="196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96">
        <v>23.0</v>
      </c>
      <c r="Q105" s="196">
        <v>1.0</v>
      </c>
      <c r="R105" s="187"/>
      <c r="S105" s="187"/>
      <c r="T105" s="187"/>
      <c r="U105" s="187"/>
      <c r="V105" s="187"/>
      <c r="W105" s="187"/>
      <c r="X105" s="187"/>
      <c r="Y105" s="187"/>
      <c r="Z105" s="187"/>
      <c r="AA105" s="187"/>
      <c r="AB105" s="196"/>
      <c r="AC105" s="196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96"/>
      <c r="AO105" s="196"/>
      <c r="AP105" s="187"/>
      <c r="AQ105" s="187"/>
      <c r="AR105" s="187"/>
      <c r="AS105" s="187"/>
      <c r="AT105" s="187"/>
      <c r="AU105" s="187"/>
      <c r="AV105" s="187"/>
      <c r="AW105" s="187"/>
      <c r="AX105" s="187"/>
      <c r="AY105" s="187"/>
      <c r="AZ105" s="196"/>
      <c r="BA105" s="196"/>
      <c r="BB105" s="187"/>
      <c r="BC105" s="187"/>
      <c r="BD105" s="187"/>
      <c r="BE105" s="187"/>
      <c r="BF105" s="187"/>
      <c r="BG105" s="187"/>
      <c r="BH105" s="187"/>
      <c r="BI105" s="187"/>
      <c r="BJ105" s="187"/>
      <c r="BK105" s="187"/>
      <c r="BL105" s="196"/>
      <c r="BM105" s="196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96"/>
      <c r="BY105" s="196"/>
      <c r="BZ105" s="187"/>
      <c r="CA105" s="187"/>
      <c r="CB105" s="187"/>
      <c r="CC105" s="187"/>
      <c r="CD105" s="187"/>
      <c r="CE105" s="187"/>
      <c r="CF105" s="187"/>
      <c r="CG105" s="187"/>
      <c r="CH105" s="187"/>
      <c r="CI105" s="187"/>
      <c r="CJ105" s="196"/>
      <c r="CK105" s="196"/>
      <c r="CL105" s="187"/>
      <c r="CM105" s="187"/>
      <c r="CN105" s="187"/>
      <c r="CO105" s="187"/>
      <c r="CP105" s="187"/>
      <c r="CQ105" s="187"/>
      <c r="CR105" s="187"/>
      <c r="CS105" s="187"/>
      <c r="CT105" s="187"/>
      <c r="CU105" s="187"/>
      <c r="CV105" s="196"/>
      <c r="CW105" s="196"/>
      <c r="CX105" s="187"/>
      <c r="CY105" s="187"/>
      <c r="CZ105" s="187"/>
      <c r="DA105" s="187"/>
      <c r="DB105" s="187"/>
      <c r="DC105" s="187"/>
      <c r="DD105" s="187"/>
      <c r="DE105" s="187"/>
      <c r="DF105" s="187"/>
      <c r="DG105" s="187"/>
      <c r="DH105" s="196"/>
      <c r="DI105" s="196"/>
      <c r="DJ105" s="187"/>
      <c r="DK105" s="187"/>
      <c r="DL105" s="187"/>
      <c r="DM105" s="187"/>
      <c r="DN105" s="187"/>
      <c r="DO105" s="187"/>
      <c r="DP105" s="187"/>
      <c r="DQ105" s="187"/>
      <c r="DR105" s="187"/>
      <c r="DS105" s="187"/>
      <c r="DT105" s="196"/>
      <c r="DU105" s="196"/>
      <c r="DV105" s="187"/>
      <c r="DW105" s="187"/>
      <c r="DX105" s="187"/>
      <c r="DY105" s="187"/>
      <c r="DZ105" s="187"/>
      <c r="EA105" s="187"/>
      <c r="EB105" s="187"/>
      <c r="EC105" s="187"/>
      <c r="ED105" s="187"/>
      <c r="EE105" s="187"/>
      <c r="EF105" s="196"/>
      <c r="EG105" s="196"/>
      <c r="EH105" s="187"/>
      <c r="EI105" s="187"/>
      <c r="EJ105" s="187"/>
      <c r="EK105" s="187"/>
      <c r="EL105" s="187"/>
      <c r="EM105" s="187"/>
      <c r="EN105" s="187"/>
      <c r="EO105" s="187"/>
      <c r="EP105" s="187"/>
      <c r="EQ105" s="187"/>
    </row>
    <row r="106" hidden="1">
      <c r="A106" s="196"/>
      <c r="B106" s="196"/>
      <c r="C106" s="196"/>
      <c r="D106" s="196"/>
      <c r="E106" s="196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96">
        <v>24.0</v>
      </c>
      <c r="Q106" s="196">
        <v>1.0</v>
      </c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96"/>
      <c r="AC106" s="196"/>
      <c r="AD106" s="187"/>
      <c r="AE106" s="187"/>
      <c r="AF106" s="187"/>
      <c r="AG106" s="187"/>
      <c r="AH106" s="187"/>
      <c r="AI106" s="187"/>
      <c r="AJ106" s="187"/>
      <c r="AK106" s="187"/>
      <c r="AL106" s="187"/>
      <c r="AM106" s="187"/>
      <c r="AN106" s="196"/>
      <c r="AO106" s="196"/>
      <c r="AP106" s="187"/>
      <c r="AQ106" s="187"/>
      <c r="AR106" s="187"/>
      <c r="AS106" s="187"/>
      <c r="AT106" s="187"/>
      <c r="AU106" s="187"/>
      <c r="AV106" s="187"/>
      <c r="AW106" s="187"/>
      <c r="AX106" s="187"/>
      <c r="AY106" s="187"/>
      <c r="AZ106" s="196"/>
      <c r="BA106" s="196"/>
      <c r="BB106" s="187"/>
      <c r="BC106" s="187"/>
      <c r="BD106" s="187"/>
      <c r="BE106" s="187"/>
      <c r="BF106" s="187"/>
      <c r="BG106" s="187"/>
      <c r="BH106" s="187"/>
      <c r="BI106" s="187"/>
      <c r="BJ106" s="187"/>
      <c r="BK106" s="187"/>
      <c r="BL106" s="196"/>
      <c r="BM106" s="196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96"/>
      <c r="BY106" s="196"/>
      <c r="BZ106" s="187"/>
      <c r="CA106" s="187"/>
      <c r="CB106" s="187"/>
      <c r="CC106" s="187"/>
      <c r="CD106" s="187"/>
      <c r="CE106" s="187"/>
      <c r="CF106" s="187"/>
      <c r="CG106" s="187"/>
      <c r="CH106" s="187"/>
      <c r="CI106" s="187"/>
      <c r="CJ106" s="196"/>
      <c r="CK106" s="196"/>
      <c r="CL106" s="187"/>
      <c r="CM106" s="187"/>
      <c r="CN106" s="187"/>
      <c r="CO106" s="187"/>
      <c r="CP106" s="187"/>
      <c r="CQ106" s="187"/>
      <c r="CR106" s="187"/>
      <c r="CS106" s="187"/>
      <c r="CT106" s="187"/>
      <c r="CU106" s="187"/>
      <c r="CV106" s="196"/>
      <c r="CW106" s="196"/>
      <c r="CX106" s="187"/>
      <c r="CY106" s="187"/>
      <c r="CZ106" s="187"/>
      <c r="DA106" s="187"/>
      <c r="DB106" s="187"/>
      <c r="DC106" s="187"/>
      <c r="DD106" s="187"/>
      <c r="DE106" s="187"/>
      <c r="DF106" s="187"/>
      <c r="DG106" s="187"/>
      <c r="DH106" s="196"/>
      <c r="DI106" s="196"/>
      <c r="DJ106" s="187"/>
      <c r="DK106" s="187"/>
      <c r="DL106" s="187"/>
      <c r="DM106" s="187"/>
      <c r="DN106" s="187"/>
      <c r="DO106" s="187"/>
      <c r="DP106" s="187"/>
      <c r="DQ106" s="187"/>
      <c r="DR106" s="187"/>
      <c r="DS106" s="187"/>
      <c r="DT106" s="196"/>
      <c r="DU106" s="196"/>
      <c r="DV106" s="187"/>
      <c r="DW106" s="187"/>
      <c r="DX106" s="187"/>
      <c r="DY106" s="187"/>
      <c r="DZ106" s="187"/>
      <c r="EA106" s="187"/>
      <c r="EB106" s="187"/>
      <c r="EC106" s="187"/>
      <c r="ED106" s="187"/>
      <c r="EE106" s="187"/>
      <c r="EF106" s="196"/>
      <c r="EG106" s="196"/>
      <c r="EH106" s="187"/>
      <c r="EI106" s="187"/>
      <c r="EJ106" s="187"/>
      <c r="EK106" s="187"/>
      <c r="EL106" s="187"/>
      <c r="EM106" s="187"/>
      <c r="EN106" s="187"/>
      <c r="EO106" s="187"/>
      <c r="EP106" s="187"/>
      <c r="EQ106" s="187"/>
    </row>
    <row r="107" hidden="1">
      <c r="A107" s="196"/>
      <c r="B107" s="196"/>
      <c r="C107" s="196"/>
      <c r="D107" s="196"/>
      <c r="E107" s="196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96">
        <v>25.0</v>
      </c>
      <c r="Q107" s="196">
        <v>1.0</v>
      </c>
      <c r="R107" s="187"/>
      <c r="S107" s="187"/>
      <c r="T107" s="187"/>
      <c r="U107" s="187"/>
      <c r="V107" s="187"/>
      <c r="W107" s="187"/>
      <c r="X107" s="187"/>
      <c r="Y107" s="187"/>
      <c r="Z107" s="187"/>
      <c r="AA107" s="187"/>
      <c r="AB107" s="196"/>
      <c r="AC107" s="196"/>
      <c r="AD107" s="187"/>
      <c r="AE107" s="187"/>
      <c r="AF107" s="187"/>
      <c r="AG107" s="187"/>
      <c r="AH107" s="187"/>
      <c r="AI107" s="187"/>
      <c r="AJ107" s="187"/>
      <c r="AK107" s="187"/>
      <c r="AL107" s="187"/>
      <c r="AM107" s="187"/>
      <c r="AN107" s="196"/>
      <c r="AO107" s="196"/>
      <c r="AP107" s="187"/>
      <c r="AQ107" s="187"/>
      <c r="AR107" s="187"/>
      <c r="AS107" s="187"/>
      <c r="AT107" s="187"/>
      <c r="AU107" s="187"/>
      <c r="AV107" s="187"/>
      <c r="AW107" s="187"/>
      <c r="AX107" s="187"/>
      <c r="AY107" s="187"/>
      <c r="AZ107" s="196"/>
      <c r="BA107" s="196"/>
      <c r="BB107" s="187"/>
      <c r="BC107" s="187"/>
      <c r="BD107" s="187"/>
      <c r="BE107" s="187"/>
      <c r="BF107" s="187"/>
      <c r="BG107" s="187"/>
      <c r="BH107" s="187"/>
      <c r="BI107" s="187"/>
      <c r="BJ107" s="187"/>
      <c r="BK107" s="187"/>
      <c r="BL107" s="196"/>
      <c r="BM107" s="196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96"/>
      <c r="BY107" s="196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96"/>
      <c r="CK107" s="196"/>
      <c r="CL107" s="187"/>
      <c r="CM107" s="187"/>
      <c r="CN107" s="187"/>
      <c r="CO107" s="187"/>
      <c r="CP107" s="187"/>
      <c r="CQ107" s="187"/>
      <c r="CR107" s="187"/>
      <c r="CS107" s="187"/>
      <c r="CT107" s="187"/>
      <c r="CU107" s="187"/>
      <c r="CV107" s="196"/>
      <c r="CW107" s="196"/>
      <c r="CX107" s="187"/>
      <c r="CY107" s="187"/>
      <c r="CZ107" s="187"/>
      <c r="DA107" s="187"/>
      <c r="DB107" s="187"/>
      <c r="DC107" s="187"/>
      <c r="DD107" s="187"/>
      <c r="DE107" s="187"/>
      <c r="DF107" s="187"/>
      <c r="DG107" s="187"/>
      <c r="DH107" s="196"/>
      <c r="DI107" s="196"/>
      <c r="DJ107" s="187"/>
      <c r="DK107" s="187"/>
      <c r="DL107" s="187"/>
      <c r="DM107" s="187"/>
      <c r="DN107" s="187"/>
      <c r="DO107" s="187"/>
      <c r="DP107" s="187"/>
      <c r="DQ107" s="187"/>
      <c r="DR107" s="187"/>
      <c r="DS107" s="187"/>
      <c r="DT107" s="196"/>
      <c r="DU107" s="196"/>
      <c r="DV107" s="187"/>
      <c r="DW107" s="187"/>
      <c r="DX107" s="187"/>
      <c r="DY107" s="187"/>
      <c r="DZ107" s="187"/>
      <c r="EA107" s="187"/>
      <c r="EB107" s="187"/>
      <c r="EC107" s="187"/>
      <c r="ED107" s="187"/>
      <c r="EE107" s="187"/>
      <c r="EF107" s="196"/>
      <c r="EG107" s="196"/>
      <c r="EH107" s="187"/>
      <c r="EI107" s="187"/>
      <c r="EJ107" s="187"/>
      <c r="EK107" s="187"/>
      <c r="EL107" s="187"/>
      <c r="EM107" s="187"/>
      <c r="EN107" s="187"/>
      <c r="EO107" s="187"/>
      <c r="EP107" s="187"/>
      <c r="EQ107" s="187"/>
    </row>
    <row r="108" hidden="1">
      <c r="A108" s="196"/>
      <c r="B108" s="196"/>
      <c r="C108" s="196"/>
      <c r="D108" s="196"/>
      <c r="E108" s="196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96">
        <v>26.0</v>
      </c>
      <c r="Q108" s="196">
        <v>1.0</v>
      </c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196"/>
      <c r="AC108" s="196"/>
      <c r="AD108" s="187"/>
      <c r="AE108" s="187"/>
      <c r="AF108" s="187"/>
      <c r="AG108" s="187"/>
      <c r="AH108" s="187"/>
      <c r="AI108" s="187"/>
      <c r="AJ108" s="187"/>
      <c r="AK108" s="187"/>
      <c r="AL108" s="187"/>
      <c r="AM108" s="187"/>
      <c r="AN108" s="196"/>
      <c r="AO108" s="196"/>
      <c r="AP108" s="187"/>
      <c r="AQ108" s="187"/>
      <c r="AR108" s="187"/>
      <c r="AS108" s="187"/>
      <c r="AT108" s="187"/>
      <c r="AU108" s="187"/>
      <c r="AV108" s="187"/>
      <c r="AW108" s="187"/>
      <c r="AX108" s="187"/>
      <c r="AY108" s="187"/>
      <c r="AZ108" s="196"/>
      <c r="BA108" s="196"/>
      <c r="BB108" s="187"/>
      <c r="BC108" s="187"/>
      <c r="BD108" s="187"/>
      <c r="BE108" s="187"/>
      <c r="BF108" s="187"/>
      <c r="BG108" s="187"/>
      <c r="BH108" s="187"/>
      <c r="BI108" s="187"/>
      <c r="BJ108" s="187"/>
      <c r="BK108" s="187"/>
      <c r="BL108" s="196"/>
      <c r="BM108" s="196"/>
      <c r="BN108" s="187"/>
      <c r="BO108" s="187"/>
      <c r="BP108" s="187"/>
      <c r="BQ108" s="187"/>
      <c r="BR108" s="187"/>
      <c r="BS108" s="187"/>
      <c r="BT108" s="187"/>
      <c r="BU108" s="187"/>
      <c r="BV108" s="187"/>
      <c r="BW108" s="187"/>
      <c r="BX108" s="196"/>
      <c r="BY108" s="196"/>
      <c r="BZ108" s="187"/>
      <c r="CA108" s="187"/>
      <c r="CB108" s="187"/>
      <c r="CC108" s="187"/>
      <c r="CD108" s="187"/>
      <c r="CE108" s="187"/>
      <c r="CF108" s="187"/>
      <c r="CG108" s="187"/>
      <c r="CH108" s="187"/>
      <c r="CI108" s="187"/>
      <c r="CJ108" s="196"/>
      <c r="CK108" s="196"/>
      <c r="CL108" s="187"/>
      <c r="CM108" s="187"/>
      <c r="CN108" s="187"/>
      <c r="CO108" s="187"/>
      <c r="CP108" s="187"/>
      <c r="CQ108" s="187"/>
      <c r="CR108" s="187"/>
      <c r="CS108" s="187"/>
      <c r="CT108" s="187"/>
      <c r="CU108" s="187"/>
      <c r="CV108" s="196"/>
      <c r="CW108" s="196"/>
      <c r="CX108" s="187"/>
      <c r="CY108" s="187"/>
      <c r="CZ108" s="187"/>
      <c r="DA108" s="187"/>
      <c r="DB108" s="187"/>
      <c r="DC108" s="187"/>
      <c r="DD108" s="187"/>
      <c r="DE108" s="187"/>
      <c r="DF108" s="187"/>
      <c r="DG108" s="187"/>
      <c r="DH108" s="196"/>
      <c r="DI108" s="196"/>
      <c r="DJ108" s="187"/>
      <c r="DK108" s="187"/>
      <c r="DL108" s="187"/>
      <c r="DM108" s="187"/>
      <c r="DN108" s="187"/>
      <c r="DO108" s="187"/>
      <c r="DP108" s="187"/>
      <c r="DQ108" s="187"/>
      <c r="DR108" s="187"/>
      <c r="DS108" s="187"/>
      <c r="DT108" s="196"/>
      <c r="DU108" s="196"/>
      <c r="DV108" s="187"/>
      <c r="DW108" s="187"/>
      <c r="DX108" s="187"/>
      <c r="DY108" s="187"/>
      <c r="DZ108" s="187"/>
      <c r="EA108" s="187"/>
      <c r="EB108" s="187"/>
      <c r="EC108" s="187"/>
      <c r="ED108" s="187"/>
      <c r="EE108" s="187"/>
      <c r="EF108" s="196"/>
      <c r="EG108" s="196"/>
      <c r="EH108" s="187"/>
      <c r="EI108" s="187"/>
      <c r="EJ108" s="187"/>
      <c r="EK108" s="187"/>
      <c r="EL108" s="187"/>
      <c r="EM108" s="187"/>
      <c r="EN108" s="187"/>
      <c r="EO108" s="187"/>
      <c r="EP108" s="187"/>
      <c r="EQ108" s="187"/>
    </row>
    <row r="109" hidden="1">
      <c r="A109" s="196"/>
      <c r="B109" s="196"/>
      <c r="C109" s="196"/>
      <c r="D109" s="196"/>
      <c r="E109" s="196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96">
        <v>27.0</v>
      </c>
      <c r="Q109" s="196">
        <v>1.0</v>
      </c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  <c r="AB109" s="196"/>
      <c r="AC109" s="196"/>
      <c r="AD109" s="187"/>
      <c r="AE109" s="187"/>
      <c r="AF109" s="187"/>
      <c r="AG109" s="187"/>
      <c r="AH109" s="187"/>
      <c r="AI109" s="187"/>
      <c r="AJ109" s="187"/>
      <c r="AK109" s="187"/>
      <c r="AL109" s="187"/>
      <c r="AM109" s="187"/>
      <c r="AN109" s="196"/>
      <c r="AO109" s="196"/>
      <c r="AP109" s="187"/>
      <c r="AQ109" s="187"/>
      <c r="AR109" s="187"/>
      <c r="AS109" s="187"/>
      <c r="AT109" s="187"/>
      <c r="AU109" s="187"/>
      <c r="AV109" s="187"/>
      <c r="AW109" s="187"/>
      <c r="AX109" s="187"/>
      <c r="AY109" s="187"/>
      <c r="AZ109" s="196"/>
      <c r="BA109" s="196"/>
      <c r="BB109" s="187"/>
      <c r="BC109" s="187"/>
      <c r="BD109" s="187"/>
      <c r="BE109" s="187"/>
      <c r="BF109" s="187"/>
      <c r="BG109" s="187"/>
      <c r="BH109" s="187"/>
      <c r="BI109" s="187"/>
      <c r="BJ109" s="187"/>
      <c r="BK109" s="187"/>
      <c r="BL109" s="196"/>
      <c r="BM109" s="196"/>
      <c r="BN109" s="187"/>
      <c r="BO109" s="187"/>
      <c r="BP109" s="187"/>
      <c r="BQ109" s="187"/>
      <c r="BR109" s="187"/>
      <c r="BS109" s="187"/>
      <c r="BT109" s="187"/>
      <c r="BU109" s="187"/>
      <c r="BV109" s="187"/>
      <c r="BW109" s="187"/>
      <c r="BX109" s="196"/>
      <c r="BY109" s="196"/>
      <c r="BZ109" s="187"/>
      <c r="CA109" s="187"/>
      <c r="CB109" s="187"/>
      <c r="CC109" s="187"/>
      <c r="CD109" s="187"/>
      <c r="CE109" s="187"/>
      <c r="CF109" s="187"/>
      <c r="CG109" s="187"/>
      <c r="CH109" s="187"/>
      <c r="CI109" s="187"/>
      <c r="CJ109" s="196"/>
      <c r="CK109" s="196"/>
      <c r="CL109" s="187"/>
      <c r="CM109" s="187"/>
      <c r="CN109" s="187"/>
      <c r="CO109" s="187"/>
      <c r="CP109" s="187"/>
      <c r="CQ109" s="187"/>
      <c r="CR109" s="187"/>
      <c r="CS109" s="187"/>
      <c r="CT109" s="187"/>
      <c r="CU109" s="187"/>
      <c r="CV109" s="196"/>
      <c r="CW109" s="196"/>
      <c r="CX109" s="187"/>
      <c r="CY109" s="187"/>
      <c r="CZ109" s="187"/>
      <c r="DA109" s="187"/>
      <c r="DB109" s="187"/>
      <c r="DC109" s="187"/>
      <c r="DD109" s="187"/>
      <c r="DE109" s="187"/>
      <c r="DF109" s="187"/>
      <c r="DG109" s="187"/>
      <c r="DH109" s="196"/>
      <c r="DI109" s="196"/>
      <c r="DJ109" s="187"/>
      <c r="DK109" s="187"/>
      <c r="DL109" s="187"/>
      <c r="DM109" s="187"/>
      <c r="DN109" s="187"/>
      <c r="DO109" s="187"/>
      <c r="DP109" s="187"/>
      <c r="DQ109" s="187"/>
      <c r="DR109" s="187"/>
      <c r="DS109" s="187"/>
      <c r="DT109" s="196"/>
      <c r="DU109" s="196"/>
      <c r="DV109" s="187"/>
      <c r="DW109" s="187"/>
      <c r="DX109" s="187"/>
      <c r="DY109" s="187"/>
      <c r="DZ109" s="187"/>
      <c r="EA109" s="187"/>
      <c r="EB109" s="187"/>
      <c r="EC109" s="187"/>
      <c r="ED109" s="187"/>
      <c r="EE109" s="187"/>
      <c r="EF109" s="196"/>
      <c r="EG109" s="196"/>
      <c r="EH109" s="187"/>
      <c r="EI109" s="187"/>
      <c r="EJ109" s="187"/>
      <c r="EK109" s="187"/>
      <c r="EL109" s="187"/>
      <c r="EM109" s="187"/>
      <c r="EN109" s="187"/>
      <c r="EO109" s="187"/>
      <c r="EP109" s="187"/>
      <c r="EQ109" s="187"/>
    </row>
    <row r="110" hidden="1">
      <c r="A110" s="196"/>
      <c r="B110" s="196"/>
      <c r="C110" s="196"/>
      <c r="D110" s="196"/>
      <c r="E110" s="196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96">
        <v>28.0</v>
      </c>
      <c r="Q110" s="196">
        <v>1.0</v>
      </c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  <c r="AB110" s="196"/>
      <c r="AC110" s="196"/>
      <c r="AD110" s="187"/>
      <c r="AE110" s="187"/>
      <c r="AF110" s="187"/>
      <c r="AG110" s="187"/>
      <c r="AH110" s="187"/>
      <c r="AI110" s="187"/>
      <c r="AJ110" s="187"/>
      <c r="AK110" s="187"/>
      <c r="AL110" s="187"/>
      <c r="AM110" s="187"/>
      <c r="AN110" s="196"/>
      <c r="AO110" s="196"/>
      <c r="AP110" s="187"/>
      <c r="AQ110" s="187"/>
      <c r="AR110" s="187"/>
      <c r="AS110" s="187"/>
      <c r="AT110" s="187"/>
      <c r="AU110" s="187"/>
      <c r="AV110" s="187"/>
      <c r="AW110" s="187"/>
      <c r="AX110" s="187"/>
      <c r="AY110" s="187"/>
      <c r="AZ110" s="196"/>
      <c r="BA110" s="196"/>
      <c r="BB110" s="187"/>
      <c r="BC110" s="187"/>
      <c r="BD110" s="187"/>
      <c r="BE110" s="187"/>
      <c r="BF110" s="187"/>
      <c r="BG110" s="187"/>
      <c r="BH110" s="187"/>
      <c r="BI110" s="187"/>
      <c r="BJ110" s="187"/>
      <c r="BK110" s="187"/>
      <c r="BL110" s="196"/>
      <c r="BM110" s="196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96"/>
      <c r="BY110" s="196"/>
      <c r="BZ110" s="187"/>
      <c r="CA110" s="187"/>
      <c r="CB110" s="187"/>
      <c r="CC110" s="187"/>
      <c r="CD110" s="187"/>
      <c r="CE110" s="187"/>
      <c r="CF110" s="187"/>
      <c r="CG110" s="187"/>
      <c r="CH110" s="187"/>
      <c r="CI110" s="187"/>
      <c r="CJ110" s="196"/>
      <c r="CK110" s="196"/>
      <c r="CL110" s="187"/>
      <c r="CM110" s="187"/>
      <c r="CN110" s="187"/>
      <c r="CO110" s="187"/>
      <c r="CP110" s="187"/>
      <c r="CQ110" s="187"/>
      <c r="CR110" s="187"/>
      <c r="CS110" s="187"/>
      <c r="CT110" s="187"/>
      <c r="CU110" s="187"/>
      <c r="CV110" s="196"/>
      <c r="CW110" s="196"/>
      <c r="CX110" s="187"/>
      <c r="CY110" s="187"/>
      <c r="CZ110" s="187"/>
      <c r="DA110" s="187"/>
      <c r="DB110" s="187"/>
      <c r="DC110" s="187"/>
      <c r="DD110" s="187"/>
      <c r="DE110" s="187"/>
      <c r="DF110" s="187"/>
      <c r="DG110" s="187"/>
      <c r="DH110" s="196"/>
      <c r="DI110" s="196"/>
      <c r="DJ110" s="187"/>
      <c r="DK110" s="187"/>
      <c r="DL110" s="187"/>
      <c r="DM110" s="187"/>
      <c r="DN110" s="187"/>
      <c r="DO110" s="187"/>
      <c r="DP110" s="187"/>
      <c r="DQ110" s="187"/>
      <c r="DR110" s="187"/>
      <c r="DS110" s="187"/>
      <c r="DT110" s="196"/>
      <c r="DU110" s="196"/>
      <c r="DV110" s="187"/>
      <c r="DW110" s="187"/>
      <c r="DX110" s="187"/>
      <c r="DY110" s="187"/>
      <c r="DZ110" s="187"/>
      <c r="EA110" s="187"/>
      <c r="EB110" s="187"/>
      <c r="EC110" s="187"/>
      <c r="ED110" s="187"/>
      <c r="EE110" s="187"/>
      <c r="EF110" s="196"/>
      <c r="EG110" s="196"/>
      <c r="EH110" s="187"/>
      <c r="EI110" s="187"/>
      <c r="EJ110" s="187"/>
      <c r="EK110" s="187"/>
      <c r="EL110" s="187"/>
      <c r="EM110" s="187"/>
      <c r="EN110" s="187"/>
      <c r="EO110" s="187"/>
      <c r="EP110" s="187"/>
      <c r="EQ110" s="187"/>
    </row>
    <row r="111" hidden="1">
      <c r="A111" s="196"/>
      <c r="B111" s="196"/>
      <c r="C111" s="196"/>
      <c r="D111" s="196"/>
      <c r="E111" s="196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96">
        <v>29.0</v>
      </c>
      <c r="Q111" s="196">
        <v>1.0</v>
      </c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96"/>
      <c r="AC111" s="196"/>
      <c r="AD111" s="187"/>
      <c r="AE111" s="187"/>
      <c r="AF111" s="187"/>
      <c r="AG111" s="187"/>
      <c r="AH111" s="187"/>
      <c r="AI111" s="187"/>
      <c r="AJ111" s="187"/>
      <c r="AK111" s="187"/>
      <c r="AL111" s="187"/>
      <c r="AM111" s="187"/>
      <c r="AN111" s="196"/>
      <c r="AO111" s="196"/>
      <c r="AP111" s="187"/>
      <c r="AQ111" s="187"/>
      <c r="AR111" s="187"/>
      <c r="AS111" s="187"/>
      <c r="AT111" s="187"/>
      <c r="AU111" s="187"/>
      <c r="AV111" s="187"/>
      <c r="AW111" s="187"/>
      <c r="AX111" s="187"/>
      <c r="AY111" s="187"/>
      <c r="AZ111" s="196"/>
      <c r="BA111" s="196"/>
      <c r="BB111" s="187"/>
      <c r="BC111" s="187"/>
      <c r="BD111" s="187"/>
      <c r="BE111" s="187"/>
      <c r="BF111" s="187"/>
      <c r="BG111" s="187"/>
      <c r="BH111" s="187"/>
      <c r="BI111" s="187"/>
      <c r="BJ111" s="187"/>
      <c r="BK111" s="187"/>
      <c r="BL111" s="196"/>
      <c r="BM111" s="196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96"/>
      <c r="BY111" s="196"/>
      <c r="BZ111" s="187"/>
      <c r="CA111" s="187"/>
      <c r="CB111" s="187"/>
      <c r="CC111" s="187"/>
      <c r="CD111" s="187"/>
      <c r="CE111" s="187"/>
      <c r="CF111" s="187"/>
      <c r="CG111" s="187"/>
      <c r="CH111" s="187"/>
      <c r="CI111" s="187"/>
      <c r="CJ111" s="196"/>
      <c r="CK111" s="196"/>
      <c r="CL111" s="187"/>
      <c r="CM111" s="187"/>
      <c r="CN111" s="187"/>
      <c r="CO111" s="187"/>
      <c r="CP111" s="187"/>
      <c r="CQ111" s="187"/>
      <c r="CR111" s="187"/>
      <c r="CS111" s="187"/>
      <c r="CT111" s="187"/>
      <c r="CU111" s="187"/>
      <c r="CV111" s="196"/>
      <c r="CW111" s="196"/>
      <c r="CX111" s="187"/>
      <c r="CY111" s="187"/>
      <c r="CZ111" s="187"/>
      <c r="DA111" s="187"/>
      <c r="DB111" s="187"/>
      <c r="DC111" s="187"/>
      <c r="DD111" s="187"/>
      <c r="DE111" s="187"/>
      <c r="DF111" s="187"/>
      <c r="DG111" s="187"/>
      <c r="DH111" s="196"/>
      <c r="DI111" s="196"/>
      <c r="DJ111" s="187"/>
      <c r="DK111" s="187"/>
      <c r="DL111" s="187"/>
      <c r="DM111" s="187"/>
      <c r="DN111" s="187"/>
      <c r="DO111" s="187"/>
      <c r="DP111" s="187"/>
      <c r="DQ111" s="187"/>
      <c r="DR111" s="187"/>
      <c r="DS111" s="187"/>
      <c r="DT111" s="196"/>
      <c r="DU111" s="196"/>
      <c r="DV111" s="187"/>
      <c r="DW111" s="187"/>
      <c r="DX111" s="187"/>
      <c r="DY111" s="187"/>
      <c r="DZ111" s="187"/>
      <c r="EA111" s="187"/>
      <c r="EB111" s="187"/>
      <c r="EC111" s="187"/>
      <c r="ED111" s="187"/>
      <c r="EE111" s="187"/>
      <c r="EF111" s="196"/>
      <c r="EG111" s="196"/>
      <c r="EH111" s="187"/>
      <c r="EI111" s="187"/>
      <c r="EJ111" s="187"/>
      <c r="EK111" s="187"/>
      <c r="EL111" s="187"/>
      <c r="EM111" s="187"/>
      <c r="EN111" s="187"/>
      <c r="EO111" s="187"/>
      <c r="EP111" s="187"/>
      <c r="EQ111" s="187"/>
    </row>
    <row r="112" hidden="1">
      <c r="A112" s="196"/>
      <c r="B112" s="196"/>
      <c r="C112" s="196"/>
      <c r="D112" s="196"/>
      <c r="E112" s="196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96">
        <v>30.0</v>
      </c>
      <c r="Q112" s="196">
        <v>1.0</v>
      </c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96"/>
      <c r="AC112" s="196"/>
      <c r="AD112" s="187"/>
      <c r="AE112" s="187"/>
      <c r="AF112" s="187"/>
      <c r="AG112" s="187"/>
      <c r="AH112" s="187"/>
      <c r="AI112" s="187"/>
      <c r="AJ112" s="187"/>
      <c r="AK112" s="187"/>
      <c r="AL112" s="187"/>
      <c r="AM112" s="187"/>
      <c r="AN112" s="196"/>
      <c r="AO112" s="196"/>
      <c r="AP112" s="187"/>
      <c r="AQ112" s="187"/>
      <c r="AR112" s="187"/>
      <c r="AS112" s="187"/>
      <c r="AT112" s="187"/>
      <c r="AU112" s="187"/>
      <c r="AV112" s="187"/>
      <c r="AW112" s="187"/>
      <c r="AX112" s="187"/>
      <c r="AY112" s="187"/>
      <c r="AZ112" s="196"/>
      <c r="BA112" s="196"/>
      <c r="BB112" s="187"/>
      <c r="BC112" s="187"/>
      <c r="BD112" s="187"/>
      <c r="BE112" s="187"/>
      <c r="BF112" s="187"/>
      <c r="BG112" s="187"/>
      <c r="BH112" s="187"/>
      <c r="BI112" s="187"/>
      <c r="BJ112" s="187"/>
      <c r="BK112" s="187"/>
      <c r="BL112" s="196"/>
      <c r="BM112" s="196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96"/>
      <c r="BY112" s="196"/>
      <c r="BZ112" s="187"/>
      <c r="CA112" s="187"/>
      <c r="CB112" s="187"/>
      <c r="CC112" s="187"/>
      <c r="CD112" s="187"/>
      <c r="CE112" s="187"/>
      <c r="CF112" s="187"/>
      <c r="CG112" s="187"/>
      <c r="CH112" s="187"/>
      <c r="CI112" s="187"/>
      <c r="CJ112" s="196"/>
      <c r="CK112" s="196"/>
      <c r="CL112" s="187"/>
      <c r="CM112" s="187"/>
      <c r="CN112" s="187"/>
      <c r="CO112" s="187"/>
      <c r="CP112" s="187"/>
      <c r="CQ112" s="187"/>
      <c r="CR112" s="187"/>
      <c r="CS112" s="187"/>
      <c r="CT112" s="187"/>
      <c r="CU112" s="187"/>
      <c r="CV112" s="196"/>
      <c r="CW112" s="196"/>
      <c r="CX112" s="187"/>
      <c r="CY112" s="187"/>
      <c r="CZ112" s="187"/>
      <c r="DA112" s="187"/>
      <c r="DB112" s="187"/>
      <c r="DC112" s="187"/>
      <c r="DD112" s="187"/>
      <c r="DE112" s="187"/>
      <c r="DF112" s="187"/>
      <c r="DG112" s="187"/>
      <c r="DH112" s="196"/>
      <c r="DI112" s="196"/>
      <c r="DJ112" s="187"/>
      <c r="DK112" s="187"/>
      <c r="DL112" s="187"/>
      <c r="DM112" s="187"/>
      <c r="DN112" s="187"/>
      <c r="DO112" s="187"/>
      <c r="DP112" s="187"/>
      <c r="DQ112" s="187"/>
      <c r="DR112" s="187"/>
      <c r="DS112" s="187"/>
      <c r="DT112" s="196"/>
      <c r="DU112" s="196"/>
      <c r="DV112" s="187"/>
      <c r="DW112" s="187"/>
      <c r="DX112" s="187"/>
      <c r="DY112" s="187"/>
      <c r="DZ112" s="187"/>
      <c r="EA112" s="187"/>
      <c r="EB112" s="187"/>
      <c r="EC112" s="187"/>
      <c r="ED112" s="187"/>
      <c r="EE112" s="187"/>
      <c r="EF112" s="196"/>
      <c r="EG112" s="196"/>
      <c r="EH112" s="187"/>
      <c r="EI112" s="187"/>
      <c r="EJ112" s="187"/>
      <c r="EK112" s="187"/>
      <c r="EL112" s="187"/>
      <c r="EM112" s="187"/>
      <c r="EN112" s="187"/>
      <c r="EO112" s="187"/>
      <c r="EP112" s="187"/>
      <c r="EQ112" s="187"/>
    </row>
    <row r="113" hidden="1">
      <c r="A113" s="196"/>
      <c r="B113" s="196"/>
      <c r="C113" s="196"/>
      <c r="D113" s="196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96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96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  <c r="AM113" s="187"/>
      <c r="AN113" s="196"/>
      <c r="AO113" s="187"/>
      <c r="AP113" s="187"/>
      <c r="AQ113" s="187"/>
      <c r="AR113" s="187"/>
      <c r="AS113" s="187"/>
      <c r="AT113" s="187"/>
      <c r="AU113" s="187"/>
      <c r="AV113" s="187"/>
      <c r="AW113" s="187"/>
      <c r="AX113" s="187"/>
      <c r="AY113" s="187"/>
      <c r="AZ113" s="196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7"/>
      <c r="BL113" s="196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96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  <c r="CI113" s="187"/>
      <c r="CJ113" s="196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96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96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96"/>
      <c r="DU113" s="187"/>
      <c r="DV113" s="187"/>
      <c r="DW113" s="187"/>
      <c r="DX113" s="187"/>
      <c r="DY113" s="187"/>
      <c r="DZ113" s="187"/>
      <c r="EA113" s="187"/>
      <c r="EB113" s="187"/>
      <c r="EC113" s="187"/>
      <c r="ED113" s="187"/>
      <c r="EE113" s="187"/>
      <c r="EF113" s="196"/>
      <c r="EG113" s="187"/>
      <c r="EH113" s="187"/>
      <c r="EI113" s="187"/>
      <c r="EJ113" s="187"/>
      <c r="EK113" s="187"/>
      <c r="EL113" s="187"/>
      <c r="EM113" s="187"/>
      <c r="EN113" s="187"/>
      <c r="EO113" s="187"/>
      <c r="EP113" s="187"/>
      <c r="EQ113" s="187"/>
    </row>
    <row r="114" hidden="1">
      <c r="A114" s="196"/>
      <c r="B114" s="196"/>
      <c r="C114" s="196"/>
      <c r="D114" s="196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96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96"/>
      <c r="AC114" s="187"/>
      <c r="AD114" s="187"/>
      <c r="AE114" s="187"/>
      <c r="AF114" s="187"/>
      <c r="AG114" s="187"/>
      <c r="AH114" s="187"/>
      <c r="AI114" s="187"/>
      <c r="AJ114" s="187"/>
      <c r="AK114" s="187"/>
      <c r="AL114" s="187"/>
      <c r="AM114" s="187"/>
      <c r="AN114" s="196"/>
      <c r="AO114" s="187"/>
      <c r="AP114" s="187"/>
      <c r="AQ114" s="187"/>
      <c r="AR114" s="187"/>
      <c r="AS114" s="187"/>
      <c r="AT114" s="187"/>
      <c r="AU114" s="187"/>
      <c r="AV114" s="187"/>
      <c r="AW114" s="187"/>
      <c r="AX114" s="187"/>
      <c r="AY114" s="187"/>
      <c r="AZ114" s="196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7"/>
      <c r="BL114" s="196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96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  <c r="CI114" s="187"/>
      <c r="CJ114" s="196"/>
      <c r="CK114" s="187"/>
      <c r="CL114" s="187"/>
      <c r="CM114" s="187"/>
      <c r="CN114" s="187"/>
      <c r="CO114" s="187"/>
      <c r="CP114" s="187"/>
      <c r="CQ114" s="187"/>
      <c r="CR114" s="187"/>
      <c r="CS114" s="187"/>
      <c r="CT114" s="187"/>
      <c r="CU114" s="187"/>
      <c r="CV114" s="196"/>
      <c r="CW114" s="187"/>
      <c r="CX114" s="187"/>
      <c r="CY114" s="187"/>
      <c r="CZ114" s="187"/>
      <c r="DA114" s="187"/>
      <c r="DB114" s="187"/>
      <c r="DC114" s="187"/>
      <c r="DD114" s="187"/>
      <c r="DE114" s="187"/>
      <c r="DF114" s="187"/>
      <c r="DG114" s="187"/>
      <c r="DH114" s="196"/>
      <c r="DI114" s="187"/>
      <c r="DJ114" s="187"/>
      <c r="DK114" s="187"/>
      <c r="DL114" s="187"/>
      <c r="DM114" s="187"/>
      <c r="DN114" s="187"/>
      <c r="DO114" s="187"/>
      <c r="DP114" s="187"/>
      <c r="DQ114" s="187"/>
      <c r="DR114" s="187"/>
      <c r="DS114" s="187"/>
      <c r="DT114" s="196"/>
      <c r="DU114" s="187"/>
      <c r="DV114" s="187"/>
      <c r="DW114" s="187"/>
      <c r="DX114" s="187"/>
      <c r="DY114" s="187"/>
      <c r="DZ114" s="187"/>
      <c r="EA114" s="187"/>
      <c r="EB114" s="187"/>
      <c r="EC114" s="187"/>
      <c r="ED114" s="187"/>
      <c r="EE114" s="187"/>
      <c r="EF114" s="196"/>
      <c r="EG114" s="187"/>
      <c r="EH114" s="187"/>
      <c r="EI114" s="187"/>
      <c r="EJ114" s="187"/>
      <c r="EK114" s="187"/>
      <c r="EL114" s="187"/>
      <c r="EM114" s="187"/>
      <c r="EN114" s="187"/>
      <c r="EO114" s="187"/>
      <c r="EP114" s="187"/>
      <c r="EQ114" s="187"/>
    </row>
    <row r="115" hidden="1">
      <c r="A115" s="196"/>
      <c r="B115" s="196"/>
      <c r="C115" s="196"/>
      <c r="D115" s="196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96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96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96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  <c r="AZ115" s="196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96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96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96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96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96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96"/>
      <c r="DU115" s="187"/>
      <c r="DV115" s="187"/>
      <c r="DW115" s="187"/>
      <c r="DX115" s="187"/>
      <c r="DY115" s="187"/>
      <c r="DZ115" s="187"/>
      <c r="EA115" s="187"/>
      <c r="EB115" s="187"/>
      <c r="EC115" s="187"/>
      <c r="ED115" s="187"/>
      <c r="EE115" s="187"/>
      <c r="EF115" s="196"/>
      <c r="EG115" s="187"/>
      <c r="EH115" s="187"/>
      <c r="EI115" s="187"/>
      <c r="EJ115" s="187"/>
      <c r="EK115" s="187"/>
      <c r="EL115" s="187"/>
      <c r="EM115" s="187"/>
      <c r="EN115" s="187"/>
      <c r="EO115" s="187"/>
      <c r="EP115" s="187"/>
      <c r="EQ115" s="187"/>
    </row>
  </sheetData>
  <autoFilter ref="$A$4:$C$16">
    <sortState ref="A4:C16">
      <sortCondition descending="1" ref="C4:C16"/>
      <sortCondition descending="1" ref="B4:B16"/>
    </sortState>
  </autoFilter>
  <mergeCells count="48">
    <mergeCell ref="CJ1:CU1"/>
    <mergeCell ref="CV1:DG1"/>
    <mergeCell ref="DH1:DS1"/>
    <mergeCell ref="DT1:EE1"/>
    <mergeCell ref="EF1:EQ1"/>
    <mergeCell ref="D1:O1"/>
    <mergeCell ref="P1:AA1"/>
    <mergeCell ref="AB1:AM1"/>
    <mergeCell ref="AN1:AY1"/>
    <mergeCell ref="AZ1:BK1"/>
    <mergeCell ref="BL1:BW1"/>
    <mergeCell ref="BX1:CI1"/>
    <mergeCell ref="CJ26:CU26"/>
    <mergeCell ref="CV26:DG26"/>
    <mergeCell ref="DH26:DS26"/>
    <mergeCell ref="DT26:EE26"/>
    <mergeCell ref="EF26:EQ26"/>
    <mergeCell ref="D26:O26"/>
    <mergeCell ref="P26:AA26"/>
    <mergeCell ref="AB26:AM26"/>
    <mergeCell ref="AN26:AY26"/>
    <mergeCell ref="AZ26:BK26"/>
    <mergeCell ref="BL26:BW26"/>
    <mergeCell ref="BX26:CI26"/>
    <mergeCell ref="CJ51:CU51"/>
    <mergeCell ref="CV51:DG51"/>
    <mergeCell ref="DH51:DS51"/>
    <mergeCell ref="DT51:EE51"/>
    <mergeCell ref="EF51:EQ51"/>
    <mergeCell ref="D51:O51"/>
    <mergeCell ref="P51:AA51"/>
    <mergeCell ref="AB51:AM51"/>
    <mergeCell ref="AN51:AY51"/>
    <mergeCell ref="AZ51:BK51"/>
    <mergeCell ref="BL51:BW51"/>
    <mergeCell ref="BX51:CI51"/>
    <mergeCell ref="CJ76:CU76"/>
    <mergeCell ref="CV76:DG76"/>
    <mergeCell ref="DH76:DS76"/>
    <mergeCell ref="DT76:EE76"/>
    <mergeCell ref="EF76:EQ76"/>
    <mergeCell ref="D76:O76"/>
    <mergeCell ref="P76:AA76"/>
    <mergeCell ref="AB76:AM76"/>
    <mergeCell ref="AN76:AY76"/>
    <mergeCell ref="AZ76:BK76"/>
    <mergeCell ref="BL76:BW76"/>
    <mergeCell ref="BX76:CI7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7.88"/>
    <col hidden="1" min="2" max="2" width="12.63"/>
    <col customWidth="1" min="3" max="6" width="9.13"/>
    <col customWidth="1" min="7" max="7" width="6.63"/>
    <col customWidth="1" min="8" max="24" width="9.13"/>
  </cols>
  <sheetData>
    <row r="1" hidden="1">
      <c r="A1" s="221"/>
      <c r="B1" s="221"/>
      <c r="C1" s="222" t="s">
        <v>46</v>
      </c>
      <c r="D1" s="222" t="s">
        <v>40</v>
      </c>
      <c r="E1" s="223" t="s">
        <v>60</v>
      </c>
      <c r="F1" s="223" t="s">
        <v>62</v>
      </c>
      <c r="G1" s="223" t="s">
        <v>57</v>
      </c>
      <c r="H1" s="222" t="s">
        <v>52</v>
      </c>
      <c r="I1" s="223" t="s">
        <v>653</v>
      </c>
      <c r="J1" s="223" t="s">
        <v>93</v>
      </c>
      <c r="K1" s="223" t="s">
        <v>72</v>
      </c>
      <c r="L1" s="222" t="s">
        <v>476</v>
      </c>
      <c r="M1" s="223" t="s">
        <v>583</v>
      </c>
      <c r="N1" s="223" t="s">
        <v>800</v>
      </c>
      <c r="O1" s="223" t="s">
        <v>91</v>
      </c>
      <c r="P1" s="222" t="s">
        <v>87</v>
      </c>
      <c r="Q1" s="222" t="s">
        <v>69</v>
      </c>
      <c r="R1" s="223" t="s">
        <v>89</v>
      </c>
      <c r="S1" s="223" t="s">
        <v>95</v>
      </c>
      <c r="T1" s="223" t="s">
        <v>97</v>
      </c>
      <c r="U1" s="223" t="s">
        <v>101</v>
      </c>
      <c r="V1" s="223" t="s">
        <v>801</v>
      </c>
      <c r="W1" s="223" t="s">
        <v>103</v>
      </c>
      <c r="X1" s="222" t="s">
        <v>95</v>
      </c>
    </row>
    <row r="2">
      <c r="A2" s="224"/>
      <c r="B2" s="225"/>
      <c r="C2" s="226" t="s">
        <v>802</v>
      </c>
      <c r="D2" s="226" t="s">
        <v>803</v>
      </c>
      <c r="E2" s="226" t="s">
        <v>60</v>
      </c>
      <c r="F2" s="226" t="s">
        <v>62</v>
      </c>
      <c r="G2" s="226" t="s">
        <v>57</v>
      </c>
      <c r="H2" s="226" t="s">
        <v>804</v>
      </c>
      <c r="I2" s="226" t="s">
        <v>653</v>
      </c>
      <c r="J2" s="226" t="s">
        <v>93</v>
      </c>
      <c r="K2" s="226" t="s">
        <v>72</v>
      </c>
      <c r="L2" s="226" t="s">
        <v>52</v>
      </c>
      <c r="M2" s="226" t="s">
        <v>583</v>
      </c>
      <c r="N2" s="226" t="s">
        <v>800</v>
      </c>
      <c r="O2" s="226" t="s">
        <v>91</v>
      </c>
      <c r="P2" s="226" t="s">
        <v>805</v>
      </c>
      <c r="Q2" s="226" t="s">
        <v>806</v>
      </c>
      <c r="R2" s="226" t="s">
        <v>89</v>
      </c>
      <c r="S2" s="226" t="s">
        <v>95</v>
      </c>
      <c r="T2" s="226" t="s">
        <v>97</v>
      </c>
      <c r="U2" s="226" t="s">
        <v>101</v>
      </c>
      <c r="V2" s="226" t="s">
        <v>801</v>
      </c>
      <c r="W2" s="226" t="s">
        <v>103</v>
      </c>
      <c r="X2" s="227" t="s">
        <v>807</v>
      </c>
    </row>
    <row r="3" hidden="1">
      <c r="A3" s="228" t="s">
        <v>808</v>
      </c>
      <c r="B3" s="229"/>
      <c r="C3" s="230" t="str">
        <f t="array" ref="C3">INDEX(Overview!$F:$F,MATCH(C$1,Overview!$A:$A,0))</f>
        <v>2 - Fri</v>
      </c>
      <c r="D3" s="230" t="str">
        <f t="array" ref="D3">INDEX(Overview!$F:$F,MATCH(D$1,Overview!$A:$A,0))</f>
        <v>2 - Fri</v>
      </c>
      <c r="E3" s="230" t="str">
        <f t="array" ref="E3">INDEX(Overview!$F:$F,MATCH(E$1,Overview!$A:$A,0))</f>
        <v>2 - Fri</v>
      </c>
      <c r="F3" s="230" t="str">
        <f t="array" ref="F3">INDEX(Overview!$F:$F,MATCH(F$1,Overview!$A:$A,0))</f>
        <v>2 - Fri</v>
      </c>
      <c r="G3" s="230" t="str">
        <f t="array" ref="G3">INDEX(Overview!$F:$F,MATCH(G$1,Overview!$A:$A,0))</f>
        <v>2 - Fri</v>
      </c>
      <c r="H3" s="230" t="str">
        <f t="array" ref="H3">INDEX(Overview!$F:$F,MATCH(H$1,Overview!$A:$A,0))</f>
        <v>2 - Fri</v>
      </c>
      <c r="I3" s="230" t="str">
        <f t="array" ref="I3">INDEX(Overview!$F:$F,MATCH(I$1,Overview!$A:$A,0))</f>
        <v>#N/A</v>
      </c>
      <c r="J3" s="230" t="str">
        <f t="array" ref="J3">INDEX(Overview!$F:$F,MATCH(J$1,Overview!$A:$A,0))</f>
        <v>2 - Fri</v>
      </c>
      <c r="K3" s="230" t="str">
        <f t="array" ref="K3">INDEX(Overview!$F:$F,MATCH(K$1,Overview!$A:$A,0))</f>
        <v>2 - Fri</v>
      </c>
      <c r="L3" s="230" t="str">
        <f t="array" ref="L3">INDEX(Overview!$F:$F,MATCH(L$1,Overview!$A:$A,0))</f>
        <v>#N/A</v>
      </c>
      <c r="M3" s="230" t="str">
        <f t="array" ref="M3">INDEX(Overview!$F:$F,MATCH(M$1,Overview!$A:$A,0))</f>
        <v>#N/A</v>
      </c>
      <c r="N3" s="230" t="str">
        <f t="array" ref="N3">INDEX(Overview!$F:$F,MATCH(N$1,Overview!$A:$A,0))</f>
        <v>#N/A</v>
      </c>
      <c r="O3" s="230" t="str">
        <f t="array" ref="O3">INDEX(Overview!$F:$F,MATCH(O$1,Overview!$A:$A,0))</f>
        <v>2 - Fri</v>
      </c>
      <c r="P3" s="230" t="str">
        <f t="array" ref="P3">INDEX(Overview!$F:$F,MATCH(P$1,Overview!$A:$A,0))</f>
        <v>2 - Fri</v>
      </c>
      <c r="Q3" s="230" t="str">
        <f t="array" ref="Q3">INDEX(Overview!$F:$F,MATCH(Q$1,Overview!$A:$A,0))</f>
        <v>2 - Fri</v>
      </c>
      <c r="R3" s="230" t="str">
        <f t="array" ref="R3">INDEX(Overview!$F:$F,MATCH(R$1,Overview!$A:$A,0))</f>
        <v>2 - Fri</v>
      </c>
      <c r="S3" s="230" t="str">
        <f t="array" ref="S3">INDEX(Overview!$F:$F,MATCH(S$1,Overview!$A:$A,0))</f>
        <v>4 - Sun</v>
      </c>
      <c r="T3" s="230" t="str">
        <f t="array" ref="T3">INDEX(Overview!$F:$F,MATCH(T$1,Overview!$A:$A,0))</f>
        <v>4 - Sun</v>
      </c>
      <c r="U3" s="230" t="str">
        <f t="array" ref="U3">INDEX(Overview!$F:$F,MATCH(U$1,Overview!$A:$A,0))</f>
        <v>4 - Sun</v>
      </c>
      <c r="V3" s="230" t="str">
        <f t="array" ref="V3">INDEX(Overview!$F:$F,MATCH(V$1,Overview!$A:$A,0))</f>
        <v>#N/A</v>
      </c>
      <c r="W3" s="230" t="str">
        <f t="array" ref="W3">INDEX(Overview!$F:$F,MATCH(W$1,Overview!$A:$A,0))</f>
        <v>4 - Sun</v>
      </c>
      <c r="X3" s="230" t="str">
        <f t="array" ref="X3">INDEX(Overview!$F:$F,MATCH(X$1,Overview!$A:$A,0))</f>
        <v>4 - Sun</v>
      </c>
    </row>
    <row r="4" hidden="1">
      <c r="A4" s="228" t="s">
        <v>809</v>
      </c>
      <c r="B4" s="229"/>
      <c r="C4" s="230">
        <f t="array" ref="C4">INDEX(Overview!$G:$G,MATCH(C$1,Overview!$A:$A,0))</f>
        <v>1</v>
      </c>
      <c r="D4" s="230">
        <f t="array" ref="D4">INDEX(Overview!$G:$G,MATCH(D$1,Overview!$A:$A,0))</f>
        <v>1</v>
      </c>
      <c r="E4" s="230">
        <f t="array" ref="E4">INDEX(Overview!$G:$G,MATCH(E$1,Overview!$A:$A,0))</f>
        <v>1</v>
      </c>
      <c r="F4" s="230">
        <f t="array" ref="F4">INDEX(Overview!$G:$G,MATCH(F$1,Overview!$A:$A,0))</f>
        <v>2</v>
      </c>
      <c r="G4" s="230">
        <f t="array" ref="G4">INDEX(Overview!$G:$G,MATCH(G$1,Overview!$A:$A,0))</f>
        <v>1</v>
      </c>
      <c r="H4" s="230">
        <f t="array" ref="H4">INDEX(Overview!$G:$G,MATCH(H$1,Overview!$A:$A,0))</f>
        <v>1</v>
      </c>
      <c r="I4" s="230" t="str">
        <f t="array" ref="I4">INDEX(Overview!$G:$G,MATCH(I$1,Overview!$A:$A,0))</f>
        <v>#N/A</v>
      </c>
      <c r="J4" s="230">
        <f t="array" ref="J4">INDEX(Overview!$G:$G,MATCH(J$1,Overview!$A:$A,0))</f>
        <v>2</v>
      </c>
      <c r="K4" s="230">
        <f t="array" ref="K4">INDEX(Overview!$G:$G,MATCH(K$1,Overview!$A:$A,0))</f>
        <v>2</v>
      </c>
      <c r="L4" s="230" t="str">
        <f t="array" ref="L4">INDEX(Overview!$G:$G,MATCH(L$1,Overview!$A:$A,0))</f>
        <v>#N/A</v>
      </c>
      <c r="M4" s="230" t="str">
        <f t="array" ref="M4">INDEX(Overview!$G:$G,MATCH(M$1,Overview!$A:$A,0))</f>
        <v>#N/A</v>
      </c>
      <c r="N4" s="230" t="str">
        <f t="array" ref="N4">INDEX(Overview!$G:$G,MATCH(N$1,Overview!$A:$A,0))</f>
        <v>#N/A</v>
      </c>
      <c r="O4" s="230">
        <f t="array" ref="O4">INDEX(Overview!$G:$G,MATCH(O$1,Overview!$A:$A,0))</f>
        <v>2</v>
      </c>
      <c r="P4" s="230">
        <f t="array" ref="P4">INDEX(Overview!$G:$G,MATCH(P$1,Overview!$A:$A,0))</f>
        <v>2</v>
      </c>
      <c r="Q4" s="230">
        <f t="array" ref="Q4">INDEX(Overview!$G:$G,MATCH(Q$1,Overview!$A:$A,0))</f>
        <v>2</v>
      </c>
      <c r="R4" s="230">
        <f t="array" ref="R4">INDEX(Overview!$G:$G,MATCH(R$1,Overview!$A:$A,0))</f>
        <v>2</v>
      </c>
      <c r="S4" s="230">
        <f t="array" ref="S4">INDEX(Overview!$G:$G,MATCH(S$1,Overview!$A:$A,0))</f>
        <v>1</v>
      </c>
      <c r="T4" s="230">
        <f t="array" ref="T4">INDEX(Overview!$G:$G,MATCH(T$1,Overview!$A:$A,0))</f>
        <v>1</v>
      </c>
      <c r="U4" s="230">
        <f t="array" ref="U4">INDEX(Overview!$G:$G,MATCH(U$1,Overview!$A:$A,0))</f>
        <v>1</v>
      </c>
      <c r="V4" s="230" t="str">
        <f t="array" ref="V4">INDEX(Overview!$G:$G,MATCH(V$1,Overview!$A:$A,0))</f>
        <v>#N/A</v>
      </c>
      <c r="W4" s="230">
        <f t="array" ref="W4">INDEX(Overview!$G:$G,MATCH(W$1,Overview!$A:$A,0))</f>
        <v>1</v>
      </c>
      <c r="X4" s="230">
        <f t="array" ref="X4">INDEX(Overview!$G:$G,MATCH(X$1,Overview!$A:$A,0))</f>
        <v>1</v>
      </c>
    </row>
    <row r="5" hidden="1">
      <c r="A5" s="228" t="s">
        <v>810</v>
      </c>
      <c r="B5" s="229"/>
      <c r="C5" s="230" t="str">
        <f t="array" ref="C5">INDEX(Overview!$I:$I,MATCH(C$1,Overview!$A:$A,0))</f>
        <v/>
      </c>
      <c r="D5" s="230" t="str">
        <f t="array" ref="D5">INDEX(Overview!$I:$I,MATCH(D$1,Overview!$A:$A,0))</f>
        <v/>
      </c>
      <c r="E5" s="230" t="str">
        <f t="array" ref="E5">INDEX(Overview!$I:$I,MATCH(E$1,Overview!$A:$A,0))</f>
        <v/>
      </c>
      <c r="F5" s="230" t="str">
        <f t="array" ref="F5">INDEX(Overview!$I:$I,MATCH(F$1,Overview!$A:$A,0))</f>
        <v/>
      </c>
      <c r="G5" s="230" t="str">
        <f t="array" ref="G5">INDEX(Overview!$I:$I,MATCH(G$1,Overview!$A:$A,0))</f>
        <v/>
      </c>
      <c r="H5" s="230" t="str">
        <f t="array" ref="H5">INDEX(Overview!$I:$I,MATCH(H$1,Overview!$A:$A,0))</f>
        <v/>
      </c>
      <c r="I5" s="230" t="str">
        <f t="array" ref="I5">INDEX(Overview!$I:$I,MATCH(I$1,Overview!$A:$A,0))</f>
        <v>#N/A</v>
      </c>
      <c r="J5" s="230" t="str">
        <f t="array" ref="J5">INDEX(Overview!$I:$I,MATCH(J$1,Overview!$A:$A,0))</f>
        <v/>
      </c>
      <c r="K5" s="230" t="str">
        <f t="array" ref="K5">INDEX(Overview!$I:$I,MATCH(K$1,Overview!$A:$A,0))</f>
        <v/>
      </c>
      <c r="L5" s="230" t="str">
        <f t="array" ref="L5">INDEX(Overview!$I:$I,MATCH(L$1,Overview!$A:$A,0))</f>
        <v>#N/A</v>
      </c>
      <c r="M5" s="230" t="str">
        <f t="array" ref="M5">INDEX(Overview!$I:$I,MATCH(M$1,Overview!$A:$A,0))</f>
        <v>#N/A</v>
      </c>
      <c r="N5" s="230" t="str">
        <f t="array" ref="N5">INDEX(Overview!$I:$I,MATCH(N$1,Overview!$A:$A,0))</f>
        <v>#N/A</v>
      </c>
      <c r="O5" s="230" t="str">
        <f t="array" ref="O5">INDEX(Overview!$I:$I,MATCH(O$1,Overview!$A:$A,0))</f>
        <v/>
      </c>
      <c r="P5" s="230" t="str">
        <f t="array" ref="P5">INDEX(Overview!$I:$I,MATCH(P$1,Overview!$A:$A,0))</f>
        <v/>
      </c>
      <c r="Q5" s="230" t="str">
        <f t="array" ref="Q5">INDEX(Overview!$I:$I,MATCH(Q$1,Overview!$A:$A,0))</f>
        <v/>
      </c>
      <c r="R5" s="230" t="str">
        <f t="array" ref="R5">INDEX(Overview!$I:$I,MATCH(R$1,Overview!$A:$A,0))</f>
        <v/>
      </c>
      <c r="S5" s="230" t="str">
        <f t="array" ref="S5">INDEX(Overview!$I:$I,MATCH(S$1,Overview!$A:$A,0))</f>
        <v/>
      </c>
      <c r="T5" s="230" t="str">
        <f t="array" ref="T5">INDEX(Overview!$I:$I,MATCH(T$1,Overview!$A:$A,0))</f>
        <v/>
      </c>
      <c r="U5" s="230" t="str">
        <f t="array" ref="U5">INDEX(Overview!$I:$I,MATCH(U$1,Overview!$A:$A,0))</f>
        <v/>
      </c>
      <c r="V5" s="230" t="str">
        <f t="array" ref="V5">INDEX(Overview!$I:$I,MATCH(V$1,Overview!$A:$A,0))</f>
        <v>#N/A</v>
      </c>
      <c r="W5" s="230" t="str">
        <f t="array" ref="W5">INDEX(Overview!$I:$I,MATCH(W$1,Overview!$A:$A,0))</f>
        <v/>
      </c>
      <c r="X5" s="230" t="str">
        <f t="array" ref="X5">INDEX(Overview!$I:$I,MATCH(X$1,Overview!$A:$A,0))</f>
        <v/>
      </c>
    </row>
    <row r="6" hidden="1">
      <c r="A6" s="228" t="s">
        <v>811</v>
      </c>
      <c r="B6" s="229"/>
      <c r="C6" s="230" t="str">
        <f t="array" ref="C6">INDEX(Overview!$H:$H,MATCH(C$1,Overview!$A:$A,0))</f>
        <v/>
      </c>
      <c r="D6" s="230" t="str">
        <f t="array" ref="D6">INDEX(Overview!$H:$H,MATCH(D$1,Overview!$A:$A,0))</f>
        <v/>
      </c>
      <c r="E6" s="230" t="str">
        <f t="array" ref="E6">INDEX(Overview!$H:$H,MATCH(E$1,Overview!$A:$A,0))</f>
        <v/>
      </c>
      <c r="F6" s="230" t="str">
        <f t="array" ref="F6">INDEX(Overview!$H:$H,MATCH(F$1,Overview!$A:$A,0))</f>
        <v/>
      </c>
      <c r="G6" s="230" t="str">
        <f t="array" ref="G6">INDEX(Overview!$H:$H,MATCH(G$1,Overview!$A:$A,0))</f>
        <v/>
      </c>
      <c r="H6" s="230" t="str">
        <f t="array" ref="H6">INDEX(Overview!$H:$H,MATCH(H$1,Overview!$A:$A,0))</f>
        <v/>
      </c>
      <c r="I6" s="230" t="str">
        <f t="array" ref="I6">INDEX(Overview!$H:$H,MATCH(I$1,Overview!$A:$A,0))</f>
        <v>#N/A</v>
      </c>
      <c r="J6" s="230" t="str">
        <f t="array" ref="J6">INDEX(Overview!$H:$H,MATCH(J$1,Overview!$A:$A,0))</f>
        <v/>
      </c>
      <c r="K6" s="230" t="str">
        <f t="array" ref="K6">INDEX(Overview!$H:$H,MATCH(K$1,Overview!$A:$A,0))</f>
        <v/>
      </c>
      <c r="L6" s="230" t="str">
        <f t="array" ref="L6">INDEX(Overview!$H:$H,MATCH(L$1,Overview!$A:$A,0))</f>
        <v>#N/A</v>
      </c>
      <c r="M6" s="230" t="str">
        <f t="array" ref="M6">INDEX(Overview!$H:$H,MATCH(M$1,Overview!$A:$A,0))</f>
        <v>#N/A</v>
      </c>
      <c r="N6" s="230" t="str">
        <f t="array" ref="N6">INDEX(Overview!$H:$H,MATCH(N$1,Overview!$A:$A,0))</f>
        <v>#N/A</v>
      </c>
      <c r="O6" s="230" t="str">
        <f t="array" ref="O6">INDEX(Overview!$H:$H,MATCH(O$1,Overview!$A:$A,0))</f>
        <v/>
      </c>
      <c r="P6" s="230" t="str">
        <f t="array" ref="P6">INDEX(Overview!$H:$H,MATCH(P$1,Overview!$A:$A,0))</f>
        <v/>
      </c>
      <c r="Q6" s="230" t="str">
        <f t="array" ref="Q6">INDEX(Overview!$H:$H,MATCH(Q$1,Overview!$A:$A,0))</f>
        <v/>
      </c>
      <c r="R6" s="230" t="str">
        <f t="array" ref="R6">INDEX(Overview!$H:$H,MATCH(R$1,Overview!$A:$A,0))</f>
        <v/>
      </c>
      <c r="S6" s="230" t="str">
        <f t="array" ref="S6">INDEX(Overview!$H:$H,MATCH(S$1,Overview!$A:$A,0))</f>
        <v/>
      </c>
      <c r="T6" s="230" t="str">
        <f t="array" ref="T6">INDEX(Overview!$H:$H,MATCH(T$1,Overview!$A:$A,0))</f>
        <v/>
      </c>
      <c r="U6" s="230" t="str">
        <f t="array" ref="U6">INDEX(Overview!$H:$H,MATCH(U$1,Overview!$A:$A,0))</f>
        <v/>
      </c>
      <c r="V6" s="230" t="str">
        <f t="array" ref="V6">INDEX(Overview!$H:$H,MATCH(V$1,Overview!$A:$A,0))</f>
        <v>#N/A</v>
      </c>
      <c r="W6" s="230" t="str">
        <f t="array" ref="W6">INDEX(Overview!$H:$H,MATCH(W$1,Overview!$A:$A,0))</f>
        <v/>
      </c>
      <c r="X6" s="230" t="str">
        <f t="array" ref="X6">INDEX(Overview!$H:$H,MATCH(X$1,Overview!$A:$A,0))</f>
        <v/>
      </c>
    </row>
    <row r="7" hidden="1">
      <c r="A7" s="228"/>
      <c r="B7" s="229"/>
      <c r="C7" s="230"/>
      <c r="D7" s="230"/>
      <c r="E7" s="230"/>
      <c r="F7" s="230"/>
      <c r="G7" s="230"/>
      <c r="H7" s="230"/>
      <c r="I7" s="230"/>
      <c r="J7" s="230"/>
      <c r="K7" s="230"/>
      <c r="L7" s="231"/>
      <c r="M7" s="230"/>
      <c r="N7" s="230"/>
      <c r="O7" s="230"/>
      <c r="P7" s="230"/>
      <c r="Q7" s="231"/>
      <c r="R7" s="231"/>
      <c r="S7" s="230"/>
      <c r="T7" s="230"/>
      <c r="U7" s="230"/>
      <c r="V7" s="230"/>
      <c r="W7" s="231"/>
      <c r="X7" s="232"/>
    </row>
    <row r="8" hidden="1">
      <c r="A8" s="221"/>
      <c r="B8" s="229"/>
      <c r="C8" s="233" t="s">
        <v>812</v>
      </c>
      <c r="D8" s="233" t="s">
        <v>813</v>
      </c>
      <c r="E8" s="233" t="s">
        <v>814</v>
      </c>
      <c r="F8" s="233" t="s">
        <v>815</v>
      </c>
      <c r="G8" s="233" t="s">
        <v>816</v>
      </c>
      <c r="H8" s="233" t="s">
        <v>817</v>
      </c>
      <c r="I8" s="233" t="s">
        <v>818</v>
      </c>
      <c r="J8" s="233" t="s">
        <v>819</v>
      </c>
      <c r="K8" s="233" t="s">
        <v>820</v>
      </c>
      <c r="L8" s="233" t="s">
        <v>821</v>
      </c>
      <c r="M8" s="233" t="s">
        <v>822</v>
      </c>
      <c r="N8" s="233" t="s">
        <v>823</v>
      </c>
      <c r="O8" s="233" t="s">
        <v>824</v>
      </c>
      <c r="P8" s="233" t="s">
        <v>825</v>
      </c>
      <c r="Q8" s="233" t="s">
        <v>826</v>
      </c>
      <c r="R8" s="233" t="s">
        <v>827</v>
      </c>
      <c r="S8" s="233" t="s">
        <v>828</v>
      </c>
      <c r="T8" s="233" t="s">
        <v>829</v>
      </c>
      <c r="U8" s="233" t="s">
        <v>830</v>
      </c>
      <c r="V8" s="233" t="s">
        <v>831</v>
      </c>
      <c r="W8" s="233" t="s">
        <v>832</v>
      </c>
      <c r="X8" s="234" t="s">
        <v>833</v>
      </c>
    </row>
    <row r="9" hidden="1">
      <c r="A9" s="221"/>
      <c r="B9" s="229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4"/>
    </row>
    <row r="10">
      <c r="A10" s="236" t="s">
        <v>834</v>
      </c>
      <c r="B10" s="237" t="s">
        <v>835</v>
      </c>
      <c r="C10" s="238" t="str">
        <f>IFERROR(__xludf.DUMMYFUNCTION("IMPORTRANGE(C$8,$B10)"),"#REF!")</f>
        <v>#REF!</v>
      </c>
      <c r="D10" s="238" t="str">
        <f>IFERROR(__xludf.DUMMYFUNCTION("IMPORTRANGE(D$8,$B10)"),"#REF!")</f>
        <v>#REF!</v>
      </c>
      <c r="E10" s="239">
        <f>IFERROR(__xludf.DUMMYFUNCTION("IMPORTRANGE(E$8,$B10)"),135.0)</f>
        <v>135</v>
      </c>
      <c r="F10" s="238" t="str">
        <f>IFERROR(__xludf.DUMMYFUNCTION("IMPORTRANGE(F$8,$B10)"),"#REF!")</f>
        <v>#REF!</v>
      </c>
      <c r="G10" s="238" t="str">
        <f>IFERROR(__xludf.DUMMYFUNCTION("IMPORTRANGE(G$8,$B10)"),"#REF!")</f>
        <v>#REF!</v>
      </c>
      <c r="H10" s="238" t="str">
        <f>IFERROR(__xludf.DUMMYFUNCTION("IMPORTRANGE(H$8,$B10)"),"#REF!")</f>
        <v>#REF!</v>
      </c>
      <c r="I10" s="238" t="str">
        <f>IFERROR(__xludf.DUMMYFUNCTION("IMPORTRANGE(I$8,$B10)"),"#REF!")</f>
        <v>#REF!</v>
      </c>
      <c r="J10" s="238" t="str">
        <f>IFERROR(__xludf.DUMMYFUNCTION("IMPORTRANGE(J$8,$B10)"),"#REF!")</f>
        <v>#REF!</v>
      </c>
      <c r="K10" s="239">
        <f>IFERROR(__xludf.DUMMYFUNCTION("IMPORTRANGE(K$8,$B10)"),120.0)</f>
        <v>120</v>
      </c>
      <c r="L10" s="238" t="str">
        <f>IFERROR(__xludf.DUMMYFUNCTION("IMPORTRANGE(L$8,$B10)"),"#REF!")</f>
        <v>#REF!</v>
      </c>
      <c r="M10" s="238" t="str">
        <f>IFERROR(__xludf.DUMMYFUNCTION("IMPORTRANGE(M$8,$B10)"),"#REF!")</f>
        <v>#REF!</v>
      </c>
      <c r="N10" s="239">
        <f>IFERROR(__xludf.DUMMYFUNCTION("IMPORTRANGE(N$8,$B10)"),145.0)</f>
        <v>145</v>
      </c>
      <c r="O10" s="238" t="str">
        <f>IFERROR(__xludf.DUMMYFUNCTION("IMPORTRANGE(O$8,$B10)"),"#REF!")</f>
        <v>#REF!</v>
      </c>
      <c r="P10" s="238" t="str">
        <f>IFERROR(__xludf.DUMMYFUNCTION("IMPORTRANGE(P$8,$B10)"),"#REF!")</f>
        <v>#REF!</v>
      </c>
      <c r="Q10" s="238" t="str">
        <f>IFERROR(__xludf.DUMMYFUNCTION("IMPORTRANGE(Q$8,$B10)"),"#REF!")</f>
        <v>#REF!</v>
      </c>
      <c r="R10" s="238" t="str">
        <f>IFERROR(__xludf.DUMMYFUNCTION("IMPORTRANGE(R$8,$B10)"),"#REF!")</f>
        <v>#REF!</v>
      </c>
      <c r="S10" s="239">
        <f>IFERROR(__xludf.DUMMYFUNCTION("IMPORTRANGE(S$8,$B10)"),162.5)</f>
        <v>162.5</v>
      </c>
      <c r="T10" s="238" t="str">
        <f>IFERROR(__xludf.DUMMYFUNCTION("IMPORTRANGE(T$8,$B10)"),"#REF!")</f>
        <v>#REF!</v>
      </c>
      <c r="U10" s="239">
        <f>IFERROR(__xludf.DUMMYFUNCTION("IMPORTRANGE(U$8,$B10)"),170.0)</f>
        <v>170</v>
      </c>
      <c r="V10" s="238" t="str">
        <f>IFERROR(__xludf.DUMMYFUNCTION("IMPORTRANGE(V$8,$B10)"),"#REF!")</f>
        <v>#REF!</v>
      </c>
      <c r="W10" s="239">
        <f>IFERROR(__xludf.DUMMYFUNCTION("IMPORTRANGE(W$8,$B10)"),105.0)</f>
        <v>105</v>
      </c>
      <c r="X10" s="240">
        <f>IFERROR(__xludf.DUMMYFUNCTION("IMPORTRANGE(X$8,$B10)"),150.0)</f>
        <v>150</v>
      </c>
    </row>
    <row r="11">
      <c r="A11" s="236" t="s">
        <v>836</v>
      </c>
      <c r="B11" s="237" t="s">
        <v>837</v>
      </c>
      <c r="C11" s="238" t="str">
        <f>IFERROR(__xludf.DUMMYFUNCTION("IMPORTRANGE(C$8,$B11)"),"#REF!")</f>
        <v>#REF!</v>
      </c>
      <c r="D11" s="238" t="str">
        <f>IFERROR(__xludf.DUMMYFUNCTION("IMPORTRANGE(D$8,$B11)"),"#REF!")</f>
        <v>#REF!</v>
      </c>
      <c r="E11" s="239">
        <f>IFERROR(__xludf.DUMMYFUNCTION("IMPORTRANGE(E$8,$B11)"),140.0)</f>
        <v>140</v>
      </c>
      <c r="F11" s="238" t="str">
        <f>IFERROR(__xludf.DUMMYFUNCTION("IMPORTRANGE(F$8,$B11)"),"#REF!")</f>
        <v>#REF!</v>
      </c>
      <c r="G11" s="238" t="str">
        <f>IFERROR(__xludf.DUMMYFUNCTION("IMPORTRANGE(G$8,$B11)"),"#REF!")</f>
        <v>#REF!</v>
      </c>
      <c r="H11" s="238" t="str">
        <f>IFERROR(__xludf.DUMMYFUNCTION("IMPORTRANGE(H$8,$B11)"),"#REF!")</f>
        <v>#REF!</v>
      </c>
      <c r="I11" s="238" t="str">
        <f>IFERROR(__xludf.DUMMYFUNCTION("IMPORTRANGE(I$8,$B11)"),"#REF!")</f>
        <v>#REF!</v>
      </c>
      <c r="J11" s="238" t="str">
        <f>IFERROR(__xludf.DUMMYFUNCTION("IMPORTRANGE(J$8,$B11)"),"#REF!")</f>
        <v>#REF!</v>
      </c>
      <c r="K11" s="239">
        <f>IFERROR(__xludf.DUMMYFUNCTION("IMPORTRANGE(K$8,$B11)"),125.0)</f>
        <v>125</v>
      </c>
      <c r="L11" s="238" t="str">
        <f>IFERROR(__xludf.DUMMYFUNCTION("IMPORTRANGE(L$8,$B11)"),"#REF!")</f>
        <v>#REF!</v>
      </c>
      <c r="M11" s="238" t="str">
        <f>IFERROR(__xludf.DUMMYFUNCTION("IMPORTRANGE(M$8,$B11)"),"#REF!")</f>
        <v>#REF!</v>
      </c>
      <c r="N11" s="239">
        <f>IFERROR(__xludf.DUMMYFUNCTION("IMPORTRANGE(N$8,$B11)"),152.5)</f>
        <v>152.5</v>
      </c>
      <c r="O11" s="238" t="str">
        <f>IFERROR(__xludf.DUMMYFUNCTION("IMPORTRANGE(O$8,$B11)"),"#REF!")</f>
        <v>#REF!</v>
      </c>
      <c r="P11" s="238" t="str">
        <f>IFERROR(__xludf.DUMMYFUNCTION("IMPORTRANGE(P$8,$B11)"),"#REF!")</f>
        <v>#REF!</v>
      </c>
      <c r="Q11" s="238" t="str">
        <f>IFERROR(__xludf.DUMMYFUNCTION("IMPORTRANGE(Q$8,$B11)"),"#REF!")</f>
        <v>#REF!</v>
      </c>
      <c r="R11" s="238" t="str">
        <f>IFERROR(__xludf.DUMMYFUNCTION("IMPORTRANGE(R$8,$B11)"),"#REF!")</f>
        <v>#REF!</v>
      </c>
      <c r="S11" s="239">
        <f>IFERROR(__xludf.DUMMYFUNCTION("IMPORTRANGE(S$8,$B11)"),167.5)</f>
        <v>167.5</v>
      </c>
      <c r="T11" s="238" t="str">
        <f>IFERROR(__xludf.DUMMYFUNCTION("IMPORTRANGE(T$8,$B11)"),"#REF!")</f>
        <v>#REF!</v>
      </c>
      <c r="U11" s="239">
        <f>IFERROR(__xludf.DUMMYFUNCTION("IMPORTRANGE(U$8,$B11)"),180.0)</f>
        <v>180</v>
      </c>
      <c r="V11" s="238" t="str">
        <f>IFERROR(__xludf.DUMMYFUNCTION("IMPORTRANGE(V$8,$B11)"),"#REF!")</f>
        <v>#REF!</v>
      </c>
      <c r="W11" s="239">
        <f>IFERROR(__xludf.DUMMYFUNCTION("IMPORTRANGE(W$8,$B11)"),115.0)</f>
        <v>115</v>
      </c>
      <c r="X11" s="240">
        <f>IFERROR(__xludf.DUMMYFUNCTION("IMPORTRANGE(X$8,$B11)"),155.0)</f>
        <v>155</v>
      </c>
    </row>
    <row r="12">
      <c r="A12" s="236" t="s">
        <v>838</v>
      </c>
      <c r="B12" s="237" t="s">
        <v>839</v>
      </c>
      <c r="C12" s="238" t="str">
        <f>IFERROR(__xludf.DUMMYFUNCTION("IMPORTRANGE(C$8,$B12)"),"#REF!")</f>
        <v>#REF!</v>
      </c>
      <c r="D12" s="238" t="str">
        <f>IFERROR(__xludf.DUMMYFUNCTION("IMPORTRANGE(D$8,$B12)"),"#REF!")</f>
        <v>#REF!</v>
      </c>
      <c r="E12" s="239">
        <f>IFERROR(__xludf.DUMMYFUNCTION("IMPORTRANGE(E$8,$B12)"),145.0)</f>
        <v>145</v>
      </c>
      <c r="F12" s="238" t="str">
        <f>IFERROR(__xludf.DUMMYFUNCTION("IMPORTRANGE(F$8,$B12)"),"#REF!")</f>
        <v>#REF!</v>
      </c>
      <c r="G12" s="238" t="str">
        <f>IFERROR(__xludf.DUMMYFUNCTION("IMPORTRANGE(G$8,$B12)"),"#REF!")</f>
        <v>#REF!</v>
      </c>
      <c r="H12" s="238" t="str">
        <f>IFERROR(__xludf.DUMMYFUNCTION("IMPORTRANGE(H$8,$B12)"),"#REF!")</f>
        <v>#REF!</v>
      </c>
      <c r="I12" s="238" t="str">
        <f>IFERROR(__xludf.DUMMYFUNCTION("IMPORTRANGE(I$8,$B12)"),"#REF!")</f>
        <v>#REF!</v>
      </c>
      <c r="J12" s="238" t="str">
        <f>IFERROR(__xludf.DUMMYFUNCTION("IMPORTRANGE(J$8,$B12)"),"#REF!")</f>
        <v>#REF!</v>
      </c>
      <c r="K12" s="239">
        <f>IFERROR(__xludf.DUMMYFUNCTION("IMPORTRANGE(K$8,$B12)"),130.0)</f>
        <v>130</v>
      </c>
      <c r="L12" s="238" t="str">
        <f>IFERROR(__xludf.DUMMYFUNCTION("IMPORTRANGE(L$8,$B12)"),"#REF!")</f>
        <v>#REF!</v>
      </c>
      <c r="M12" s="238" t="str">
        <f>IFERROR(__xludf.DUMMYFUNCTION("IMPORTRANGE(M$8,$B12)"),"#REF!")</f>
        <v>#REF!</v>
      </c>
      <c r="N12" s="239">
        <f>IFERROR(__xludf.DUMMYFUNCTION("IMPORTRANGE(N$8,$B12)"),160.0)</f>
        <v>160</v>
      </c>
      <c r="O12" s="238" t="str">
        <f>IFERROR(__xludf.DUMMYFUNCTION("IMPORTRANGE(O$8,$B12)"),"#REF!")</f>
        <v>#REF!</v>
      </c>
      <c r="P12" s="238" t="str">
        <f>IFERROR(__xludf.DUMMYFUNCTION("IMPORTRANGE(P$8,$B12)"),"#REF!")</f>
        <v>#REF!</v>
      </c>
      <c r="Q12" s="238" t="str">
        <f>IFERROR(__xludf.DUMMYFUNCTION("IMPORTRANGE(Q$8,$B12)"),"#REF!")</f>
        <v>#REF!</v>
      </c>
      <c r="R12" s="238" t="str">
        <f>IFERROR(__xludf.DUMMYFUNCTION("IMPORTRANGE(R$8,$B12)"),"#REF!")</f>
        <v>#REF!</v>
      </c>
      <c r="S12" s="239">
        <f>IFERROR(__xludf.DUMMYFUNCTION("IMPORTRANGE(S$8,$B12)"),172.5)</f>
        <v>172.5</v>
      </c>
      <c r="T12" s="238" t="str">
        <f>IFERROR(__xludf.DUMMYFUNCTION("IMPORTRANGE(T$8,$B12)"),"#REF!")</f>
        <v>#REF!</v>
      </c>
      <c r="U12" s="239">
        <f>IFERROR(__xludf.DUMMYFUNCTION("IMPORTRANGE(U$8,$B12)"),190.0)</f>
        <v>190</v>
      </c>
      <c r="V12" s="238" t="str">
        <f>IFERROR(__xludf.DUMMYFUNCTION("IMPORTRANGE(V$8,$B12)"),"#REF!")</f>
        <v>#REF!</v>
      </c>
      <c r="W12" s="239">
        <f>IFERROR(__xludf.DUMMYFUNCTION("IMPORTRANGE(W$8,$B12)"),120.0)</f>
        <v>120</v>
      </c>
      <c r="X12" s="240">
        <f>IFERROR(__xludf.DUMMYFUNCTION("IMPORTRANGE(X$8,$B12)"),160.0)</f>
        <v>160</v>
      </c>
    </row>
    <row r="13" outlineLevel="1">
      <c r="A13" s="228" t="s">
        <v>840</v>
      </c>
      <c r="B13" s="237"/>
      <c r="C13" s="241">
        <v>115.0</v>
      </c>
      <c r="D13" s="241">
        <v>132.5</v>
      </c>
      <c r="E13" s="241">
        <v>130.0</v>
      </c>
      <c r="F13" s="241">
        <v>130.0</v>
      </c>
      <c r="G13" s="241">
        <v>125.0</v>
      </c>
      <c r="H13" s="241">
        <v>197.5</v>
      </c>
      <c r="I13" s="241">
        <v>120.0</v>
      </c>
      <c r="J13" s="241">
        <v>137.5</v>
      </c>
      <c r="K13" s="241">
        <v>127.5</v>
      </c>
      <c r="L13" s="241">
        <v>137.5</v>
      </c>
      <c r="M13" s="241">
        <v>165.0</v>
      </c>
      <c r="N13" s="241">
        <v>137.5</v>
      </c>
      <c r="O13" s="241">
        <v>170.0</v>
      </c>
      <c r="P13" s="241">
        <v>132.5</v>
      </c>
      <c r="Q13" s="241">
        <v>130.0</v>
      </c>
      <c r="R13" s="241">
        <v>112.5</v>
      </c>
      <c r="S13" s="241">
        <v>165.0</v>
      </c>
      <c r="T13" s="241">
        <v>182.5</v>
      </c>
      <c r="U13" s="241">
        <v>162.5</v>
      </c>
      <c r="V13" s="241">
        <v>170.0</v>
      </c>
      <c r="W13" s="241">
        <v>115.0</v>
      </c>
      <c r="X13" s="242">
        <v>142.5</v>
      </c>
    </row>
    <row r="14" outlineLevel="1">
      <c r="A14" s="228" t="s">
        <v>841</v>
      </c>
      <c r="B14" s="237"/>
      <c r="C14" s="241">
        <v>130.0</v>
      </c>
      <c r="D14" s="241">
        <v>140.0</v>
      </c>
      <c r="E14" s="241">
        <v>145.0</v>
      </c>
      <c r="F14" s="241">
        <v>155.0</v>
      </c>
      <c r="G14" s="241">
        <v>135.0</v>
      </c>
      <c r="H14" s="241">
        <v>212.5</v>
      </c>
      <c r="I14" s="241">
        <v>125.0</v>
      </c>
      <c r="J14" s="241">
        <v>160.0</v>
      </c>
      <c r="K14" s="241">
        <v>125.0</v>
      </c>
      <c r="L14" s="241">
        <v>150.0</v>
      </c>
      <c r="M14" s="241">
        <v>175.0</v>
      </c>
      <c r="N14" s="241">
        <v>155.0</v>
      </c>
      <c r="O14" s="241">
        <v>182.5</v>
      </c>
      <c r="P14" s="241">
        <v>145.0</v>
      </c>
      <c r="Q14" s="241">
        <v>125.0</v>
      </c>
      <c r="R14" s="241">
        <v>140.0</v>
      </c>
      <c r="S14" s="241">
        <v>170.0</v>
      </c>
      <c r="T14" s="241">
        <v>197.5</v>
      </c>
      <c r="U14" s="241">
        <v>182.5</v>
      </c>
      <c r="V14" s="241">
        <v>190.0</v>
      </c>
      <c r="W14" s="241">
        <v>120.0</v>
      </c>
      <c r="X14" s="242">
        <v>157.5</v>
      </c>
    </row>
    <row r="15" outlineLevel="1">
      <c r="A15" s="228" t="s">
        <v>842</v>
      </c>
      <c r="B15" s="237"/>
      <c r="C15" s="241">
        <v>132.5</v>
      </c>
      <c r="D15" s="241" t="s">
        <v>843</v>
      </c>
      <c r="E15" s="241" t="s">
        <v>844</v>
      </c>
      <c r="F15" s="241">
        <v>160.0</v>
      </c>
      <c r="G15" s="241">
        <v>145.0</v>
      </c>
      <c r="H15" s="241">
        <v>215.0</v>
      </c>
      <c r="I15" s="241">
        <v>125.0</v>
      </c>
      <c r="J15" s="241">
        <v>170.0</v>
      </c>
      <c r="K15" s="241">
        <v>137.5</v>
      </c>
      <c r="L15" s="241" t="s">
        <v>845</v>
      </c>
      <c r="M15" s="241">
        <v>182.5</v>
      </c>
      <c r="N15" s="241">
        <v>157.5</v>
      </c>
      <c r="O15" s="241" t="s">
        <v>846</v>
      </c>
      <c r="P15" s="241">
        <v>150.0</v>
      </c>
      <c r="Q15" s="241">
        <v>135.0</v>
      </c>
      <c r="R15" s="241">
        <v>145.0</v>
      </c>
      <c r="S15" s="241">
        <v>175.0</v>
      </c>
      <c r="T15" s="241">
        <v>200.0</v>
      </c>
      <c r="U15" s="241">
        <v>190.0</v>
      </c>
      <c r="V15" s="241" t="s">
        <v>847</v>
      </c>
      <c r="W15" s="241">
        <v>127.5</v>
      </c>
      <c r="X15" s="242">
        <v>160.0</v>
      </c>
    </row>
    <row r="16" outlineLevel="1">
      <c r="A16" s="228"/>
      <c r="B16" s="237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2"/>
    </row>
    <row r="17">
      <c r="A17" s="236"/>
      <c r="B17" s="237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41" t="s">
        <v>848</v>
      </c>
      <c r="S17" s="238"/>
      <c r="T17" s="238"/>
      <c r="U17" s="238"/>
      <c r="V17" s="238"/>
      <c r="W17" s="238"/>
      <c r="X17" s="243"/>
    </row>
    <row r="18">
      <c r="A18" s="236" t="s">
        <v>849</v>
      </c>
      <c r="B18" s="237" t="s">
        <v>850</v>
      </c>
      <c r="C18" s="238" t="str">
        <f>IFERROR(__xludf.DUMMYFUNCTION("IMPORTRANGE(C$8,$B18)"),"#REF!")</f>
        <v>#REF!</v>
      </c>
      <c r="D18" s="238" t="str">
        <f>IFERROR(__xludf.DUMMYFUNCTION("IMPORTRANGE(D$8,$B18)"),"#REF!")</f>
        <v>#REF!</v>
      </c>
      <c r="E18" s="239">
        <f>IFERROR(__xludf.DUMMYFUNCTION("IMPORTRANGE(E$8,$B18)"),70.0)</f>
        <v>70</v>
      </c>
      <c r="F18" s="238" t="str">
        <f>IFERROR(__xludf.DUMMYFUNCTION("IMPORTRANGE(F$8,$B18)"),"#REF!")</f>
        <v>#REF!</v>
      </c>
      <c r="G18" s="238" t="str">
        <f>IFERROR(__xludf.DUMMYFUNCTION("IMPORTRANGE(G$8,$B18)"),"#REF!")</f>
        <v>#REF!</v>
      </c>
      <c r="H18" s="238" t="str">
        <f>IFERROR(__xludf.DUMMYFUNCTION("IMPORTRANGE(H$8,$B18)"),"#REF!")</f>
        <v>#REF!</v>
      </c>
      <c r="I18" s="238" t="str">
        <f>IFERROR(__xludf.DUMMYFUNCTION("IMPORTRANGE(I$8,$B18)"),"#REF!")</f>
        <v>#REF!</v>
      </c>
      <c r="J18" s="238" t="str">
        <f>IFERROR(__xludf.DUMMYFUNCTION("IMPORTRANGE(J$8,$B18)"),"#REF!")</f>
        <v>#REF!</v>
      </c>
      <c r="K18" s="239">
        <f>IFERROR(__xludf.DUMMYFUNCTION("IMPORTRANGE(K$8,$B18)"),62.5)</f>
        <v>62.5</v>
      </c>
      <c r="L18" s="238" t="str">
        <f>IFERROR(__xludf.DUMMYFUNCTION("IMPORTRANGE(L$8,$B18)"),"#REF!")</f>
        <v>#REF!</v>
      </c>
      <c r="M18" s="238" t="str">
        <f>IFERROR(__xludf.DUMMYFUNCTION("IMPORTRANGE(M$8,$B18)"),"#REF!")</f>
        <v>#REF!</v>
      </c>
      <c r="N18" s="239">
        <f>IFERROR(__xludf.DUMMYFUNCTION("IMPORTRANGE(N$8,$B18)"),87.5)</f>
        <v>87.5</v>
      </c>
      <c r="O18" s="238" t="str">
        <f>IFERROR(__xludf.DUMMYFUNCTION("IMPORTRANGE(O$8,$B18)"),"#REF!")</f>
        <v>#REF!</v>
      </c>
      <c r="P18" s="238" t="str">
        <f>IFERROR(__xludf.DUMMYFUNCTION("IMPORTRANGE(P$8,$B18)"),"#REF!")</f>
        <v>#REF!</v>
      </c>
      <c r="Q18" s="238" t="str">
        <f>IFERROR(__xludf.DUMMYFUNCTION("IMPORTRANGE(Q$8,$B18)"),"#REF!")</f>
        <v>#REF!</v>
      </c>
      <c r="R18" s="238" t="str">
        <f>IFERROR(__xludf.DUMMYFUNCTION("IMPORTRANGE(R$8,$B18)"),"#REF!")</f>
        <v>#REF!</v>
      </c>
      <c r="S18" s="239">
        <f>IFERROR(__xludf.DUMMYFUNCTION("IMPORTRANGE(S$8,$B18)"),97.5)</f>
        <v>97.5</v>
      </c>
      <c r="T18" s="238" t="str">
        <f>IFERROR(__xludf.DUMMYFUNCTION("IMPORTRANGE(T$8,$B18)"),"#REF!")</f>
        <v>#REF!</v>
      </c>
      <c r="U18" s="239">
        <f>IFERROR(__xludf.DUMMYFUNCTION("IMPORTRANGE(U$8,$B18)"),87.5)</f>
        <v>87.5</v>
      </c>
      <c r="V18" s="238" t="str">
        <f>IFERROR(__xludf.DUMMYFUNCTION("IMPORTRANGE(V$8,$B18)"),"#REF!")</f>
        <v>#REF!</v>
      </c>
      <c r="W18" s="239">
        <f>IFERROR(__xludf.DUMMYFUNCTION("IMPORTRANGE(W$8,$B18)"),82.5)</f>
        <v>82.5</v>
      </c>
      <c r="X18" s="240">
        <f>IFERROR(__xludf.DUMMYFUNCTION("IMPORTRANGE(X$8,$B18)"),95.0)</f>
        <v>95</v>
      </c>
    </row>
    <row r="19">
      <c r="A19" s="236" t="s">
        <v>851</v>
      </c>
      <c r="B19" s="237" t="s">
        <v>852</v>
      </c>
      <c r="C19" s="238" t="str">
        <f>IFERROR(__xludf.DUMMYFUNCTION("IMPORTRANGE(C$8,$B19)"),"#REF!")</f>
        <v>#REF!</v>
      </c>
      <c r="D19" s="238" t="str">
        <f>IFERROR(__xludf.DUMMYFUNCTION("IMPORTRANGE(D$8,$B19)"),"#REF!")</f>
        <v>#REF!</v>
      </c>
      <c r="E19" s="239">
        <f>IFERROR(__xludf.DUMMYFUNCTION("IMPORTRANGE(E$8,$B19)"),75.0)</f>
        <v>75</v>
      </c>
      <c r="F19" s="238" t="str">
        <f>IFERROR(__xludf.DUMMYFUNCTION("IMPORTRANGE(F$8,$B19)"),"#REF!")</f>
        <v>#REF!</v>
      </c>
      <c r="G19" s="238" t="str">
        <f>IFERROR(__xludf.DUMMYFUNCTION("IMPORTRANGE(G$8,$B19)"),"#REF!")</f>
        <v>#REF!</v>
      </c>
      <c r="H19" s="238" t="str">
        <f>IFERROR(__xludf.DUMMYFUNCTION("IMPORTRANGE(H$8,$B19)"),"#REF!")</f>
        <v>#REF!</v>
      </c>
      <c r="I19" s="238" t="str">
        <f>IFERROR(__xludf.DUMMYFUNCTION("IMPORTRANGE(I$8,$B19)"),"#REF!")</f>
        <v>#REF!</v>
      </c>
      <c r="J19" s="238" t="str">
        <f>IFERROR(__xludf.DUMMYFUNCTION("IMPORTRANGE(J$8,$B19)"),"#REF!")</f>
        <v>#REF!</v>
      </c>
      <c r="K19" s="239">
        <f>IFERROR(__xludf.DUMMYFUNCTION("IMPORTRANGE(K$8,$B19)"),67.5)</f>
        <v>67.5</v>
      </c>
      <c r="L19" s="238" t="str">
        <f>IFERROR(__xludf.DUMMYFUNCTION("IMPORTRANGE(L$8,$B19)"),"#REF!")</f>
        <v>#REF!</v>
      </c>
      <c r="M19" s="238" t="str">
        <f>IFERROR(__xludf.DUMMYFUNCTION("IMPORTRANGE(M$8,$B19)"),"#REF!")</f>
        <v>#REF!</v>
      </c>
      <c r="N19" s="239">
        <f>IFERROR(__xludf.DUMMYFUNCTION("IMPORTRANGE(N$8,$B19)"),92.5)</f>
        <v>92.5</v>
      </c>
      <c r="O19" s="238" t="str">
        <f>IFERROR(__xludf.DUMMYFUNCTION("IMPORTRANGE(O$8,$B19)"),"#REF!")</f>
        <v>#REF!</v>
      </c>
      <c r="P19" s="238" t="str">
        <f>IFERROR(__xludf.DUMMYFUNCTION("IMPORTRANGE(P$8,$B19)"),"#REF!")</f>
        <v>#REF!</v>
      </c>
      <c r="Q19" s="238" t="str">
        <f>IFERROR(__xludf.DUMMYFUNCTION("IMPORTRANGE(Q$8,$B19)"),"#REF!")</f>
        <v>#REF!</v>
      </c>
      <c r="R19" s="238" t="str">
        <f>IFERROR(__xludf.DUMMYFUNCTION("IMPORTRANGE(R$8,$B19)"),"#REF!")</f>
        <v>#REF!</v>
      </c>
      <c r="S19" s="239">
        <f>IFERROR(__xludf.DUMMYFUNCTION("IMPORTRANGE(S$8,$B19)"),102.5)</f>
        <v>102.5</v>
      </c>
      <c r="T19" s="238" t="str">
        <f>IFERROR(__xludf.DUMMYFUNCTION("IMPORTRANGE(T$8,$B19)"),"#REF!")</f>
        <v>#REF!</v>
      </c>
      <c r="U19" s="239">
        <f>IFERROR(__xludf.DUMMYFUNCTION("IMPORTRANGE(U$8,$B19)"),95.0)</f>
        <v>95</v>
      </c>
      <c r="V19" s="238" t="str">
        <f>IFERROR(__xludf.DUMMYFUNCTION("IMPORTRANGE(V$8,$B19)"),"#REF!")</f>
        <v>#REF!</v>
      </c>
      <c r="W19" s="239">
        <f>IFERROR(__xludf.DUMMYFUNCTION("IMPORTRANGE(W$8,$B19)"),85.0)</f>
        <v>85</v>
      </c>
      <c r="X19" s="240">
        <f>IFERROR(__xludf.DUMMYFUNCTION("IMPORTRANGE(X$8,$B19)"),100.0)</f>
        <v>100</v>
      </c>
    </row>
    <row r="20">
      <c r="A20" s="236" t="s">
        <v>853</v>
      </c>
      <c r="B20" s="237" t="s">
        <v>854</v>
      </c>
      <c r="C20" s="238" t="str">
        <f>IFERROR(__xludf.DUMMYFUNCTION("IMPORTRANGE(C$8,$B20)"),"#REF!")</f>
        <v>#REF!</v>
      </c>
      <c r="D20" s="238" t="str">
        <f>IFERROR(__xludf.DUMMYFUNCTION("IMPORTRANGE(D$8,$B20)"),"#REF!")</f>
        <v>#REF!</v>
      </c>
      <c r="E20" s="239">
        <f>IFERROR(__xludf.DUMMYFUNCTION("IMPORTRANGE(E$8,$B20)"),80.0)</f>
        <v>80</v>
      </c>
      <c r="F20" s="238" t="str">
        <f>IFERROR(__xludf.DUMMYFUNCTION("IMPORTRANGE(F$8,$B20)"),"#REF!")</f>
        <v>#REF!</v>
      </c>
      <c r="G20" s="238" t="str">
        <f>IFERROR(__xludf.DUMMYFUNCTION("IMPORTRANGE(G$8,$B20)"),"#REF!")</f>
        <v>#REF!</v>
      </c>
      <c r="H20" s="238" t="str">
        <f>IFERROR(__xludf.DUMMYFUNCTION("IMPORTRANGE(H$8,$B20)"),"#REF!")</f>
        <v>#REF!</v>
      </c>
      <c r="I20" s="238" t="str">
        <f>IFERROR(__xludf.DUMMYFUNCTION("IMPORTRANGE(I$8,$B20)"),"#REF!")</f>
        <v>#REF!</v>
      </c>
      <c r="J20" s="238" t="str">
        <f>IFERROR(__xludf.DUMMYFUNCTION("IMPORTRANGE(J$8,$B20)"),"#REF!")</f>
        <v>#REF!</v>
      </c>
      <c r="K20" s="239">
        <f>IFERROR(__xludf.DUMMYFUNCTION("IMPORTRANGE(K$8,$B20)"),70.0)</f>
        <v>70</v>
      </c>
      <c r="L20" s="238" t="str">
        <f>IFERROR(__xludf.DUMMYFUNCTION("IMPORTRANGE(L$8,$B20)"),"#REF!")</f>
        <v>#REF!</v>
      </c>
      <c r="M20" s="238" t="str">
        <f>IFERROR(__xludf.DUMMYFUNCTION("IMPORTRANGE(M$8,$B20)"),"#REF!")</f>
        <v>#REF!</v>
      </c>
      <c r="N20" s="239">
        <f>IFERROR(__xludf.DUMMYFUNCTION("IMPORTRANGE(N$8,$B20)"),95.0)</f>
        <v>95</v>
      </c>
      <c r="O20" s="238" t="str">
        <f>IFERROR(__xludf.DUMMYFUNCTION("IMPORTRANGE(O$8,$B20)"),"#REF!")</f>
        <v>#REF!</v>
      </c>
      <c r="P20" s="238" t="str">
        <f>IFERROR(__xludf.DUMMYFUNCTION("IMPORTRANGE(P$8,$B20)"),"#REF!")</f>
        <v>#REF!</v>
      </c>
      <c r="Q20" s="238" t="str">
        <f>IFERROR(__xludf.DUMMYFUNCTION("IMPORTRANGE(Q$8,$B20)"),"#REF!")</f>
        <v>#REF!</v>
      </c>
      <c r="R20" s="238" t="str">
        <f>IFERROR(__xludf.DUMMYFUNCTION("IMPORTRANGE(R$8,$B20)"),"#REF!")</f>
        <v>#REF!</v>
      </c>
      <c r="S20" s="239">
        <f>IFERROR(__xludf.DUMMYFUNCTION("IMPORTRANGE(S$8,$B20)"),105.0)</f>
        <v>105</v>
      </c>
      <c r="T20" s="238" t="str">
        <f>IFERROR(__xludf.DUMMYFUNCTION("IMPORTRANGE(T$8,$B20)"),"#REF!")</f>
        <v>#REF!</v>
      </c>
      <c r="U20" s="239">
        <f>IFERROR(__xludf.DUMMYFUNCTION("IMPORTRANGE(U$8,$B20)"),100.0)</f>
        <v>100</v>
      </c>
      <c r="V20" s="238" t="str">
        <f>IFERROR(__xludf.DUMMYFUNCTION("IMPORTRANGE(V$8,$B20)"),"#REF!")</f>
        <v>#REF!</v>
      </c>
      <c r="W20" s="239">
        <f>IFERROR(__xludf.DUMMYFUNCTION("IMPORTRANGE(W$8,$B20)"),87.5)</f>
        <v>87.5</v>
      </c>
      <c r="X20" s="240">
        <f>IFERROR(__xludf.DUMMYFUNCTION("IMPORTRANGE(X$8,$B20)"),105.0)</f>
        <v>105</v>
      </c>
    </row>
    <row r="21" outlineLevel="1">
      <c r="A21" s="228" t="s">
        <v>840</v>
      </c>
      <c r="B21" s="237"/>
      <c r="C21" s="241">
        <v>65.0</v>
      </c>
      <c r="D21" s="241">
        <v>67.5</v>
      </c>
      <c r="E21" s="238"/>
      <c r="F21" s="241">
        <v>80.0</v>
      </c>
      <c r="G21" s="241">
        <v>70.0</v>
      </c>
      <c r="H21" s="241">
        <v>100.0</v>
      </c>
      <c r="I21" s="241">
        <v>75.0</v>
      </c>
      <c r="J21" s="241">
        <v>102.5</v>
      </c>
      <c r="K21" s="241">
        <v>65.0</v>
      </c>
      <c r="L21" s="241">
        <v>90.0</v>
      </c>
      <c r="M21" s="241">
        <v>115.0</v>
      </c>
      <c r="N21" s="241">
        <v>90.0</v>
      </c>
      <c r="O21" s="241">
        <v>92.5</v>
      </c>
      <c r="P21" s="241">
        <v>82.5</v>
      </c>
      <c r="Q21" s="241">
        <v>67.5</v>
      </c>
      <c r="R21" s="241">
        <v>97.5</v>
      </c>
      <c r="S21" s="241">
        <v>100.0</v>
      </c>
      <c r="T21" s="241">
        <v>107.5</v>
      </c>
      <c r="U21" s="241">
        <v>92.5</v>
      </c>
      <c r="V21" s="241">
        <v>77.5</v>
      </c>
      <c r="W21" s="241">
        <v>87.5</v>
      </c>
      <c r="X21" s="242">
        <v>95.0</v>
      </c>
    </row>
    <row r="22" outlineLevel="1">
      <c r="A22" s="228" t="s">
        <v>841</v>
      </c>
      <c r="B22" s="237"/>
      <c r="C22" s="241">
        <v>70.0</v>
      </c>
      <c r="D22" s="241">
        <v>72.5</v>
      </c>
      <c r="E22" s="241">
        <v>77.5</v>
      </c>
      <c r="F22" s="241">
        <v>85.0</v>
      </c>
      <c r="G22" s="241">
        <v>87.5</v>
      </c>
      <c r="H22" s="241">
        <v>115.0</v>
      </c>
      <c r="I22" s="241">
        <v>80.0</v>
      </c>
      <c r="J22" s="241">
        <v>110.0</v>
      </c>
      <c r="K22" s="241">
        <v>70.0</v>
      </c>
      <c r="L22" s="241">
        <v>100.0</v>
      </c>
      <c r="M22" s="241">
        <v>137.5</v>
      </c>
      <c r="N22" s="241">
        <v>92.5</v>
      </c>
      <c r="O22" s="241">
        <v>102.5</v>
      </c>
      <c r="P22" s="241">
        <v>85.0</v>
      </c>
      <c r="Q22" s="241">
        <v>72.5</v>
      </c>
      <c r="R22" s="241">
        <v>110.0</v>
      </c>
      <c r="S22" s="241">
        <v>110.0</v>
      </c>
      <c r="T22" s="241">
        <v>112.5</v>
      </c>
      <c r="U22" s="241">
        <v>95.0</v>
      </c>
      <c r="V22" s="241">
        <v>90.0</v>
      </c>
      <c r="W22" s="241">
        <v>87.5</v>
      </c>
      <c r="X22" s="242">
        <v>100.0</v>
      </c>
    </row>
    <row r="23" outlineLevel="1">
      <c r="A23" s="228" t="s">
        <v>842</v>
      </c>
      <c r="B23" s="237"/>
      <c r="C23" s="241">
        <v>70.0</v>
      </c>
      <c r="D23" s="241">
        <v>75.0</v>
      </c>
      <c r="E23" s="241">
        <v>82.5</v>
      </c>
      <c r="F23" s="241">
        <v>90.0</v>
      </c>
      <c r="G23" s="241">
        <v>90.0</v>
      </c>
      <c r="H23" s="241">
        <v>112.5</v>
      </c>
      <c r="I23" s="241">
        <v>80.0</v>
      </c>
      <c r="J23" s="241">
        <v>112.5</v>
      </c>
      <c r="K23" s="244">
        <v>44623.0</v>
      </c>
      <c r="L23" s="241" t="s">
        <v>855</v>
      </c>
      <c r="M23" s="238"/>
      <c r="N23" s="241">
        <v>97.5</v>
      </c>
      <c r="O23" s="241">
        <v>110.0</v>
      </c>
      <c r="P23" s="241">
        <v>87.5</v>
      </c>
      <c r="Q23" s="241">
        <v>75.0</v>
      </c>
      <c r="R23" s="241">
        <v>120.0</v>
      </c>
      <c r="S23" s="241">
        <v>107.5</v>
      </c>
      <c r="T23" s="241">
        <v>115.0</v>
      </c>
      <c r="U23" s="241">
        <v>97.5</v>
      </c>
      <c r="V23" s="241">
        <v>92.5</v>
      </c>
      <c r="W23" s="241">
        <v>90.0</v>
      </c>
      <c r="X23" s="242">
        <v>105.0</v>
      </c>
    </row>
    <row r="24" outlineLevel="1">
      <c r="A24" s="228"/>
      <c r="B24" s="237"/>
      <c r="C24" s="241"/>
      <c r="D24" s="241"/>
      <c r="E24" s="241"/>
      <c r="F24" s="241"/>
      <c r="G24" s="241"/>
      <c r="H24" s="241"/>
      <c r="I24" s="241"/>
      <c r="J24" s="241"/>
      <c r="K24" s="244"/>
      <c r="L24" s="241"/>
      <c r="M24" s="238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2"/>
    </row>
    <row r="25">
      <c r="A25" s="236"/>
      <c r="B25" s="237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43"/>
    </row>
    <row r="26">
      <c r="A26" s="236" t="s">
        <v>856</v>
      </c>
      <c r="B26" s="237" t="s">
        <v>857</v>
      </c>
      <c r="C26" s="238" t="str">
        <f>IFERROR(__xludf.DUMMYFUNCTION("IMPORTRANGE(C$8,$B26)"),"#REF!")</f>
        <v>#REF!</v>
      </c>
      <c r="D26" s="238" t="str">
        <f>IFERROR(__xludf.DUMMYFUNCTION("IMPORTRANGE(D$8,$B26)"),"#REF!")</f>
        <v>#REF!</v>
      </c>
      <c r="E26" s="239">
        <f>IFERROR(__xludf.DUMMYFUNCTION("IMPORTRANGE(E$8,$B26)"),127.5)</f>
        <v>127.5</v>
      </c>
      <c r="F26" s="238" t="str">
        <f>IFERROR(__xludf.DUMMYFUNCTION("IMPORTRANGE(F$8,$B26)"),"#REF!")</f>
        <v>#REF!</v>
      </c>
      <c r="G26" s="238" t="str">
        <f>IFERROR(__xludf.DUMMYFUNCTION("IMPORTRANGE(G$8,$B26)"),"#REF!")</f>
        <v>#REF!</v>
      </c>
      <c r="H26" s="238" t="str">
        <f>IFERROR(__xludf.DUMMYFUNCTION("IMPORTRANGE(H$8,$B26)"),"#REF!")</f>
        <v>#REF!</v>
      </c>
      <c r="I26" s="238" t="str">
        <f>IFERROR(__xludf.DUMMYFUNCTION("IMPORTRANGE(I$8,$B26)"),"#REF!")</f>
        <v>#REF!</v>
      </c>
      <c r="J26" s="238" t="str">
        <f>IFERROR(__xludf.DUMMYFUNCTION("IMPORTRANGE(J$8,$B26)"),"#REF!")</f>
        <v>#REF!</v>
      </c>
      <c r="K26" s="239">
        <f>IFERROR(__xludf.DUMMYFUNCTION("IMPORTRANGE(K$8,$B26)"),105.0)</f>
        <v>105</v>
      </c>
      <c r="L26" s="238" t="str">
        <f>IFERROR(__xludf.DUMMYFUNCTION("IMPORTRANGE(L$8,$B26)"),"#REF!")</f>
        <v>#REF!</v>
      </c>
      <c r="M26" s="238" t="str">
        <f>IFERROR(__xludf.DUMMYFUNCTION("IMPORTRANGE(M$8,$B26)"),"#REF!")</f>
        <v>#REF!</v>
      </c>
      <c r="N26" s="239">
        <f>IFERROR(__xludf.DUMMYFUNCTION("IMPORTRANGE(N$8,$B26)"),142.5)</f>
        <v>142.5</v>
      </c>
      <c r="O26" s="238" t="str">
        <f>IFERROR(__xludf.DUMMYFUNCTION("IMPORTRANGE(O$8,$B26)"),"#REF!")</f>
        <v>#REF!</v>
      </c>
      <c r="P26" s="238" t="str">
        <f>IFERROR(__xludf.DUMMYFUNCTION("IMPORTRANGE(P$8,$B26)"),"#REF!")</f>
        <v>#REF!</v>
      </c>
      <c r="Q26" s="238" t="str">
        <f>IFERROR(__xludf.DUMMYFUNCTION("IMPORTRANGE(Q$8,$B26)"),"#REF!")</f>
        <v>#REF!</v>
      </c>
      <c r="R26" s="238" t="str">
        <f>IFERROR(__xludf.DUMMYFUNCTION("IMPORTRANGE(R$8,$B26)"),"#REF!")</f>
        <v>#REF!</v>
      </c>
      <c r="S26" s="239">
        <f>IFERROR(__xludf.DUMMYFUNCTION("IMPORTRANGE(S$8,$B26)"),147.5)</f>
        <v>147.5</v>
      </c>
      <c r="T26" s="238" t="str">
        <f>IFERROR(__xludf.DUMMYFUNCTION("IMPORTRANGE(T$8,$B26)"),"#REF!")</f>
        <v>#REF!</v>
      </c>
      <c r="U26" s="239">
        <f>IFERROR(__xludf.DUMMYFUNCTION("IMPORTRANGE(U$8,$B26)"),150.0)</f>
        <v>150</v>
      </c>
      <c r="V26" s="238" t="str">
        <f>IFERROR(__xludf.DUMMYFUNCTION("IMPORTRANGE(V$8,$B26)"),"#REF!")</f>
        <v>#REF!</v>
      </c>
      <c r="W26" s="239">
        <f>IFERROR(__xludf.DUMMYFUNCTION("IMPORTRANGE(W$8,$B26)"),127.5)</f>
        <v>127.5</v>
      </c>
      <c r="X26" s="240">
        <f>IFERROR(__xludf.DUMMYFUNCTION("IMPORTRANGE(X$8,$B26)"),130.0)</f>
        <v>130</v>
      </c>
    </row>
    <row r="27">
      <c r="A27" s="236" t="s">
        <v>858</v>
      </c>
      <c r="B27" s="237" t="s">
        <v>859</v>
      </c>
      <c r="C27" s="238" t="str">
        <f>IFERROR(__xludf.DUMMYFUNCTION("IMPORTRANGE(C$8,$B27)"),"#REF!")</f>
        <v>#REF!</v>
      </c>
      <c r="D27" s="238" t="str">
        <f>IFERROR(__xludf.DUMMYFUNCTION("IMPORTRANGE(D$8,$B27)"),"#REF!")</f>
        <v>#REF!</v>
      </c>
      <c r="E27" s="239">
        <f>IFERROR(__xludf.DUMMYFUNCTION("IMPORTRANGE(E$8,$B27)"),132.5)</f>
        <v>132.5</v>
      </c>
      <c r="F27" s="238" t="str">
        <f>IFERROR(__xludf.DUMMYFUNCTION("IMPORTRANGE(F$8,$B27)"),"#REF!")</f>
        <v>#REF!</v>
      </c>
      <c r="G27" s="238" t="str">
        <f>IFERROR(__xludf.DUMMYFUNCTION("IMPORTRANGE(G$8,$B27)"),"#REF!")</f>
        <v>#REF!</v>
      </c>
      <c r="H27" s="238" t="str">
        <f>IFERROR(__xludf.DUMMYFUNCTION("IMPORTRANGE(H$8,$B27)"),"#REF!")</f>
        <v>#REF!</v>
      </c>
      <c r="I27" s="238" t="str">
        <f>IFERROR(__xludf.DUMMYFUNCTION("IMPORTRANGE(I$8,$B27)"),"#REF!")</f>
        <v>#REF!</v>
      </c>
      <c r="J27" s="238" t="str">
        <f>IFERROR(__xludf.DUMMYFUNCTION("IMPORTRANGE(J$8,$B27)"),"#REF!")</f>
        <v>#REF!</v>
      </c>
      <c r="K27" s="239">
        <f>IFERROR(__xludf.DUMMYFUNCTION("IMPORTRANGE(K$8,$B27)"),112.5)</f>
        <v>112.5</v>
      </c>
      <c r="L27" s="238" t="str">
        <f>IFERROR(__xludf.DUMMYFUNCTION("IMPORTRANGE(L$8,$B27)"),"#REF!")</f>
        <v>#REF!</v>
      </c>
      <c r="M27" s="238" t="str">
        <f>IFERROR(__xludf.DUMMYFUNCTION("IMPORTRANGE(M$8,$B27)"),"#REF!")</f>
        <v>#REF!</v>
      </c>
      <c r="N27" s="239">
        <f>IFERROR(__xludf.DUMMYFUNCTION("IMPORTRANGE(N$8,$B27)"),150.0)</f>
        <v>150</v>
      </c>
      <c r="O27" s="238" t="str">
        <f>IFERROR(__xludf.DUMMYFUNCTION("IMPORTRANGE(O$8,$B27)"),"#REF!")</f>
        <v>#REF!</v>
      </c>
      <c r="P27" s="238" t="str">
        <f>IFERROR(__xludf.DUMMYFUNCTION("IMPORTRANGE(P$8,$B27)"),"#REF!")</f>
        <v>#REF!</v>
      </c>
      <c r="Q27" s="238" t="str">
        <f>IFERROR(__xludf.DUMMYFUNCTION("IMPORTRANGE(Q$8,$B27)"),"#REF!")</f>
        <v>#REF!</v>
      </c>
      <c r="R27" s="238" t="str">
        <f>IFERROR(__xludf.DUMMYFUNCTION("IMPORTRANGE(R$8,$B27)"),"#REF!")</f>
        <v>#REF!</v>
      </c>
      <c r="S27" s="239">
        <f>IFERROR(__xludf.DUMMYFUNCTION("IMPORTRANGE(S$8,$B27)"),155.0)</f>
        <v>155</v>
      </c>
      <c r="T27" s="238" t="str">
        <f>IFERROR(__xludf.DUMMYFUNCTION("IMPORTRANGE(T$8,$B27)"),"#REF!")</f>
        <v>#REF!</v>
      </c>
      <c r="U27" s="239">
        <f>IFERROR(__xludf.DUMMYFUNCTION("IMPORTRANGE(U$8,$B27)"),160.0)</f>
        <v>160</v>
      </c>
      <c r="V27" s="238" t="str">
        <f>IFERROR(__xludf.DUMMYFUNCTION("IMPORTRANGE(V$8,$B27)"),"#REF!")</f>
        <v>#REF!</v>
      </c>
      <c r="W27" s="239">
        <f>IFERROR(__xludf.DUMMYFUNCTION("IMPORTRANGE(W$8,$B27)"),135.0)</f>
        <v>135</v>
      </c>
      <c r="X27" s="240">
        <f>IFERROR(__xludf.DUMMYFUNCTION("IMPORTRANGE(X$8,$B27)"),135.0)</f>
        <v>135</v>
      </c>
    </row>
    <row r="28">
      <c r="A28" s="236" t="s">
        <v>860</v>
      </c>
      <c r="B28" s="237" t="s">
        <v>861</v>
      </c>
      <c r="C28" s="238" t="str">
        <f>IFERROR(__xludf.DUMMYFUNCTION("IMPORTRANGE(C$8,$B28)"),"#REF!")</f>
        <v>#REF!</v>
      </c>
      <c r="D28" s="238" t="str">
        <f>IFERROR(__xludf.DUMMYFUNCTION("IMPORTRANGE(D$8,$B28)"),"#REF!")</f>
        <v>#REF!</v>
      </c>
      <c r="E28" s="239">
        <f>IFERROR(__xludf.DUMMYFUNCTION("IMPORTRANGE(E$8,$B28)"),137.5)</f>
        <v>137.5</v>
      </c>
      <c r="F28" s="238" t="str">
        <f>IFERROR(__xludf.DUMMYFUNCTION("IMPORTRANGE(F$8,$B28)"),"#REF!")</f>
        <v>#REF!</v>
      </c>
      <c r="G28" s="238" t="str">
        <f>IFERROR(__xludf.DUMMYFUNCTION("IMPORTRANGE(G$8,$B28)"),"#REF!")</f>
        <v>#REF!</v>
      </c>
      <c r="H28" s="238" t="str">
        <f>IFERROR(__xludf.DUMMYFUNCTION("IMPORTRANGE(H$8,$B28)"),"#REF!")</f>
        <v>#REF!</v>
      </c>
      <c r="I28" s="238" t="str">
        <f>IFERROR(__xludf.DUMMYFUNCTION("IMPORTRANGE(I$8,$B28)"),"#REF!")</f>
        <v>#REF!</v>
      </c>
      <c r="J28" s="238" t="str">
        <f>IFERROR(__xludf.DUMMYFUNCTION("IMPORTRANGE(J$8,$B28)"),"#REF!")</f>
        <v>#REF!</v>
      </c>
      <c r="K28" s="239">
        <f>IFERROR(__xludf.DUMMYFUNCTION("IMPORTRANGE(K$8,$B28)"),117.5)</f>
        <v>117.5</v>
      </c>
      <c r="L28" s="238" t="str">
        <f>IFERROR(__xludf.DUMMYFUNCTION("IMPORTRANGE(L$8,$B28)"),"#REF!")</f>
        <v>#REF!</v>
      </c>
      <c r="M28" s="238" t="str">
        <f>IFERROR(__xludf.DUMMYFUNCTION("IMPORTRANGE(M$8,$B28)"),"#REF!")</f>
        <v>#REF!</v>
      </c>
      <c r="N28" s="239">
        <f>IFERROR(__xludf.DUMMYFUNCTION("IMPORTRANGE(N$8,$B28)"),157.5)</f>
        <v>157.5</v>
      </c>
      <c r="O28" s="238" t="str">
        <f>IFERROR(__xludf.DUMMYFUNCTION("IMPORTRANGE(O$8,$B28)"),"#REF!")</f>
        <v>#REF!</v>
      </c>
      <c r="P28" s="238" t="str">
        <f>IFERROR(__xludf.DUMMYFUNCTION("IMPORTRANGE(P$8,$B28)"),"#REF!")</f>
        <v>#REF!</v>
      </c>
      <c r="Q28" s="238" t="str">
        <f>IFERROR(__xludf.DUMMYFUNCTION("IMPORTRANGE(Q$8,$B28)"),"#REF!")</f>
        <v>#REF!</v>
      </c>
      <c r="R28" s="238" t="str">
        <f>IFERROR(__xludf.DUMMYFUNCTION("IMPORTRANGE(R$8,$B28)"),"#REF!")</f>
        <v>#REF!</v>
      </c>
      <c r="S28" s="239">
        <f>IFERROR(__xludf.DUMMYFUNCTION("IMPORTRANGE(S$8,$B28)"),160.0)</f>
        <v>160</v>
      </c>
      <c r="T28" s="238" t="str">
        <f>IFERROR(__xludf.DUMMYFUNCTION("IMPORTRANGE(T$8,$B28)"),"#REF!")</f>
        <v>#REF!</v>
      </c>
      <c r="U28" s="239">
        <f>IFERROR(__xludf.DUMMYFUNCTION("IMPORTRANGE(U$8,$B28)"),170.0)</f>
        <v>170</v>
      </c>
      <c r="V28" s="238" t="str">
        <f>IFERROR(__xludf.DUMMYFUNCTION("IMPORTRANGE(V$8,$B28)"),"#REF!")</f>
        <v>#REF!</v>
      </c>
      <c r="W28" s="239">
        <f>IFERROR(__xludf.DUMMYFUNCTION("IMPORTRANGE(W$8,$B28)"),142.5)</f>
        <v>142.5</v>
      </c>
      <c r="X28" s="240">
        <f>IFERROR(__xludf.DUMMYFUNCTION("IMPORTRANGE(X$8,$B28)"),137.5)</f>
        <v>137.5</v>
      </c>
    </row>
    <row r="29" outlineLevel="1">
      <c r="A29" s="228" t="s">
        <v>840</v>
      </c>
      <c r="B29" s="237"/>
      <c r="C29" s="241">
        <v>115.0</v>
      </c>
      <c r="D29" s="241">
        <v>127.5</v>
      </c>
      <c r="E29" s="238">
        <v>122.5</v>
      </c>
      <c r="F29" s="241">
        <v>125.0</v>
      </c>
      <c r="G29" s="241">
        <v>135.0</v>
      </c>
      <c r="H29" s="241">
        <v>185.0</v>
      </c>
      <c r="I29" s="241">
        <v>125.0</v>
      </c>
      <c r="J29" s="241">
        <v>127.5</v>
      </c>
      <c r="K29" s="241">
        <v>112.5</v>
      </c>
      <c r="L29" s="241">
        <v>142.5</v>
      </c>
      <c r="M29" s="241">
        <v>145.0</v>
      </c>
      <c r="N29" s="241">
        <v>142.5</v>
      </c>
      <c r="O29" s="241">
        <v>150.0</v>
      </c>
      <c r="P29" s="241">
        <v>127.5</v>
      </c>
      <c r="Q29" s="241">
        <v>115.0</v>
      </c>
      <c r="R29" s="241">
        <v>120.0</v>
      </c>
      <c r="S29" s="241">
        <v>157.5</v>
      </c>
      <c r="T29" s="241">
        <v>185.0</v>
      </c>
      <c r="U29" s="241">
        <v>160.0</v>
      </c>
      <c r="V29" s="241">
        <v>155.0</v>
      </c>
      <c r="W29" s="241">
        <v>135.0</v>
      </c>
      <c r="X29" s="242">
        <v>137.5</v>
      </c>
    </row>
    <row r="30" outlineLevel="1">
      <c r="A30" s="228" t="s">
        <v>841</v>
      </c>
      <c r="B30" s="237"/>
      <c r="C30" s="241">
        <v>120.0</v>
      </c>
      <c r="D30" s="241">
        <v>130.0</v>
      </c>
      <c r="E30" s="241">
        <v>137.5</v>
      </c>
      <c r="F30" s="241">
        <v>130.0</v>
      </c>
      <c r="G30" s="241">
        <v>135.0</v>
      </c>
      <c r="H30" s="241">
        <v>197.5</v>
      </c>
      <c r="I30" s="241">
        <v>125.0</v>
      </c>
      <c r="J30" s="241">
        <v>137.5</v>
      </c>
      <c r="K30" s="241">
        <v>110.0</v>
      </c>
      <c r="L30" s="241">
        <v>145.0</v>
      </c>
      <c r="M30" s="241">
        <v>150.0</v>
      </c>
      <c r="N30" s="241">
        <v>155.0</v>
      </c>
      <c r="O30" s="241">
        <v>155.0</v>
      </c>
      <c r="P30" s="241">
        <v>137.5</v>
      </c>
      <c r="Q30" s="241">
        <v>115.0</v>
      </c>
      <c r="R30" s="241">
        <v>115.0</v>
      </c>
      <c r="S30" s="241">
        <v>160.0</v>
      </c>
      <c r="T30" s="241">
        <v>202.5</v>
      </c>
      <c r="U30" s="241">
        <v>167.5</v>
      </c>
      <c r="V30" s="241">
        <v>162.5</v>
      </c>
      <c r="W30" s="241">
        <v>145.0</v>
      </c>
      <c r="X30" s="242">
        <v>137.5</v>
      </c>
    </row>
    <row r="31" outlineLevel="1">
      <c r="A31" s="228" t="s">
        <v>842</v>
      </c>
      <c r="B31" s="237"/>
      <c r="C31" s="241">
        <v>122.5</v>
      </c>
      <c r="D31" s="241">
        <v>132.5</v>
      </c>
      <c r="E31" s="241">
        <v>140.0</v>
      </c>
      <c r="F31" s="241">
        <v>132.5</v>
      </c>
      <c r="G31" s="241">
        <v>142.5</v>
      </c>
      <c r="H31" s="241" t="s">
        <v>862</v>
      </c>
      <c r="I31" s="241">
        <v>130.0</v>
      </c>
      <c r="J31" s="241" t="s">
        <v>843</v>
      </c>
      <c r="K31" s="244">
        <v>120.0</v>
      </c>
      <c r="L31" s="241">
        <v>150.0</v>
      </c>
      <c r="M31" s="238">
        <v>152.5</v>
      </c>
      <c r="N31" s="241">
        <v>155.0</v>
      </c>
      <c r="O31" s="241" t="s">
        <v>863</v>
      </c>
      <c r="P31" s="241" t="s">
        <v>843</v>
      </c>
      <c r="Q31" s="241">
        <v>120.0</v>
      </c>
      <c r="R31" s="241">
        <v>115.0</v>
      </c>
      <c r="S31" s="241">
        <v>165.0</v>
      </c>
      <c r="T31" s="241">
        <v>205.0</v>
      </c>
      <c r="U31" s="241">
        <v>175.0</v>
      </c>
      <c r="V31" s="241" t="s">
        <v>864</v>
      </c>
      <c r="W31" s="241">
        <v>150.0</v>
      </c>
      <c r="X31" s="242">
        <v>140.0</v>
      </c>
    </row>
    <row r="32" outlineLevel="1">
      <c r="A32" s="245"/>
      <c r="B32" s="112"/>
      <c r="C32" s="246"/>
      <c r="D32" s="246"/>
      <c r="E32" s="246"/>
      <c r="F32" s="246"/>
      <c r="G32" s="246"/>
      <c r="H32" s="246"/>
      <c r="I32" s="246"/>
      <c r="J32" s="246"/>
      <c r="K32" s="247"/>
      <c r="L32" s="246"/>
      <c r="M32" s="248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</row>
    <row r="33">
      <c r="A33" s="249"/>
      <c r="B33" s="112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</row>
    <row r="34">
      <c r="A34" s="245" t="s">
        <v>865</v>
      </c>
      <c r="B34" s="112"/>
      <c r="C34" s="248" t="str">
        <f t="shared" ref="C34:X34" si="1">SUM(C12,C20,C28)</f>
        <v>#REF!</v>
      </c>
      <c r="D34" s="248" t="str">
        <f t="shared" si="1"/>
        <v>#REF!</v>
      </c>
      <c r="E34" s="250">
        <f t="shared" si="1"/>
        <v>362.5</v>
      </c>
      <c r="F34" s="248" t="str">
        <f t="shared" si="1"/>
        <v>#REF!</v>
      </c>
      <c r="G34" s="248" t="str">
        <f t="shared" si="1"/>
        <v>#REF!</v>
      </c>
      <c r="H34" s="248" t="str">
        <f t="shared" si="1"/>
        <v>#REF!</v>
      </c>
      <c r="I34" s="248" t="str">
        <f t="shared" si="1"/>
        <v>#REF!</v>
      </c>
      <c r="J34" s="248" t="str">
        <f t="shared" si="1"/>
        <v>#REF!</v>
      </c>
      <c r="K34" s="250">
        <f t="shared" si="1"/>
        <v>317.5</v>
      </c>
      <c r="L34" s="248" t="str">
        <f t="shared" si="1"/>
        <v>#REF!</v>
      </c>
      <c r="M34" s="248" t="str">
        <f t="shared" si="1"/>
        <v>#REF!</v>
      </c>
      <c r="N34" s="250">
        <f t="shared" si="1"/>
        <v>412.5</v>
      </c>
      <c r="O34" s="248" t="str">
        <f t="shared" si="1"/>
        <v>#REF!</v>
      </c>
      <c r="P34" s="248" t="str">
        <f t="shared" si="1"/>
        <v>#REF!</v>
      </c>
      <c r="Q34" s="248" t="str">
        <f t="shared" si="1"/>
        <v>#REF!</v>
      </c>
      <c r="R34" s="248" t="str">
        <f t="shared" si="1"/>
        <v>#REF!</v>
      </c>
      <c r="S34" s="250">
        <f t="shared" si="1"/>
        <v>437.5</v>
      </c>
      <c r="T34" s="248" t="str">
        <f t="shared" si="1"/>
        <v>#REF!</v>
      </c>
      <c r="U34" s="250">
        <f t="shared" si="1"/>
        <v>460</v>
      </c>
      <c r="V34" s="248" t="str">
        <f t="shared" si="1"/>
        <v>#REF!</v>
      </c>
      <c r="W34" s="250">
        <f t="shared" si="1"/>
        <v>350</v>
      </c>
      <c r="X34" s="250">
        <f t="shared" si="1"/>
        <v>402.5</v>
      </c>
    </row>
  </sheetData>
  <hyperlinks>
    <hyperlink r:id="rId2" ref="C8"/>
    <hyperlink r:id="rId3" ref="D8"/>
    <hyperlink r:id="rId4" ref="E8"/>
    <hyperlink r:id="rId5" location="gid=0" ref="F8"/>
    <hyperlink r:id="rId6" ref="G8"/>
    <hyperlink r:id="rId7" ref="H8"/>
    <hyperlink r:id="rId8" ref="I8"/>
    <hyperlink r:id="rId9" ref="J8"/>
    <hyperlink r:id="rId10" ref="K8"/>
    <hyperlink r:id="rId11" ref="L8"/>
    <hyperlink r:id="rId12" ref="M8"/>
    <hyperlink r:id="rId13" ref="N8"/>
    <hyperlink r:id="rId14" ref="O8"/>
    <hyperlink r:id="rId15" ref="P8"/>
    <hyperlink r:id="rId16" location="gid=0" ref="Q8"/>
    <hyperlink r:id="rId17" ref="R8"/>
    <hyperlink r:id="rId18" ref="S8"/>
    <hyperlink r:id="rId19" ref="T8"/>
    <hyperlink r:id="rId20" ref="U8"/>
    <hyperlink r:id="rId21" ref="V8"/>
    <hyperlink r:id="rId22" ref="W8"/>
    <hyperlink r:id="rId23" ref="X8"/>
  </hyperlinks>
  <drawing r:id="rId24"/>
  <legacyDrawing r:id="rId25"/>
  <tableParts count="1">
    <tablePart r:id="rId2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13"/>
    <col customWidth="1" min="2" max="2" width="5.0"/>
    <col hidden="1" min="3" max="3" width="12.63"/>
    <col customWidth="1" min="6" max="6" width="6.13"/>
    <col customWidth="1" hidden="1" min="7" max="8" width="8.88"/>
    <col customWidth="1" hidden="1" min="9" max="9" width="8.63"/>
    <col customWidth="1" hidden="1" min="10" max="26" width="8.88"/>
    <col customWidth="1" min="27" max="28" width="8.88"/>
  </cols>
  <sheetData>
    <row r="1" hidden="1">
      <c r="A1" s="245"/>
      <c r="B1" s="251"/>
      <c r="C1" s="251"/>
      <c r="D1" s="251"/>
      <c r="E1" s="251"/>
      <c r="F1" s="251"/>
      <c r="G1" s="222" t="s">
        <v>46</v>
      </c>
      <c r="H1" s="222" t="s">
        <v>40</v>
      </c>
      <c r="I1" s="223" t="s">
        <v>60</v>
      </c>
      <c r="J1" s="223" t="s">
        <v>62</v>
      </c>
      <c r="K1" s="223" t="s">
        <v>57</v>
      </c>
      <c r="L1" s="222" t="s">
        <v>52</v>
      </c>
      <c r="M1" s="223" t="s">
        <v>653</v>
      </c>
      <c r="N1" s="223" t="s">
        <v>93</v>
      </c>
      <c r="O1" s="223" t="s">
        <v>72</v>
      </c>
      <c r="P1" s="222" t="s">
        <v>476</v>
      </c>
      <c r="Q1" s="223" t="s">
        <v>583</v>
      </c>
      <c r="R1" s="223" t="s">
        <v>800</v>
      </c>
      <c r="S1" s="223" t="s">
        <v>91</v>
      </c>
      <c r="T1" s="222" t="s">
        <v>87</v>
      </c>
      <c r="U1" s="222" t="s">
        <v>69</v>
      </c>
      <c r="V1" s="223" t="s">
        <v>89</v>
      </c>
      <c r="W1" s="223" t="s">
        <v>95</v>
      </c>
      <c r="X1" s="223" t="s">
        <v>97</v>
      </c>
      <c r="Y1" s="223" t="s">
        <v>101</v>
      </c>
      <c r="Z1" s="223" t="s">
        <v>801</v>
      </c>
      <c r="AA1" s="223" t="s">
        <v>103</v>
      </c>
      <c r="AB1" s="222" t="s">
        <v>95</v>
      </c>
    </row>
    <row r="2">
      <c r="A2" s="169"/>
      <c r="B2" s="169"/>
      <c r="C2" s="169"/>
      <c r="D2" s="169"/>
      <c r="E2" s="212"/>
      <c r="F2" s="212"/>
      <c r="G2" s="252" t="s">
        <v>802</v>
      </c>
      <c r="H2" s="226" t="s">
        <v>803</v>
      </c>
      <c r="I2" s="226" t="s">
        <v>60</v>
      </c>
      <c r="J2" s="226" t="s">
        <v>62</v>
      </c>
      <c r="K2" s="226" t="s">
        <v>57</v>
      </c>
      <c r="L2" s="226" t="s">
        <v>804</v>
      </c>
      <c r="M2" s="226" t="s">
        <v>653</v>
      </c>
      <c r="N2" s="226" t="s">
        <v>93</v>
      </c>
      <c r="O2" s="226" t="s">
        <v>72</v>
      </c>
      <c r="P2" s="226" t="s">
        <v>52</v>
      </c>
      <c r="Q2" s="226" t="s">
        <v>583</v>
      </c>
      <c r="R2" s="226" t="s">
        <v>800</v>
      </c>
      <c r="S2" s="226" t="s">
        <v>91</v>
      </c>
      <c r="T2" s="226" t="s">
        <v>805</v>
      </c>
      <c r="U2" s="226" t="s">
        <v>806</v>
      </c>
      <c r="V2" s="226" t="s">
        <v>89</v>
      </c>
      <c r="W2" s="226" t="s">
        <v>95</v>
      </c>
      <c r="X2" s="226" t="s">
        <v>97</v>
      </c>
      <c r="Y2" s="226" t="s">
        <v>101</v>
      </c>
      <c r="Z2" s="226" t="s">
        <v>801</v>
      </c>
      <c r="AA2" s="226" t="s">
        <v>103</v>
      </c>
      <c r="AB2" s="227" t="s">
        <v>807</v>
      </c>
    </row>
    <row r="3">
      <c r="A3" s="253"/>
      <c r="B3" s="253"/>
      <c r="C3" s="253"/>
      <c r="D3" s="253"/>
      <c r="E3" s="254" t="s">
        <v>811</v>
      </c>
      <c r="F3" s="255"/>
      <c r="G3" s="256" t="str">
        <f t="array" ref="G3">INDEX(Overview!$H:$H,MATCH(G$1,Overview!$A:$A,0))</f>
        <v/>
      </c>
      <c r="H3" s="257" t="str">
        <f t="array" ref="H3">INDEX(Overview!$H:$H,MATCH(H$1,Overview!$A:$A,0))</f>
        <v/>
      </c>
      <c r="I3" s="257" t="str">
        <f t="array" ref="I3">INDEX(Overview!$H:$H,MATCH(I$1,Overview!$A:$A,0))</f>
        <v/>
      </c>
      <c r="J3" s="257" t="str">
        <f t="array" ref="J3">INDEX(Overview!$H:$H,MATCH(J$1,Overview!$A:$A,0))</f>
        <v/>
      </c>
      <c r="K3" s="257" t="str">
        <f t="array" ref="K3">INDEX(Overview!$H:$H,MATCH(K$1,Overview!$A:$A,0))</f>
        <v/>
      </c>
      <c r="L3" s="257" t="str">
        <f t="array" ref="L3">INDEX(Overview!$H:$H,MATCH(L$1,Overview!$A:$A,0))</f>
        <v/>
      </c>
      <c r="M3" s="257" t="str">
        <f t="array" ref="M3">INDEX(Overview!$H:$H,MATCH(M$1,Overview!$A:$A,0))</f>
        <v>#N/A</v>
      </c>
      <c r="N3" s="257" t="str">
        <f t="array" ref="N3">INDEX(Overview!$H:$H,MATCH(N$1,Overview!$A:$A,0))</f>
        <v/>
      </c>
      <c r="O3" s="257" t="str">
        <f t="array" ref="O3">INDEX(Overview!$H:$H,MATCH(O$1,Overview!$A:$A,0))</f>
        <v/>
      </c>
      <c r="P3" s="257" t="str">
        <f t="array" ref="P3">INDEX(Overview!$H:$H,MATCH(P$1,Overview!$A:$A,0))</f>
        <v>#N/A</v>
      </c>
      <c r="Q3" s="257" t="str">
        <f t="array" ref="Q3">INDEX(Overview!$H:$H,MATCH(Q$1,Overview!$A:$A,0))</f>
        <v>#N/A</v>
      </c>
      <c r="R3" s="257" t="str">
        <f t="array" ref="R3">INDEX(Overview!$H:$H,MATCH(R$1,Overview!$A:$A,0))</f>
        <v>#N/A</v>
      </c>
      <c r="S3" s="257" t="str">
        <f t="array" ref="S3">INDEX(Overview!$H:$H,MATCH(S$1,Overview!$A:$A,0))</f>
        <v/>
      </c>
      <c r="T3" s="257" t="str">
        <f t="array" ref="T3">INDEX(Overview!$H:$H,MATCH(T$1,Overview!$A:$A,0))</f>
        <v/>
      </c>
      <c r="U3" s="257" t="str">
        <f t="array" ref="U3">INDEX(Overview!$H:$H,MATCH(U$1,Overview!$A:$A,0))</f>
        <v/>
      </c>
      <c r="V3" s="257" t="str">
        <f t="array" ref="V3">INDEX(Overview!$H:$H,MATCH(V$1,Overview!$A:$A,0))</f>
        <v/>
      </c>
      <c r="W3" s="257" t="str">
        <f t="array" ref="W3">INDEX(Overview!$H:$H,MATCH(W$1,Overview!$A:$A,0))</f>
        <v/>
      </c>
      <c r="X3" s="257" t="str">
        <f t="array" ref="X3">INDEX(Overview!$H:$H,MATCH(X$1,Overview!$A:$A,0))</f>
        <v/>
      </c>
      <c r="Y3" s="257" t="str">
        <f t="array" ref="Y3">INDEX(Overview!$H:$H,MATCH(Y$1,Overview!$A:$A,0))</f>
        <v/>
      </c>
      <c r="Z3" s="257" t="str">
        <f t="array" ref="Z3">INDEX(Overview!$H:$H,MATCH(Z$1,Overview!$A:$A,0))</f>
        <v>#N/A</v>
      </c>
      <c r="AA3" s="257" t="str">
        <f t="array" ref="AA3">INDEX(Overview!$H:$H,MATCH(AA$1,Overview!$A:$A,0))</f>
        <v/>
      </c>
      <c r="AB3" s="257" t="s">
        <v>135</v>
      </c>
    </row>
    <row r="4" hidden="1">
      <c r="A4" s="258"/>
      <c r="B4" s="258"/>
      <c r="C4" s="258"/>
      <c r="D4" s="258"/>
      <c r="E4" s="258"/>
      <c r="F4" s="259"/>
      <c r="G4" s="260" t="s">
        <v>812</v>
      </c>
      <c r="H4" s="260" t="s">
        <v>813</v>
      </c>
      <c r="I4" s="260" t="s">
        <v>814</v>
      </c>
      <c r="J4" s="260" t="s">
        <v>815</v>
      </c>
      <c r="K4" s="260" t="s">
        <v>816</v>
      </c>
      <c r="L4" s="260" t="s">
        <v>817</v>
      </c>
      <c r="M4" s="260" t="s">
        <v>818</v>
      </c>
      <c r="N4" s="260" t="s">
        <v>819</v>
      </c>
      <c r="O4" s="260" t="s">
        <v>820</v>
      </c>
      <c r="P4" s="260" t="s">
        <v>821</v>
      </c>
      <c r="Q4" s="260" t="s">
        <v>822</v>
      </c>
      <c r="R4" s="260" t="s">
        <v>823</v>
      </c>
      <c r="S4" s="260" t="s">
        <v>824</v>
      </c>
      <c r="T4" s="260" t="s">
        <v>825</v>
      </c>
      <c r="U4" s="261" t="s">
        <v>826</v>
      </c>
      <c r="V4" s="260" t="s">
        <v>827</v>
      </c>
      <c r="W4" s="260" t="s">
        <v>828</v>
      </c>
      <c r="X4" s="260" t="s">
        <v>829</v>
      </c>
      <c r="Y4" s="260" t="s">
        <v>830</v>
      </c>
      <c r="Z4" s="260" t="s">
        <v>831</v>
      </c>
      <c r="AA4" s="260" t="s">
        <v>832</v>
      </c>
      <c r="AB4" s="262" t="s">
        <v>833</v>
      </c>
    </row>
    <row r="5">
      <c r="A5" s="263" t="s">
        <v>866</v>
      </c>
      <c r="B5" s="264"/>
      <c r="C5" s="264"/>
      <c r="D5" s="265"/>
      <c r="E5" s="266" t="s">
        <v>867</v>
      </c>
      <c r="F5" s="267"/>
      <c r="G5" s="268">
        <v>6.0</v>
      </c>
      <c r="H5" s="269">
        <v>10.0</v>
      </c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</row>
    <row r="6">
      <c r="B6" s="271">
        <v>1.0</v>
      </c>
      <c r="C6" s="271" t="s">
        <v>868</v>
      </c>
      <c r="D6" s="271" t="s">
        <v>869</v>
      </c>
      <c r="E6" s="271" t="s">
        <v>870</v>
      </c>
      <c r="F6" s="272" t="s">
        <v>871</v>
      </c>
      <c r="G6" s="273" t="str">
        <f>IFERROR(__xludf.DUMMYFUNCTION("IMPORTRANGE(G$4,$C6)"),"#REF!")</f>
        <v>#REF!</v>
      </c>
      <c r="H6" s="274" t="str">
        <f>IFERROR(__xludf.DUMMYFUNCTION("IMPORTRANGE(H$4,$C6)"),"#REF!")</f>
        <v>#REF!</v>
      </c>
      <c r="I6" s="275">
        <f>IFERROR(__xludf.DUMMYFUNCTION("IMPORTRANGE(I$4,$C6)"),20.0)</f>
        <v>20</v>
      </c>
      <c r="J6" s="274" t="str">
        <f>IFERROR(__xludf.DUMMYFUNCTION("IMPORTRANGE(J$4,$C6)"),"#REF!")</f>
        <v>#REF!</v>
      </c>
      <c r="K6" s="274" t="str">
        <f>IFERROR(__xludf.DUMMYFUNCTION("IMPORTRANGE(K$4,$C6)"),"#REF!")</f>
        <v>#REF!</v>
      </c>
      <c r="L6" s="274" t="str">
        <f>IFERROR(__xludf.DUMMYFUNCTION("IMPORTRANGE(L$4,$C6)"),"#REF!")</f>
        <v>#REF!</v>
      </c>
      <c r="M6" s="274" t="str">
        <f>IFERROR(__xludf.DUMMYFUNCTION("IMPORTRANGE(M$4,$C6)"),"#REF!")</f>
        <v>#REF!</v>
      </c>
      <c r="N6" s="274" t="str">
        <f>IFERROR(__xludf.DUMMYFUNCTION("IMPORTRANGE(N$4,$C6)"),"#REF!")</f>
        <v>#REF!</v>
      </c>
      <c r="O6" s="275">
        <f>IFERROR(__xludf.DUMMYFUNCTION("IMPORTRANGE(O$4,$C6)"),20.0)</f>
        <v>20</v>
      </c>
      <c r="P6" s="274" t="str">
        <f>IFERROR(__xludf.DUMMYFUNCTION("IMPORTRANGE(P$4,$C6)"),"#REF!")</f>
        <v>#REF!</v>
      </c>
      <c r="Q6" s="274" t="str">
        <f>IFERROR(__xludf.DUMMYFUNCTION("IMPORTRANGE(Q$4,$C6)"),"#REF!")</f>
        <v>#REF!</v>
      </c>
      <c r="R6" s="275">
        <f>IFERROR(__xludf.DUMMYFUNCTION("IMPORTRANGE(R$4,$C6)"),20.0)</f>
        <v>20</v>
      </c>
      <c r="S6" s="274" t="str">
        <f>IFERROR(__xludf.DUMMYFUNCTION("IMPORTRANGE(S$4,$C6)"),"#REF!")</f>
        <v>#REF!</v>
      </c>
      <c r="T6" s="274" t="str">
        <f>IFERROR(__xludf.DUMMYFUNCTION("IMPORTRANGE(T$4,$C6)"),"#REF!")</f>
        <v>#REF!</v>
      </c>
      <c r="U6" s="274" t="str">
        <f>IFERROR(__xludf.DUMMYFUNCTION("IMPORTRANGE(U$4,$C6)"),"#REF!")</f>
        <v>#REF!</v>
      </c>
      <c r="V6" s="274" t="str">
        <f>IFERROR(__xludf.DUMMYFUNCTION("IMPORTRANGE(V$4,$C6)"),"#REF!")</f>
        <v>#REF!</v>
      </c>
      <c r="W6" s="275">
        <f>IFERROR(__xludf.DUMMYFUNCTION("IMPORTRANGE(W$4,$C6)"),20.0)</f>
        <v>20</v>
      </c>
      <c r="X6" s="274" t="str">
        <f>IFERROR(__xludf.DUMMYFUNCTION("IMPORTRANGE(X$4,$C6)"),"#REF!")</f>
        <v>#REF!</v>
      </c>
      <c r="Y6" s="275">
        <f>IFERROR(__xludf.DUMMYFUNCTION("IMPORTRANGE(Y$4,$C6)"),20.0)</f>
        <v>20</v>
      </c>
      <c r="Z6" s="274" t="str">
        <f>IFERROR(__xludf.DUMMYFUNCTION("IMPORTRANGE(Z$4,$C6)"),"#REF!")</f>
        <v>#REF!</v>
      </c>
      <c r="AA6" s="275">
        <f>IFERROR(__xludf.DUMMYFUNCTION("IMPORTRANGE(AA$4,$C6)"),20.0)</f>
        <v>20</v>
      </c>
      <c r="AB6" s="275">
        <f>IFERROR(__xludf.DUMMYFUNCTION("IMPORTRANGE(AB$4,$C6)"),20.0)</f>
        <v>20</v>
      </c>
    </row>
    <row r="7">
      <c r="B7" s="276">
        <v>2.0</v>
      </c>
      <c r="C7" s="276" t="s">
        <v>872</v>
      </c>
      <c r="D7" s="276" t="s">
        <v>873</v>
      </c>
      <c r="E7" s="276" t="s">
        <v>870</v>
      </c>
      <c r="F7" s="277" t="s">
        <v>874</v>
      </c>
      <c r="G7" s="278" t="str">
        <f>IFERROR(__xludf.DUMMYFUNCTION("IMPORTRANGE(G$4,$C7)"),"#REF!")</f>
        <v>#REF!</v>
      </c>
      <c r="H7" s="279" t="str">
        <f>IFERROR(__xludf.DUMMYFUNCTION("IMPORTRANGE(H$4,$C7)"),"#REF!")</f>
        <v>#REF!</v>
      </c>
      <c r="I7" s="280">
        <f>IFERROR(__xludf.DUMMYFUNCTION("IMPORTRANGE(I$4,$C7)"),60.0)</f>
        <v>60</v>
      </c>
      <c r="J7" s="279" t="str">
        <f>IFERROR(__xludf.DUMMYFUNCTION("IMPORTRANGE(J$4,$C7)"),"#REF!")</f>
        <v>#REF!</v>
      </c>
      <c r="K7" s="279" t="str">
        <f>IFERROR(__xludf.DUMMYFUNCTION("IMPORTRANGE(K$4,$C7)"),"#REF!")</f>
        <v>#REF!</v>
      </c>
      <c r="L7" s="279" t="str">
        <f>IFERROR(__xludf.DUMMYFUNCTION("IMPORTRANGE(L$4,$C7)"),"#REF!")</f>
        <v>#REF!</v>
      </c>
      <c r="M7" s="279" t="str">
        <f>IFERROR(__xludf.DUMMYFUNCTION("IMPORTRANGE(M$4,$C7)"),"#REF!")</f>
        <v>#REF!</v>
      </c>
      <c r="N7" s="279" t="str">
        <f>IFERROR(__xludf.DUMMYFUNCTION("IMPORTRANGE(N$4,$C7)"),"#REF!")</f>
        <v>#REF!</v>
      </c>
      <c r="O7" s="280">
        <f>IFERROR(__xludf.DUMMYFUNCTION("IMPORTRANGE(O$4,$C7)"),50.0)</f>
        <v>50</v>
      </c>
      <c r="P7" s="279" t="str">
        <f>IFERROR(__xludf.DUMMYFUNCTION("IMPORTRANGE(P$4,$C7)"),"#REF!")</f>
        <v>#REF!</v>
      </c>
      <c r="Q7" s="279" t="str">
        <f>IFERROR(__xludf.DUMMYFUNCTION("IMPORTRANGE(Q$4,$C7)"),"#REF!")</f>
        <v>#REF!</v>
      </c>
      <c r="R7" s="280">
        <f>IFERROR(__xludf.DUMMYFUNCTION("IMPORTRANGE(R$4,$C7)"),60.0)</f>
        <v>60</v>
      </c>
      <c r="S7" s="279" t="str">
        <f>IFERROR(__xludf.DUMMYFUNCTION("IMPORTRANGE(S$4,$C7)"),"#REF!")</f>
        <v>#REF!</v>
      </c>
      <c r="T7" s="279" t="str">
        <f>IFERROR(__xludf.DUMMYFUNCTION("IMPORTRANGE(T$4,$C7)"),"#REF!")</f>
        <v>#REF!</v>
      </c>
      <c r="U7" s="279" t="str">
        <f>IFERROR(__xludf.DUMMYFUNCTION("IMPORTRANGE(U$4,$C7)"),"#REF!")</f>
        <v>#REF!</v>
      </c>
      <c r="V7" s="279" t="str">
        <f>IFERROR(__xludf.DUMMYFUNCTION("IMPORTRANGE(V$4,$C7)"),"#REF!")</f>
        <v>#REF!</v>
      </c>
      <c r="W7" s="280">
        <f>IFERROR(__xludf.DUMMYFUNCTION("IMPORTRANGE(W$4,$C7)"),70.0)</f>
        <v>70</v>
      </c>
      <c r="X7" s="279" t="str">
        <f>IFERROR(__xludf.DUMMYFUNCTION("IMPORTRANGE(X$4,$C7)"),"#REF!")</f>
        <v>#REF!</v>
      </c>
      <c r="Y7" s="280">
        <f>IFERROR(__xludf.DUMMYFUNCTION("IMPORTRANGE(Y$4,$C7)"),70.0)</f>
        <v>70</v>
      </c>
      <c r="Z7" s="279" t="str">
        <f>IFERROR(__xludf.DUMMYFUNCTION("IMPORTRANGE(Z$4,$C7)"),"#REF!")</f>
        <v>#REF!</v>
      </c>
      <c r="AA7" s="280">
        <f>IFERROR(__xludf.DUMMYFUNCTION("IMPORTRANGE(AA$4,$C7)"),50.0)</f>
        <v>50</v>
      </c>
      <c r="AB7" s="280">
        <f>IFERROR(__xludf.DUMMYFUNCTION("IMPORTRANGE(AB$4,$C7)"),60.0)</f>
        <v>60</v>
      </c>
    </row>
    <row r="8">
      <c r="B8" s="271">
        <v>3.0</v>
      </c>
      <c r="C8" s="271" t="s">
        <v>875</v>
      </c>
      <c r="D8" s="271" t="s">
        <v>876</v>
      </c>
      <c r="E8" s="271" t="s">
        <v>870</v>
      </c>
      <c r="F8" s="272" t="s">
        <v>877</v>
      </c>
      <c r="G8" s="273" t="str">
        <f>IFERROR(__xludf.DUMMYFUNCTION("IMPORTRANGE(G$4,$C8)"),"#REF!")</f>
        <v>#REF!</v>
      </c>
      <c r="H8" s="274" t="str">
        <f>IFERROR(__xludf.DUMMYFUNCTION("IMPORTRANGE(H$4,$C8)"),"#REF!")</f>
        <v>#REF!</v>
      </c>
      <c r="I8" s="275">
        <f>IFERROR(__xludf.DUMMYFUNCTION("IMPORTRANGE(I$4,$C8)"),70.0)</f>
        <v>70</v>
      </c>
      <c r="J8" s="274" t="str">
        <f>IFERROR(__xludf.DUMMYFUNCTION("IMPORTRANGE(J$4,$C8)"),"#REF!")</f>
        <v>#REF!</v>
      </c>
      <c r="K8" s="274" t="str">
        <f>IFERROR(__xludf.DUMMYFUNCTION("IMPORTRANGE(K$4,$C8)"),"#REF!")</f>
        <v>#REF!</v>
      </c>
      <c r="L8" s="274" t="str">
        <f>IFERROR(__xludf.DUMMYFUNCTION("IMPORTRANGE(L$4,$C8)"),"#REF!")</f>
        <v>#REF!</v>
      </c>
      <c r="M8" s="274" t="str">
        <f>IFERROR(__xludf.DUMMYFUNCTION("IMPORTRANGE(M$4,$C8)"),"#REF!")</f>
        <v>#REF!</v>
      </c>
      <c r="N8" s="274" t="str">
        <f>IFERROR(__xludf.DUMMYFUNCTION("IMPORTRANGE(N$4,$C8)"),"#REF!")</f>
        <v>#REF!</v>
      </c>
      <c r="O8" s="275">
        <f>IFERROR(__xludf.DUMMYFUNCTION("IMPORTRANGE(O$4,$C8)"),60.0)</f>
        <v>60</v>
      </c>
      <c r="P8" s="274" t="str">
        <f>IFERROR(__xludf.DUMMYFUNCTION("IMPORTRANGE(P$4,$C8)"),"#REF!")</f>
        <v>#REF!</v>
      </c>
      <c r="Q8" s="274" t="str">
        <f>IFERROR(__xludf.DUMMYFUNCTION("IMPORTRANGE(Q$4,$C8)"),"#REF!")</f>
        <v>#REF!</v>
      </c>
      <c r="R8" s="275">
        <f>IFERROR(__xludf.DUMMYFUNCTION("IMPORTRANGE(R$4,$C8)"),80.0)</f>
        <v>80</v>
      </c>
      <c r="S8" s="274" t="str">
        <f>IFERROR(__xludf.DUMMYFUNCTION("IMPORTRANGE(S$4,$C8)"),"#REF!")</f>
        <v>#REF!</v>
      </c>
      <c r="T8" s="274" t="str">
        <f>IFERROR(__xludf.DUMMYFUNCTION("IMPORTRANGE(T$4,$C8)"),"#REF!")</f>
        <v>#REF!</v>
      </c>
      <c r="U8" s="274" t="str">
        <f>IFERROR(__xludf.DUMMYFUNCTION("IMPORTRANGE(U$4,$C8)"),"#REF!")</f>
        <v>#REF!</v>
      </c>
      <c r="V8" s="274" t="str">
        <f>IFERROR(__xludf.DUMMYFUNCTION("IMPORTRANGE(V$4,$C8)"),"#REF!")</f>
        <v>#REF!</v>
      </c>
      <c r="W8" s="275">
        <f>IFERROR(__xludf.DUMMYFUNCTION("IMPORTRANGE(W$4,$C8)"),90.0)</f>
        <v>90</v>
      </c>
      <c r="X8" s="274" t="str">
        <f>IFERROR(__xludf.DUMMYFUNCTION("IMPORTRANGE(X$4,$C8)"),"#REF!")</f>
        <v>#REF!</v>
      </c>
      <c r="Y8" s="275">
        <f>IFERROR(__xludf.DUMMYFUNCTION("IMPORTRANGE(Y$4,$C8)"),95.0)</f>
        <v>95</v>
      </c>
      <c r="Z8" s="274" t="str">
        <f>IFERROR(__xludf.DUMMYFUNCTION("IMPORTRANGE(Z$4,$C8)"),"#REF!")</f>
        <v>#REF!</v>
      </c>
      <c r="AA8" s="275">
        <f>IFERROR(__xludf.DUMMYFUNCTION("IMPORTRANGE(AA$4,$C8)"),60.0)</f>
        <v>60</v>
      </c>
      <c r="AB8" s="275">
        <f>IFERROR(__xludf.DUMMYFUNCTION("IMPORTRANGE(AB$4,$C8)"),80.0)</f>
        <v>80</v>
      </c>
    </row>
    <row r="9">
      <c r="B9" s="276">
        <v>4.0</v>
      </c>
      <c r="C9" s="276" t="s">
        <v>878</v>
      </c>
      <c r="D9" s="276" t="s">
        <v>879</v>
      </c>
      <c r="E9" s="276" t="s">
        <v>870</v>
      </c>
      <c r="F9" s="277" t="s">
        <v>880</v>
      </c>
      <c r="G9" s="278" t="str">
        <f>IFERROR(__xludf.DUMMYFUNCTION("IMPORTRANGE(G$4,$C9)"),"#REF!")</f>
        <v>#REF!</v>
      </c>
      <c r="H9" s="279" t="str">
        <f>IFERROR(__xludf.DUMMYFUNCTION("IMPORTRANGE(H$4,$C9)"),"#REF!")</f>
        <v>#REF!</v>
      </c>
      <c r="I9" s="280">
        <f>IFERROR(__xludf.DUMMYFUNCTION("IMPORTRANGE(I$4,$C9)"),80.0)</f>
        <v>80</v>
      </c>
      <c r="J9" s="279" t="str">
        <f>IFERROR(__xludf.DUMMYFUNCTION("IMPORTRANGE(J$4,$C9)"),"#REF!")</f>
        <v>#REF!</v>
      </c>
      <c r="K9" s="279" t="str">
        <f>IFERROR(__xludf.DUMMYFUNCTION("IMPORTRANGE(K$4,$C9)"),"#REF!")</f>
        <v>#REF!</v>
      </c>
      <c r="L9" s="279" t="str">
        <f>IFERROR(__xludf.DUMMYFUNCTION("IMPORTRANGE(L$4,$C9)"),"#REF!")</f>
        <v>#REF!</v>
      </c>
      <c r="M9" s="279" t="str">
        <f>IFERROR(__xludf.DUMMYFUNCTION("IMPORTRANGE(M$4,$C9)"),"#REF!")</f>
        <v>#REF!</v>
      </c>
      <c r="N9" s="279" t="str">
        <f>IFERROR(__xludf.DUMMYFUNCTION("IMPORTRANGE(N$4,$C9)"),"#REF!")</f>
        <v>#REF!</v>
      </c>
      <c r="O9" s="280">
        <f>IFERROR(__xludf.DUMMYFUNCTION("IMPORTRANGE(O$4,$C9)"),70.0)</f>
        <v>70</v>
      </c>
      <c r="P9" s="279" t="str">
        <f>IFERROR(__xludf.DUMMYFUNCTION("IMPORTRANGE(P$4,$C9)"),"#REF!")</f>
        <v>#REF!</v>
      </c>
      <c r="Q9" s="279" t="str">
        <f>IFERROR(__xludf.DUMMYFUNCTION("IMPORTRANGE(Q$4,$C9)"),"#REF!")</f>
        <v>#REF!</v>
      </c>
      <c r="R9" s="280">
        <f>IFERROR(__xludf.DUMMYFUNCTION("IMPORTRANGE(R$4,$C9)"),100.0)</f>
        <v>100</v>
      </c>
      <c r="S9" s="279" t="str">
        <f>IFERROR(__xludf.DUMMYFUNCTION("IMPORTRANGE(S$4,$C9)"),"#REF!")</f>
        <v>#REF!</v>
      </c>
      <c r="T9" s="279" t="str">
        <f>IFERROR(__xludf.DUMMYFUNCTION("IMPORTRANGE(T$4,$C9)"),"#REF!")</f>
        <v>#REF!</v>
      </c>
      <c r="U9" s="279" t="str">
        <f>IFERROR(__xludf.DUMMYFUNCTION("IMPORTRANGE(U$4,$C9)"),"#REF!")</f>
        <v>#REF!</v>
      </c>
      <c r="V9" s="279" t="str">
        <f>IFERROR(__xludf.DUMMYFUNCTION("IMPORTRANGE(V$4,$C9)"),"#REF!")</f>
        <v>#REF!</v>
      </c>
      <c r="W9" s="280">
        <f>IFERROR(__xludf.DUMMYFUNCTION("IMPORTRANGE(W$4,$C9)"),100.0)</f>
        <v>100</v>
      </c>
      <c r="X9" s="279" t="str">
        <f>IFERROR(__xludf.DUMMYFUNCTION("IMPORTRANGE(X$4,$C9)"),"#REF!")</f>
        <v>#REF!</v>
      </c>
      <c r="Y9" s="280">
        <f>IFERROR(__xludf.DUMMYFUNCTION("IMPORTRANGE(Y$4,$C9)"),110.0)</f>
        <v>110</v>
      </c>
      <c r="Z9" s="279" t="str">
        <f>IFERROR(__xludf.DUMMYFUNCTION("IMPORTRANGE(Z$4,$C9)"),"#REF!")</f>
        <v>#REF!</v>
      </c>
      <c r="AA9" s="280">
        <f>IFERROR(__xludf.DUMMYFUNCTION("IMPORTRANGE(AA$4,$C9)"),70.0)</f>
        <v>70</v>
      </c>
      <c r="AB9" s="280">
        <f>IFERROR(__xludf.DUMMYFUNCTION("IMPORTRANGE(AB$4,$C9)"),90.0)</f>
        <v>90</v>
      </c>
    </row>
    <row r="10">
      <c r="B10" s="271">
        <v>5.0</v>
      </c>
      <c r="C10" s="271" t="s">
        <v>881</v>
      </c>
      <c r="D10" s="271" t="s">
        <v>882</v>
      </c>
      <c r="E10" s="281" t="s">
        <v>883</v>
      </c>
      <c r="F10" s="272" t="s">
        <v>884</v>
      </c>
      <c r="G10" s="273" t="str">
        <f>IFERROR(__xludf.DUMMYFUNCTION("IMPORTRANGE(G$4,$C10)"),"#REF!")</f>
        <v>#REF!</v>
      </c>
      <c r="H10" s="274" t="str">
        <f>IFERROR(__xludf.DUMMYFUNCTION("IMPORTRANGE(H$4,$C10)"),"#REF!")</f>
        <v>#REF!</v>
      </c>
      <c r="I10" s="275">
        <f>IFERROR(__xludf.DUMMYFUNCTION("IMPORTRANGE(I$4,$C10)"),120.0)</f>
        <v>120</v>
      </c>
      <c r="J10" s="274" t="str">
        <f>IFERROR(__xludf.DUMMYFUNCTION("IMPORTRANGE(J$4,$C10)"),"#REF!")</f>
        <v>#REF!</v>
      </c>
      <c r="K10" s="274" t="str">
        <f>IFERROR(__xludf.DUMMYFUNCTION("IMPORTRANGE(K$4,$C10)"),"#REF!")</f>
        <v>#REF!</v>
      </c>
      <c r="L10" s="274" t="str">
        <f>IFERROR(__xludf.DUMMYFUNCTION("IMPORTRANGE(L$4,$C10)"),"#REF!")</f>
        <v>#REF!</v>
      </c>
      <c r="M10" s="274" t="str">
        <f>IFERROR(__xludf.DUMMYFUNCTION("IMPORTRANGE(M$4,$C10)"),"#REF!")</f>
        <v>#REF!</v>
      </c>
      <c r="N10" s="274" t="str">
        <f>IFERROR(__xludf.DUMMYFUNCTION("IMPORTRANGE(N$4,$C10)"),"#REF!")</f>
        <v>#REF!</v>
      </c>
      <c r="O10" s="274" t="str">
        <f>IFERROR(__xludf.DUMMYFUNCTION("IMPORTRANGE(O$4,$C10)"),"")</f>
        <v/>
      </c>
      <c r="P10" s="274" t="str">
        <f>IFERROR(__xludf.DUMMYFUNCTION("IMPORTRANGE(P$4,$C10)"),"#REF!")</f>
        <v>#REF!</v>
      </c>
      <c r="Q10" s="274" t="str">
        <f>IFERROR(__xludf.DUMMYFUNCTION("IMPORTRANGE(Q$4,$C10)"),"#REF!")</f>
        <v>#REF!</v>
      </c>
      <c r="R10" s="274" t="str">
        <f>IFERROR(__xludf.DUMMYFUNCTION("IMPORTRANGE(R$4,$C10)"),"")</f>
        <v/>
      </c>
      <c r="S10" s="274" t="str">
        <f>IFERROR(__xludf.DUMMYFUNCTION("IMPORTRANGE(S$4,$C10)"),"#REF!")</f>
        <v>#REF!</v>
      </c>
      <c r="T10" s="274" t="str">
        <f>IFERROR(__xludf.DUMMYFUNCTION("IMPORTRANGE(T$4,$C10)"),"#REF!")</f>
        <v>#REF!</v>
      </c>
      <c r="U10" s="274" t="str">
        <f>IFERROR(__xludf.DUMMYFUNCTION("IMPORTRANGE(U$4,$C10)"),"#REF!")</f>
        <v>#REF!</v>
      </c>
      <c r="V10" s="274" t="str">
        <f>IFERROR(__xludf.DUMMYFUNCTION("IMPORTRANGE(V$4,$C10)"),"#REF!")</f>
        <v>#REF!</v>
      </c>
      <c r="W10" s="275">
        <f>IFERROR(__xludf.DUMMYFUNCTION("IMPORTRANGE(W$4,$C10)"),107.5)</f>
        <v>107.5</v>
      </c>
      <c r="X10" s="274" t="str">
        <f>IFERROR(__xludf.DUMMYFUNCTION("IMPORTRANGE(X$4,$C10)"),"#REF!")</f>
        <v>#REF!</v>
      </c>
      <c r="Y10" s="282">
        <f>IFERROR(__xludf.DUMMYFUNCTION("IMPORTRANGE(Y$4,$C10)"),150.0)</f>
        <v>150</v>
      </c>
      <c r="Z10" s="274" t="str">
        <f>IFERROR(__xludf.DUMMYFUNCTION("IMPORTRANGE(Z$4,$C10)"),"#REF!")</f>
        <v>#REF!</v>
      </c>
      <c r="AA10" s="283" t="str">
        <f>IFERROR(__xludf.DUMMYFUNCTION("IMPORTRANGE(AA$4,$C10)"),"")</f>
        <v/>
      </c>
      <c r="AB10" s="282">
        <f>IFERROR(__xludf.DUMMYFUNCTION("IMPORTRANGE(AB$4,$C10)"),132.5)</f>
        <v>132.5</v>
      </c>
    </row>
    <row r="11">
      <c r="B11" s="276">
        <v>6.0</v>
      </c>
      <c r="C11" s="276" t="s">
        <v>885</v>
      </c>
      <c r="D11" s="276" t="s">
        <v>886</v>
      </c>
      <c r="E11" s="276" t="s">
        <v>887</v>
      </c>
      <c r="F11" s="277" t="s">
        <v>884</v>
      </c>
      <c r="G11" s="278" t="str">
        <f>IFERROR(__xludf.DUMMYFUNCTION("IMPORTRANGE(G$4,$C11)"),"#REF!")</f>
        <v>#REF!</v>
      </c>
      <c r="H11" s="279" t="str">
        <f>IFERROR(__xludf.DUMMYFUNCTION("IMPORTRANGE(H$4,$C11)"),"#REF!")</f>
        <v>#REF!</v>
      </c>
      <c r="I11" s="280">
        <f>IFERROR(__xludf.DUMMYFUNCTION("IMPORTRANGE(I$4,$C11)"),127.5)</f>
        <v>127.5</v>
      </c>
      <c r="J11" s="279" t="str">
        <f>IFERROR(__xludf.DUMMYFUNCTION("IMPORTRANGE(J$4,$C11)"),"#REF!")</f>
        <v>#REF!</v>
      </c>
      <c r="K11" s="279" t="str">
        <f>IFERROR(__xludf.DUMMYFUNCTION("IMPORTRANGE(K$4,$C11)"),"#REF!")</f>
        <v>#REF!</v>
      </c>
      <c r="L11" s="279" t="str">
        <f>IFERROR(__xludf.DUMMYFUNCTION("IMPORTRANGE(L$4,$C11)"),"#REF!")</f>
        <v>#REF!</v>
      </c>
      <c r="M11" s="279" t="str">
        <f>IFERROR(__xludf.DUMMYFUNCTION("IMPORTRANGE(M$4,$C11)"),"#REF!")</f>
        <v>#REF!</v>
      </c>
      <c r="N11" s="279" t="str">
        <f>IFERROR(__xludf.DUMMYFUNCTION("IMPORTRANGE(N$4,$C11)"),"#REF!")</f>
        <v>#REF!</v>
      </c>
      <c r="O11" s="280">
        <f>IFERROR(__xludf.DUMMYFUNCTION("IMPORTRANGE(O$4,$C11)"),112.5)</f>
        <v>112.5</v>
      </c>
      <c r="P11" s="279" t="str">
        <f>IFERROR(__xludf.DUMMYFUNCTION("IMPORTRANGE(P$4,$C11)"),"#REF!")</f>
        <v>#REF!</v>
      </c>
      <c r="Q11" s="279" t="str">
        <f>IFERROR(__xludf.DUMMYFUNCTION("IMPORTRANGE(Q$4,$C11)"),"#REF!")</f>
        <v>#REF!</v>
      </c>
      <c r="R11" s="280">
        <f>IFERROR(__xludf.DUMMYFUNCTION("IMPORTRANGE(R$4,$C11)"),137.5)</f>
        <v>137.5</v>
      </c>
      <c r="S11" s="279" t="str">
        <f>IFERROR(__xludf.DUMMYFUNCTION("IMPORTRANGE(S$4,$C11)"),"#REF!")</f>
        <v>#REF!</v>
      </c>
      <c r="T11" s="279" t="str">
        <f>IFERROR(__xludf.DUMMYFUNCTION("IMPORTRANGE(T$4,$C11)"),"#REF!")</f>
        <v>#REF!</v>
      </c>
      <c r="U11" s="279" t="str">
        <f>IFERROR(__xludf.DUMMYFUNCTION("IMPORTRANGE(U$4,$C11)"),"#REF!")</f>
        <v>#REF!</v>
      </c>
      <c r="V11" s="279" t="str">
        <f>IFERROR(__xludf.DUMMYFUNCTION("IMPORTRANGE(V$4,$C11)"),"#REF!")</f>
        <v>#REF!</v>
      </c>
      <c r="W11" s="280">
        <f>IFERROR(__xludf.DUMMYFUNCTION("IMPORTRANGE(W$4,$C11)"),152.5)</f>
        <v>152.5</v>
      </c>
      <c r="X11" s="283" t="str">
        <f>IFERROR(__xludf.DUMMYFUNCTION("IMPORTRANGE(X$4,$C11)"),"#REF!")</f>
        <v>#REF!</v>
      </c>
      <c r="Y11" s="282">
        <f>IFERROR(__xludf.DUMMYFUNCTION("IMPORTRANGE(Y$4,$C11)"),160.0)</f>
        <v>160</v>
      </c>
      <c r="Z11" s="283" t="str">
        <f>IFERROR(__xludf.DUMMYFUNCTION("IMPORTRANGE(Z$4,$C11)"),"#REF!")</f>
        <v>#REF!</v>
      </c>
      <c r="AA11" s="282">
        <f>IFERROR(__xludf.DUMMYFUNCTION("IMPORTRANGE(AA$4,$C11)"),100.0)</f>
        <v>100</v>
      </c>
      <c r="AB11" s="282">
        <f>IFERROR(__xludf.DUMMYFUNCTION("IMPORTRANGE(AB$4,$C11)"),140.0)</f>
        <v>140</v>
      </c>
    </row>
    <row r="12">
      <c r="A12" s="284"/>
      <c r="B12" s="285"/>
      <c r="C12" s="285"/>
      <c r="D12" s="285"/>
      <c r="E12" s="285"/>
      <c r="F12" s="286" t="s">
        <v>888</v>
      </c>
      <c r="G12" s="287" t="str">
        <f>'Womens Meet Plans'!C10</f>
        <v>#REF!</v>
      </c>
      <c r="H12" s="288" t="str">
        <f>'Womens Meet Plans'!D10</f>
        <v>#REF!</v>
      </c>
      <c r="I12" s="288">
        <f>'Womens Meet Plans'!E10</f>
        <v>135</v>
      </c>
      <c r="J12" s="288" t="str">
        <f>'Womens Meet Plans'!F10</f>
        <v>#REF!</v>
      </c>
      <c r="K12" s="288" t="str">
        <f>'Womens Meet Plans'!G10</f>
        <v>#REF!</v>
      </c>
      <c r="L12" s="288" t="str">
        <f>'Womens Meet Plans'!H10</f>
        <v>#REF!</v>
      </c>
      <c r="M12" s="288" t="str">
        <f>'Womens Meet Plans'!I10</f>
        <v>#REF!</v>
      </c>
      <c r="N12" s="288" t="str">
        <f>'Womens Meet Plans'!J10</f>
        <v>#REF!</v>
      </c>
      <c r="O12" s="288">
        <f>'Womens Meet Plans'!K10</f>
        <v>120</v>
      </c>
      <c r="P12" s="288" t="str">
        <f>'Womens Meet Plans'!L10</f>
        <v>#REF!</v>
      </c>
      <c r="Q12" s="288" t="str">
        <f>'Womens Meet Plans'!M10</f>
        <v>#REF!</v>
      </c>
      <c r="R12" s="288">
        <f>'Womens Meet Plans'!N10</f>
        <v>145</v>
      </c>
      <c r="S12" s="288" t="str">
        <f>'Womens Meet Plans'!O10</f>
        <v>#REF!</v>
      </c>
      <c r="T12" s="288" t="str">
        <f>'Womens Meet Plans'!P10</f>
        <v>#REF!</v>
      </c>
      <c r="U12" s="288" t="str">
        <f>'Womens Meet Plans'!Q10</f>
        <v>#REF!</v>
      </c>
      <c r="V12" s="288" t="str">
        <f>'Womens Meet Plans'!R10</f>
        <v>#REF!</v>
      </c>
      <c r="W12" s="288">
        <f>'Womens Meet Plans'!S10</f>
        <v>162.5</v>
      </c>
      <c r="X12" s="288" t="str">
        <f>'Womens Meet Plans'!T10</f>
        <v>#REF!</v>
      </c>
      <c r="Y12" s="288">
        <f>'Womens Meet Plans'!U10</f>
        <v>170</v>
      </c>
      <c r="Z12" s="288" t="str">
        <f>'Womens Meet Plans'!V10</f>
        <v>#REF!</v>
      </c>
      <c r="AA12" s="288">
        <f>'Womens Meet Plans'!W10</f>
        <v>105</v>
      </c>
      <c r="AB12" s="288">
        <f>'Womens Meet Plans'!X10</f>
        <v>150</v>
      </c>
    </row>
    <row r="13">
      <c r="A13" s="289"/>
      <c r="B13" s="290"/>
      <c r="C13" s="290"/>
      <c r="D13" s="291"/>
      <c r="E13" s="290"/>
      <c r="F13" s="292"/>
      <c r="G13" s="291"/>
      <c r="H13" s="291"/>
      <c r="I13" s="291"/>
      <c r="J13" s="291"/>
      <c r="K13" s="291"/>
      <c r="L13" s="291"/>
      <c r="M13" s="291"/>
      <c r="N13" s="291"/>
      <c r="O13" s="291"/>
      <c r="P13" s="291"/>
      <c r="Q13" s="291"/>
      <c r="R13" s="291"/>
      <c r="S13" s="291"/>
      <c r="T13" s="291"/>
      <c r="U13" s="291"/>
      <c r="V13" s="291"/>
      <c r="W13" s="291"/>
      <c r="X13" s="291"/>
      <c r="Y13" s="291"/>
      <c r="Z13" s="291"/>
      <c r="AA13" s="291"/>
      <c r="AB13" s="293"/>
    </row>
    <row r="14">
      <c r="A14" s="263" t="s">
        <v>889</v>
      </c>
      <c r="B14" s="294"/>
      <c r="C14" s="294"/>
      <c r="D14" s="295"/>
      <c r="E14" s="296" t="s">
        <v>867</v>
      </c>
      <c r="F14" s="297"/>
      <c r="G14" s="298">
        <v>5.0</v>
      </c>
      <c r="H14" s="299">
        <v>8.0</v>
      </c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</row>
    <row r="15">
      <c r="B15" s="276">
        <v>1.0</v>
      </c>
      <c r="C15" s="276" t="s">
        <v>890</v>
      </c>
      <c r="D15" s="276" t="s">
        <v>869</v>
      </c>
      <c r="E15" s="276" t="s">
        <v>870</v>
      </c>
      <c r="F15" s="277" t="s">
        <v>871</v>
      </c>
      <c r="G15" s="301" t="str">
        <f>IFERROR(__xludf.DUMMYFUNCTION("IMPORTRANGE(G$4,$C15)"),"#REF!")</f>
        <v>#REF!</v>
      </c>
      <c r="H15" s="280" t="str">
        <f>IFERROR(__xludf.DUMMYFUNCTION("IMPORTRANGE(H$4,$C15)"),"#REF!")</f>
        <v>#REF!</v>
      </c>
      <c r="I15" s="280">
        <f>IFERROR(__xludf.DUMMYFUNCTION("IMPORTRANGE(I$4,$C15)"),20.0)</f>
        <v>20</v>
      </c>
      <c r="J15" s="280" t="str">
        <f>IFERROR(__xludf.DUMMYFUNCTION("IMPORTRANGE(J$4,$C15)"),"#REF!")</f>
        <v>#REF!</v>
      </c>
      <c r="K15" s="280" t="str">
        <f>IFERROR(__xludf.DUMMYFUNCTION("IMPORTRANGE(K$4,$C15)"),"#REF!")</f>
        <v>#REF!</v>
      </c>
      <c r="L15" s="280" t="str">
        <f>IFERROR(__xludf.DUMMYFUNCTION("IMPORTRANGE(L$4,$C15)"),"#REF!")</f>
        <v>#REF!</v>
      </c>
      <c r="M15" s="280" t="str">
        <f>IFERROR(__xludf.DUMMYFUNCTION("IMPORTRANGE(M$4,$C15)"),"#REF!")</f>
        <v>#REF!</v>
      </c>
      <c r="N15" s="280" t="str">
        <f>IFERROR(__xludf.DUMMYFUNCTION("IMPORTRANGE(N$4,$C15)"),"#REF!")</f>
        <v>#REF!</v>
      </c>
      <c r="O15" s="280">
        <f>IFERROR(__xludf.DUMMYFUNCTION("IMPORTRANGE(O$4,$C15)"),20.0)</f>
        <v>20</v>
      </c>
      <c r="P15" s="280" t="str">
        <f>IFERROR(__xludf.DUMMYFUNCTION("IMPORTRANGE(P$4,$C15)"),"#REF!")</f>
        <v>#REF!</v>
      </c>
      <c r="Q15" s="280" t="str">
        <f>IFERROR(__xludf.DUMMYFUNCTION("IMPORTRANGE(Q$4,$C15)"),"#REF!")</f>
        <v>#REF!</v>
      </c>
      <c r="R15" s="280">
        <f>IFERROR(__xludf.DUMMYFUNCTION("IMPORTRANGE(R$4,$C15)"),20.0)</f>
        <v>20</v>
      </c>
      <c r="S15" s="280" t="str">
        <f>IFERROR(__xludf.DUMMYFUNCTION("IMPORTRANGE(S$4,$C15)"),"#REF!")</f>
        <v>#REF!</v>
      </c>
      <c r="T15" s="280" t="str">
        <f>IFERROR(__xludf.DUMMYFUNCTION("IMPORTRANGE(T$4,$C15)"),"#REF!")</f>
        <v>#REF!</v>
      </c>
      <c r="U15" s="280" t="str">
        <f>IFERROR(__xludf.DUMMYFUNCTION("IMPORTRANGE(U$4,$C15)"),"#REF!")</f>
        <v>#REF!</v>
      </c>
      <c r="V15" s="280" t="str">
        <f>IFERROR(__xludf.DUMMYFUNCTION("IMPORTRANGE(V$4,$C15)"),"#REF!")</f>
        <v>#REF!</v>
      </c>
      <c r="W15" s="280">
        <f>IFERROR(__xludf.DUMMYFUNCTION("IMPORTRANGE(W$4,$C15)"),20.0)</f>
        <v>20</v>
      </c>
      <c r="X15" s="280" t="str">
        <f>IFERROR(__xludf.DUMMYFUNCTION("IMPORTRANGE(X$4,$C15)"),"#REF!")</f>
        <v>#REF!</v>
      </c>
      <c r="Y15" s="280">
        <f>IFERROR(__xludf.DUMMYFUNCTION("IMPORTRANGE(Y$4,$C15)"),20.0)</f>
        <v>20</v>
      </c>
      <c r="Z15" s="280" t="str">
        <f>IFERROR(__xludf.DUMMYFUNCTION("IMPORTRANGE(Z$4,$C15)"),"#REF!")</f>
        <v>#REF!</v>
      </c>
      <c r="AA15" s="280">
        <f>IFERROR(__xludf.DUMMYFUNCTION("IMPORTRANGE(AA$4,$C15)"),20.0)</f>
        <v>20</v>
      </c>
      <c r="AB15" s="280">
        <f>IFERROR(__xludf.DUMMYFUNCTION("IMPORTRANGE(AB$4,$C15)"),20.0)</f>
        <v>20</v>
      </c>
    </row>
    <row r="16">
      <c r="B16" s="271">
        <v>2.0</v>
      </c>
      <c r="C16" s="271" t="s">
        <v>891</v>
      </c>
      <c r="D16" s="271" t="s">
        <v>873</v>
      </c>
      <c r="E16" s="271" t="s">
        <v>870</v>
      </c>
      <c r="F16" s="272" t="s">
        <v>874</v>
      </c>
      <c r="G16" s="302" t="str">
        <f>IFERROR(__xludf.DUMMYFUNCTION("IMPORTRANGE(G$4,$C16)"),"#REF!")</f>
        <v>#REF!</v>
      </c>
      <c r="H16" s="275" t="str">
        <f>IFERROR(__xludf.DUMMYFUNCTION("IMPORTRANGE(H$4,$C16)"),"#REF!")</f>
        <v>#REF!</v>
      </c>
      <c r="I16" s="275">
        <f>IFERROR(__xludf.DUMMYFUNCTION("IMPORTRANGE(I$4,$C16)"),40.0)</f>
        <v>40</v>
      </c>
      <c r="J16" s="275" t="str">
        <f>IFERROR(__xludf.DUMMYFUNCTION("IMPORTRANGE(J$4,$C16)"),"#REF!")</f>
        <v>#REF!</v>
      </c>
      <c r="K16" s="275" t="str">
        <f>IFERROR(__xludf.DUMMYFUNCTION("IMPORTRANGE(K$4,$C16)"),"#REF!")</f>
        <v>#REF!</v>
      </c>
      <c r="L16" s="275" t="str">
        <f>IFERROR(__xludf.DUMMYFUNCTION("IMPORTRANGE(L$4,$C16)"),"#REF!")</f>
        <v>#REF!</v>
      </c>
      <c r="M16" s="275" t="str">
        <f>IFERROR(__xludf.DUMMYFUNCTION("IMPORTRANGE(M$4,$C16)"),"#REF!")</f>
        <v>#REF!</v>
      </c>
      <c r="N16" s="275" t="str">
        <f>IFERROR(__xludf.DUMMYFUNCTION("IMPORTRANGE(N$4,$C16)"),"#REF!")</f>
        <v>#REF!</v>
      </c>
      <c r="O16" s="275">
        <f>IFERROR(__xludf.DUMMYFUNCTION("IMPORTRANGE(O$4,$C16)"),40.0)</f>
        <v>40</v>
      </c>
      <c r="P16" s="275" t="str">
        <f>IFERROR(__xludf.DUMMYFUNCTION("IMPORTRANGE(P$4,$C16)"),"#REF!")</f>
        <v>#REF!</v>
      </c>
      <c r="Q16" s="275" t="str">
        <f>IFERROR(__xludf.DUMMYFUNCTION("IMPORTRANGE(Q$4,$C16)"),"#REF!")</f>
        <v>#REF!</v>
      </c>
      <c r="R16" s="275">
        <f>IFERROR(__xludf.DUMMYFUNCTION("IMPORTRANGE(R$4,$C16)"),40.0)</f>
        <v>40</v>
      </c>
      <c r="S16" s="275" t="str">
        <f>IFERROR(__xludf.DUMMYFUNCTION("IMPORTRANGE(S$4,$C16)"),"#REF!")</f>
        <v>#REF!</v>
      </c>
      <c r="T16" s="275" t="str">
        <f>IFERROR(__xludf.DUMMYFUNCTION("IMPORTRANGE(T$4,$C16)"),"#REF!")</f>
        <v>#REF!</v>
      </c>
      <c r="U16" s="275" t="str">
        <f>IFERROR(__xludf.DUMMYFUNCTION("IMPORTRANGE(U$4,$C16)"),"#REF!")</f>
        <v>#REF!</v>
      </c>
      <c r="V16" s="275" t="str">
        <f>IFERROR(__xludf.DUMMYFUNCTION("IMPORTRANGE(V$4,$C16)"),"#REF!")</f>
        <v>#REF!</v>
      </c>
      <c r="W16" s="275">
        <f>IFERROR(__xludf.DUMMYFUNCTION("IMPORTRANGE(W$4,$C16)"),50.0)</f>
        <v>50</v>
      </c>
      <c r="X16" s="275" t="str">
        <f>IFERROR(__xludf.DUMMYFUNCTION("IMPORTRANGE(X$4,$C16)"),"#REF!")</f>
        <v>#REF!</v>
      </c>
      <c r="Y16" s="275">
        <f>IFERROR(__xludf.DUMMYFUNCTION("IMPORTRANGE(Y$4,$C16)"),40.0)</f>
        <v>40</v>
      </c>
      <c r="Z16" s="275" t="str">
        <f>IFERROR(__xludf.DUMMYFUNCTION("IMPORTRANGE(Z$4,$C16)"),"#REF!")</f>
        <v>#REF!</v>
      </c>
      <c r="AA16" s="275">
        <f>IFERROR(__xludf.DUMMYFUNCTION("IMPORTRANGE(AA$4,$C16)"),40.0)</f>
        <v>40</v>
      </c>
      <c r="AB16" s="275">
        <f>IFERROR(__xludf.DUMMYFUNCTION("IMPORTRANGE(AB$4,$C16)"),40.0)</f>
        <v>40</v>
      </c>
    </row>
    <row r="17">
      <c r="B17" s="276">
        <v>3.0</v>
      </c>
      <c r="C17" s="276" t="s">
        <v>892</v>
      </c>
      <c r="D17" s="276" t="s">
        <v>876</v>
      </c>
      <c r="E17" s="276" t="s">
        <v>870</v>
      </c>
      <c r="F17" s="277" t="s">
        <v>893</v>
      </c>
      <c r="G17" s="301" t="str">
        <f>IFERROR(__xludf.DUMMYFUNCTION("IMPORTRANGE(G$4,$C17)"),"#REF!")</f>
        <v>#REF!</v>
      </c>
      <c r="H17" s="280" t="str">
        <f>IFERROR(__xludf.DUMMYFUNCTION("IMPORTRANGE(H$4,$C17)"),"#REF!")</f>
        <v>#REF!</v>
      </c>
      <c r="I17" s="280">
        <f>IFERROR(__xludf.DUMMYFUNCTION("IMPORTRANGE(I$4,$C17)"),45.0)</f>
        <v>45</v>
      </c>
      <c r="J17" s="280" t="str">
        <f>IFERROR(__xludf.DUMMYFUNCTION("IMPORTRANGE(J$4,$C17)"),"#REF!")</f>
        <v>#REF!</v>
      </c>
      <c r="K17" s="280" t="str">
        <f>IFERROR(__xludf.DUMMYFUNCTION("IMPORTRANGE(K$4,$C17)"),"#REF!")</f>
        <v>#REF!</v>
      </c>
      <c r="L17" s="280" t="str">
        <f>IFERROR(__xludf.DUMMYFUNCTION("IMPORTRANGE(L$4,$C17)"),"#REF!")</f>
        <v>#REF!</v>
      </c>
      <c r="M17" s="280" t="str">
        <f>IFERROR(__xludf.DUMMYFUNCTION("IMPORTRANGE(M$4,$C17)"),"#REF!")</f>
        <v>#REF!</v>
      </c>
      <c r="N17" s="280" t="str">
        <f>IFERROR(__xludf.DUMMYFUNCTION("IMPORTRANGE(N$4,$C17)"),"#REF!")</f>
        <v>#REF!</v>
      </c>
      <c r="O17" s="280">
        <f>IFERROR(__xludf.DUMMYFUNCTION("IMPORTRANGE(O$4,$C17)"),45.0)</f>
        <v>45</v>
      </c>
      <c r="P17" s="280" t="str">
        <f>IFERROR(__xludf.DUMMYFUNCTION("IMPORTRANGE(P$4,$C17)"),"#REF!")</f>
        <v>#REF!</v>
      </c>
      <c r="Q17" s="280" t="str">
        <f>IFERROR(__xludf.DUMMYFUNCTION("IMPORTRANGE(Q$4,$C17)"),"#REF!")</f>
        <v>#REF!</v>
      </c>
      <c r="R17" s="280">
        <f>IFERROR(__xludf.DUMMYFUNCTION("IMPORTRANGE(R$4,$C17)"),50.0)</f>
        <v>50</v>
      </c>
      <c r="S17" s="280" t="str">
        <f>IFERROR(__xludf.DUMMYFUNCTION("IMPORTRANGE(S$4,$C17)"),"#REF!")</f>
        <v>#REF!</v>
      </c>
      <c r="T17" s="280" t="str">
        <f>IFERROR(__xludf.DUMMYFUNCTION("IMPORTRANGE(T$4,$C17)"),"#REF!")</f>
        <v>#REF!</v>
      </c>
      <c r="U17" s="280" t="str">
        <f>IFERROR(__xludf.DUMMYFUNCTION("IMPORTRANGE(U$4,$C17)"),"#REF!")</f>
        <v>#REF!</v>
      </c>
      <c r="V17" s="280" t="str">
        <f>IFERROR(__xludf.DUMMYFUNCTION("IMPORTRANGE(V$4,$C17)"),"#REF!")</f>
        <v>#REF!</v>
      </c>
      <c r="W17" s="280">
        <f>IFERROR(__xludf.DUMMYFUNCTION("IMPORTRANGE(W$4,$C17)"),60.0)</f>
        <v>60</v>
      </c>
      <c r="X17" s="280" t="str">
        <f>IFERROR(__xludf.DUMMYFUNCTION("IMPORTRANGE(X$4,$C17)"),"#REF!")</f>
        <v>#REF!</v>
      </c>
      <c r="Y17" s="280">
        <f>IFERROR(__xludf.DUMMYFUNCTION("IMPORTRANGE(Y$4,$C17)"),50.0)</f>
        <v>50</v>
      </c>
      <c r="Z17" s="280" t="str">
        <f>IFERROR(__xludf.DUMMYFUNCTION("IMPORTRANGE(Z$4,$C17)"),"#REF!")</f>
        <v>#REF!</v>
      </c>
      <c r="AA17" s="280">
        <f>IFERROR(__xludf.DUMMYFUNCTION("IMPORTRANGE(AA$4,$C17)"),45.0)</f>
        <v>45</v>
      </c>
      <c r="AB17" s="280">
        <f>IFERROR(__xludf.DUMMYFUNCTION("IMPORTRANGE(AB$4,$C17)"),47.5)</f>
        <v>47.5</v>
      </c>
    </row>
    <row r="18">
      <c r="B18" s="271">
        <v>4.0</v>
      </c>
      <c r="C18" s="271" t="s">
        <v>894</v>
      </c>
      <c r="D18" s="271" t="s">
        <v>879</v>
      </c>
      <c r="E18" s="271" t="s">
        <v>870</v>
      </c>
      <c r="F18" s="272" t="s">
        <v>880</v>
      </c>
      <c r="G18" s="302" t="str">
        <f>IFERROR(__xludf.DUMMYFUNCTION("IMPORTRANGE(G$4,$C18)"),"#REF!")</f>
        <v>#REF!</v>
      </c>
      <c r="H18" s="275" t="str">
        <f>IFERROR(__xludf.DUMMYFUNCTION("IMPORTRANGE(H$4,$C18)"),"#REF!")</f>
        <v>#REF!</v>
      </c>
      <c r="I18" s="275">
        <f>IFERROR(__xludf.DUMMYFUNCTION("IMPORTRANGE(I$4,$C18)"),50.0)</f>
        <v>50</v>
      </c>
      <c r="J18" s="275" t="str">
        <f>IFERROR(__xludf.DUMMYFUNCTION("IMPORTRANGE(J$4,$C18)"),"#REF!")</f>
        <v>#REF!</v>
      </c>
      <c r="K18" s="275" t="str">
        <f>IFERROR(__xludf.DUMMYFUNCTION("IMPORTRANGE(K$4,$C18)"),"#REF!")</f>
        <v>#REF!</v>
      </c>
      <c r="L18" s="275" t="str">
        <f>IFERROR(__xludf.DUMMYFUNCTION("IMPORTRANGE(L$4,$C18)"),"#REF!")</f>
        <v>#REF!</v>
      </c>
      <c r="M18" s="275" t="str">
        <f>IFERROR(__xludf.DUMMYFUNCTION("IMPORTRANGE(M$4,$C18)"),"#REF!")</f>
        <v>#REF!</v>
      </c>
      <c r="N18" s="275" t="str">
        <f>IFERROR(__xludf.DUMMYFUNCTION("IMPORTRANGE(N$4,$C18)"),"#REF!")</f>
        <v>#REF!</v>
      </c>
      <c r="O18" s="275" t="str">
        <f>IFERROR(__xludf.DUMMYFUNCTION("IMPORTRANGE(O$4,$C18)"),"")</f>
        <v/>
      </c>
      <c r="P18" s="275" t="str">
        <f>IFERROR(__xludf.DUMMYFUNCTION("IMPORTRANGE(P$4,$C18)"),"#REF!")</f>
        <v>#REF!</v>
      </c>
      <c r="Q18" s="275" t="str">
        <f>IFERROR(__xludf.DUMMYFUNCTION("IMPORTRANGE(Q$4,$C18)"),"#REF!")</f>
        <v>#REF!</v>
      </c>
      <c r="R18" s="275">
        <f>IFERROR(__xludf.DUMMYFUNCTION("IMPORTRANGE(R$4,$C18)"),60.0)</f>
        <v>60</v>
      </c>
      <c r="S18" s="275" t="str">
        <f>IFERROR(__xludf.DUMMYFUNCTION("IMPORTRANGE(S$4,$C18)"),"#REF!")</f>
        <v>#REF!</v>
      </c>
      <c r="T18" s="275" t="str">
        <f>IFERROR(__xludf.DUMMYFUNCTION("IMPORTRANGE(T$4,$C18)"),"#REF!")</f>
        <v>#REF!</v>
      </c>
      <c r="U18" s="275" t="str">
        <f>IFERROR(__xludf.DUMMYFUNCTION("IMPORTRANGE(U$4,$C18)"),"#REF!")</f>
        <v>#REF!</v>
      </c>
      <c r="V18" s="274" t="str">
        <f>IFERROR(__xludf.DUMMYFUNCTION("IMPORTRANGE(V$4,$C18)"),"#REF!")</f>
        <v>#REF!</v>
      </c>
      <c r="W18" s="275">
        <f>IFERROR(__xludf.DUMMYFUNCTION("IMPORTRANGE(W$4,$C18)"),67.5)</f>
        <v>67.5</v>
      </c>
      <c r="X18" s="275" t="str">
        <f>IFERROR(__xludf.DUMMYFUNCTION("IMPORTRANGE(X$4,$C18)"),"#REF!")</f>
        <v>#REF!</v>
      </c>
      <c r="Y18" s="275">
        <f>IFERROR(__xludf.DUMMYFUNCTION("IMPORTRANGE(Y$4,$C18)"),57.5)</f>
        <v>57.5</v>
      </c>
      <c r="Z18" s="275" t="str">
        <f>IFERROR(__xludf.DUMMYFUNCTION("IMPORTRANGE(Z$4,$C18)"),"#REF!")</f>
        <v>#REF!</v>
      </c>
      <c r="AA18" s="275">
        <f>IFERROR(__xludf.DUMMYFUNCTION("IMPORTRANGE(AA$4,$C18)"),50.0)</f>
        <v>50</v>
      </c>
      <c r="AB18" s="275">
        <f>IFERROR(__xludf.DUMMYFUNCTION("IMPORTRANGE(AB$4,$C18)"),55.0)</f>
        <v>55</v>
      </c>
    </row>
    <row r="19">
      <c r="B19" s="276">
        <v>5.0</v>
      </c>
      <c r="C19" s="276" t="s">
        <v>895</v>
      </c>
      <c r="D19" s="276" t="s">
        <v>882</v>
      </c>
      <c r="E19" s="276" t="s">
        <v>896</v>
      </c>
      <c r="F19" s="277" t="s">
        <v>884</v>
      </c>
      <c r="G19" s="278" t="str">
        <f>IFERROR(__xludf.DUMMYFUNCTION("IMPORTRANGE(G$4,$C19)"),"#REF!")</f>
        <v>#REF!</v>
      </c>
      <c r="H19" s="279" t="str">
        <f>IFERROR(__xludf.DUMMYFUNCTION("IMPORTRANGE(H$4,$C19)"),"#REF!")</f>
        <v>#REF!</v>
      </c>
      <c r="I19" s="280">
        <f>IFERROR(__xludf.DUMMYFUNCTION("IMPORTRANGE(I$4,$C19)"),60.0)</f>
        <v>60</v>
      </c>
      <c r="J19" s="279" t="str">
        <f>IFERROR(__xludf.DUMMYFUNCTION("IMPORTRANGE(J$4,$C19)"),"#REF!")</f>
        <v>#REF!</v>
      </c>
      <c r="K19" s="279" t="str">
        <f>IFERROR(__xludf.DUMMYFUNCTION("IMPORTRANGE(K$4,$C19)"),"#REF!")</f>
        <v>#REF!</v>
      </c>
      <c r="L19" s="280" t="str">
        <f>IFERROR(__xludf.DUMMYFUNCTION("IMPORTRANGE(L$4,$C19)"),"#REF!")</f>
        <v>#REF!</v>
      </c>
      <c r="M19" s="280" t="str">
        <f>IFERROR(__xludf.DUMMYFUNCTION("IMPORTRANGE(M$4,$C19)"),"#REF!")</f>
        <v>#REF!</v>
      </c>
      <c r="N19" s="280" t="str">
        <f>IFERROR(__xludf.DUMMYFUNCTION("IMPORTRANGE(N$4,$C19)"),"#REF!")</f>
        <v>#REF!</v>
      </c>
      <c r="O19" s="280">
        <f>IFERROR(__xludf.DUMMYFUNCTION("IMPORTRANGE(O$4,$C19)"),57.5)</f>
        <v>57.5</v>
      </c>
      <c r="P19" s="279" t="str">
        <f>IFERROR(__xludf.DUMMYFUNCTION("IMPORTRANGE(P$4,$C19)"),"#REF!")</f>
        <v>#REF!</v>
      </c>
      <c r="Q19" s="280" t="str">
        <f>IFERROR(__xludf.DUMMYFUNCTION("IMPORTRANGE(Q$4,$C19)"),"#REF!")</f>
        <v>#REF!</v>
      </c>
      <c r="R19" s="280">
        <f>IFERROR(__xludf.DUMMYFUNCTION("IMPORTRANGE(R$4,$C19)"),80.0)</f>
        <v>80</v>
      </c>
      <c r="S19" s="280" t="str">
        <f>IFERROR(__xludf.DUMMYFUNCTION("IMPORTRANGE(S$4,$C19)"),"#REF!")</f>
        <v>#REF!</v>
      </c>
      <c r="T19" s="279" t="str">
        <f>IFERROR(__xludf.DUMMYFUNCTION("IMPORTRANGE(T$4,$C19)"),"#REF!")</f>
        <v>#REF!</v>
      </c>
      <c r="U19" s="279" t="str">
        <f>IFERROR(__xludf.DUMMYFUNCTION("IMPORTRANGE(U$4,$C19)"),"#REF!")</f>
        <v>#REF!</v>
      </c>
      <c r="V19" s="279" t="str">
        <f>IFERROR(__xludf.DUMMYFUNCTION("IMPORTRANGE(V$4,$C19)"),"#REF!")</f>
        <v>#REF!</v>
      </c>
      <c r="W19" s="280">
        <f>IFERROR(__xludf.DUMMYFUNCTION("IMPORTRANGE(W$4,$C19)"),90.0)</f>
        <v>90</v>
      </c>
      <c r="X19" s="280" t="str">
        <f>IFERROR(__xludf.DUMMYFUNCTION("IMPORTRANGE(X$4,$C19)"),"#REF!")</f>
        <v>#REF!</v>
      </c>
      <c r="Y19" s="282">
        <f>IFERROR(__xludf.DUMMYFUNCTION("IMPORTRANGE(Y$4,$C19)"),77.5)</f>
        <v>77.5</v>
      </c>
      <c r="Z19" s="282" t="str">
        <f>IFERROR(__xludf.DUMMYFUNCTION("IMPORTRANGE(Z$4,$C19)"),"#REF!")</f>
        <v>#REF!</v>
      </c>
      <c r="AA19" s="282">
        <f>IFERROR(__xludf.DUMMYFUNCTION("IMPORTRANGE(AA$4,$C19)"),77.5)</f>
        <v>77.5</v>
      </c>
      <c r="AB19" s="282">
        <f>IFERROR(__xludf.DUMMYFUNCTION("IMPORTRANGE(AB$4,$C19)"),92.5)</f>
        <v>92.5</v>
      </c>
    </row>
    <row r="20">
      <c r="B20" s="271">
        <v>6.0</v>
      </c>
      <c r="C20" s="271" t="s">
        <v>897</v>
      </c>
      <c r="D20" s="271" t="s">
        <v>886</v>
      </c>
      <c r="E20" s="271" t="s">
        <v>898</v>
      </c>
      <c r="F20" s="272" t="s">
        <v>884</v>
      </c>
      <c r="G20" s="302" t="str">
        <f>IFERROR(__xludf.DUMMYFUNCTION("IMPORTRANGE(G$4,$C20)"),"#REF!")</f>
        <v>#REF!</v>
      </c>
      <c r="H20" s="275" t="str">
        <f>IFERROR(__xludf.DUMMYFUNCTION("IMPORTRANGE(H$4,$C20)"),"#REF!")</f>
        <v>#REF!</v>
      </c>
      <c r="I20" s="275">
        <f>IFERROR(__xludf.DUMMYFUNCTION("IMPORTRANGE(I$4,$C20)"),65.0)</f>
        <v>65</v>
      </c>
      <c r="J20" s="275" t="str">
        <f>IFERROR(__xludf.DUMMYFUNCTION("IMPORTRANGE(J$4,$C20)"),"#REF!")</f>
        <v>#REF!</v>
      </c>
      <c r="K20" s="275" t="str">
        <f>IFERROR(__xludf.DUMMYFUNCTION("IMPORTRANGE(K$4,$C20)"),"#REF!")</f>
        <v>#REF!</v>
      </c>
      <c r="L20" s="275" t="str">
        <f>IFERROR(__xludf.DUMMYFUNCTION("IMPORTRANGE(L$4,$C20)"),"#REF!")</f>
        <v>#REF!</v>
      </c>
      <c r="M20" s="275" t="str">
        <f>IFERROR(__xludf.DUMMYFUNCTION("IMPORTRANGE(M$4,$C20)"),"#REF!")</f>
        <v>#REF!</v>
      </c>
      <c r="N20" s="275" t="str">
        <f>IFERROR(__xludf.DUMMYFUNCTION("IMPORTRANGE(N$4,$C20)"),"#REF!")</f>
        <v>#REF!</v>
      </c>
      <c r="O20" s="275">
        <f>IFERROR(__xludf.DUMMYFUNCTION("IMPORTRANGE(O$4,$C20)"),60.0)</f>
        <v>60</v>
      </c>
      <c r="P20" s="275" t="str">
        <f>IFERROR(__xludf.DUMMYFUNCTION("IMPORTRANGE(P$4,$C20)"),"#REF!")</f>
        <v>#REF!</v>
      </c>
      <c r="Q20" s="275" t="str">
        <f>IFERROR(__xludf.DUMMYFUNCTION("IMPORTRANGE(Q$4,$C20)"),"#REF!")</f>
        <v>#REF!</v>
      </c>
      <c r="R20" s="275">
        <f>IFERROR(__xludf.DUMMYFUNCTION("IMPORTRANGE(R$4,$C20)"),85.0)</f>
        <v>85</v>
      </c>
      <c r="S20" s="275" t="str">
        <f>IFERROR(__xludf.DUMMYFUNCTION("IMPORTRANGE(S$4,$C20)"),"#REF!")</f>
        <v>#REF!</v>
      </c>
      <c r="T20" s="275" t="str">
        <f>IFERROR(__xludf.DUMMYFUNCTION("IMPORTRANGE(T$4,$C20)"),"#REF!")</f>
        <v>#REF!</v>
      </c>
      <c r="U20" s="275" t="str">
        <f>IFERROR(__xludf.DUMMYFUNCTION("IMPORTRANGE(U$4,$C20)"),"#REF!")</f>
        <v>#REF!</v>
      </c>
      <c r="V20" s="275" t="str">
        <f>IFERROR(__xludf.DUMMYFUNCTION("IMPORTRANGE(V$4,$C20)"),"#REF!")</f>
        <v>#REF!</v>
      </c>
      <c r="W20" s="275">
        <f>IFERROR(__xludf.DUMMYFUNCTION("IMPORTRANGE(W$4,$C20)"),95.0)</f>
        <v>95</v>
      </c>
      <c r="X20" s="282" t="str">
        <f>IFERROR(__xludf.DUMMYFUNCTION("IMPORTRANGE(X$4,$C20)"),"#REF!")</f>
        <v>#REF!</v>
      </c>
      <c r="Y20" s="282">
        <f>IFERROR(__xludf.DUMMYFUNCTION("IMPORTRANGE(Y$4,$C20)"),82.5)</f>
        <v>82.5</v>
      </c>
      <c r="Z20" s="282" t="str">
        <f>IFERROR(__xludf.DUMMYFUNCTION("IMPORTRANGE(Z$4,$C20)"),"#REF!")</f>
        <v>#REF!</v>
      </c>
      <c r="AA20" s="282">
        <f>IFERROR(__xludf.DUMMYFUNCTION("IMPORTRANGE(AA$4,$C20)"),80.0)</f>
        <v>80</v>
      </c>
      <c r="AB20" s="282">
        <f>IFERROR(__xludf.DUMMYFUNCTION("IMPORTRANGE(AB$4,$C20)"),95.0)</f>
        <v>95</v>
      </c>
    </row>
    <row r="21">
      <c r="A21" s="284"/>
      <c r="B21" s="303"/>
      <c r="C21" s="303"/>
      <c r="D21" s="303"/>
      <c r="E21" s="303"/>
      <c r="F21" s="304" t="s">
        <v>888</v>
      </c>
      <c r="G21" s="305" t="str">
        <f>'Womens Meet Plans'!C18</f>
        <v>#REF!</v>
      </c>
      <c r="H21" s="306" t="str">
        <f>'Womens Meet Plans'!D18</f>
        <v>#REF!</v>
      </c>
      <c r="I21" s="306">
        <f>'Womens Meet Plans'!E18</f>
        <v>70</v>
      </c>
      <c r="J21" s="306" t="str">
        <f>'Womens Meet Plans'!F18</f>
        <v>#REF!</v>
      </c>
      <c r="K21" s="306" t="str">
        <f>'Womens Meet Plans'!G18</f>
        <v>#REF!</v>
      </c>
      <c r="L21" s="306" t="str">
        <f>'Womens Meet Plans'!H18</f>
        <v>#REF!</v>
      </c>
      <c r="M21" s="306" t="str">
        <f>'Womens Meet Plans'!I18</f>
        <v>#REF!</v>
      </c>
      <c r="N21" s="306" t="str">
        <f>'Womens Meet Plans'!J18</f>
        <v>#REF!</v>
      </c>
      <c r="O21" s="306">
        <f>'Womens Meet Plans'!K18</f>
        <v>62.5</v>
      </c>
      <c r="P21" s="306" t="str">
        <f>'Womens Meet Plans'!L18</f>
        <v>#REF!</v>
      </c>
      <c r="Q21" s="306" t="str">
        <f>'Womens Meet Plans'!M18</f>
        <v>#REF!</v>
      </c>
      <c r="R21" s="306">
        <f>'Womens Meet Plans'!N18</f>
        <v>87.5</v>
      </c>
      <c r="S21" s="306" t="str">
        <f>'Womens Meet Plans'!O18</f>
        <v>#REF!</v>
      </c>
      <c r="T21" s="306" t="str">
        <f>'Womens Meet Plans'!P18</f>
        <v>#REF!</v>
      </c>
      <c r="U21" s="306" t="str">
        <f>'Womens Meet Plans'!Q18</f>
        <v>#REF!</v>
      </c>
      <c r="V21" s="306" t="str">
        <f>'Womens Meet Plans'!R18</f>
        <v>#REF!</v>
      </c>
      <c r="W21" s="306">
        <f>'Womens Meet Plans'!S18</f>
        <v>97.5</v>
      </c>
      <c r="X21" s="306" t="str">
        <f>'Womens Meet Plans'!T18</f>
        <v>#REF!</v>
      </c>
      <c r="Y21" s="306">
        <f>'Womens Meet Plans'!U18</f>
        <v>87.5</v>
      </c>
      <c r="Z21" s="306" t="str">
        <f>'Womens Meet Plans'!V18</f>
        <v>#REF!</v>
      </c>
      <c r="AA21" s="306">
        <f>'Womens Meet Plans'!W18</f>
        <v>82.5</v>
      </c>
      <c r="AB21" s="306">
        <f>'Womens Meet Plans'!X18</f>
        <v>95</v>
      </c>
    </row>
    <row r="22">
      <c r="A22" s="307"/>
      <c r="B22" s="308"/>
      <c r="C22" s="308"/>
      <c r="D22" s="309"/>
      <c r="E22" s="308"/>
      <c r="F22" s="310"/>
      <c r="G22" s="309"/>
      <c r="H22" s="309"/>
      <c r="I22" s="309"/>
      <c r="J22" s="309"/>
      <c r="K22" s="309"/>
      <c r="L22" s="309"/>
      <c r="M22" s="309"/>
      <c r="N22" s="309"/>
      <c r="O22" s="309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309"/>
      <c r="AB22" s="311"/>
    </row>
    <row r="23">
      <c r="A23" s="312" t="s">
        <v>899</v>
      </c>
      <c r="B23" s="264">
        <v>1.0</v>
      </c>
      <c r="C23" s="264" t="s">
        <v>900</v>
      </c>
      <c r="D23" s="264" t="s">
        <v>869</v>
      </c>
      <c r="E23" s="313" t="s">
        <v>870</v>
      </c>
      <c r="F23" s="314" t="s">
        <v>901</v>
      </c>
      <c r="G23" s="315" t="str">
        <f>IFERROR(__xludf.DUMMYFUNCTION("IMPORTRANGE(G$4,$C23)"),"#REF!")</f>
        <v>#REF!</v>
      </c>
      <c r="H23" s="316" t="str">
        <f>IFERROR(__xludf.DUMMYFUNCTION("IMPORTRANGE(H$4,$C23)"),"#REF!")</f>
        <v>#REF!</v>
      </c>
      <c r="I23" s="316">
        <f>IFERROR(__xludf.DUMMYFUNCTION("IMPORTRANGE(I$4,$C23)"),60.0)</f>
        <v>60</v>
      </c>
      <c r="J23" s="316" t="str">
        <f>IFERROR(__xludf.DUMMYFUNCTION("IMPORTRANGE(J$4,$C23)"),"#REF!")</f>
        <v>#REF!</v>
      </c>
      <c r="K23" s="316" t="str">
        <f>IFERROR(__xludf.DUMMYFUNCTION("IMPORTRANGE(K$4,$C23)"),"#REF!")</f>
        <v>#REF!</v>
      </c>
      <c r="L23" s="316" t="str">
        <f>IFERROR(__xludf.DUMMYFUNCTION("IMPORTRANGE(L$4,$C23)"),"#REF!")</f>
        <v>#REF!</v>
      </c>
      <c r="M23" s="316" t="str">
        <f>IFERROR(__xludf.DUMMYFUNCTION("IMPORTRANGE(M$4,$C23)"),"#REF!")</f>
        <v>#REF!</v>
      </c>
      <c r="N23" s="316" t="str">
        <f>IFERROR(__xludf.DUMMYFUNCTION("IMPORTRANGE(N$4,$C23)"),"#REF!")</f>
        <v>#REF!</v>
      </c>
      <c r="O23" s="316">
        <f>IFERROR(__xludf.DUMMYFUNCTION("IMPORTRANGE(O$4,$C23)"),60.0)</f>
        <v>60</v>
      </c>
      <c r="P23" s="316" t="str">
        <f>IFERROR(__xludf.DUMMYFUNCTION("IMPORTRANGE(P$4,$C23)"),"#REF!")</f>
        <v>#REF!</v>
      </c>
      <c r="Q23" s="316" t="str">
        <f>IFERROR(__xludf.DUMMYFUNCTION("IMPORTRANGE(Q$4,$C23)"),"#REF!")</f>
        <v>#REF!</v>
      </c>
      <c r="R23" s="316">
        <f>IFERROR(__xludf.DUMMYFUNCTION("IMPORTRANGE(R$4,$C23)"),60.0)</f>
        <v>60</v>
      </c>
      <c r="S23" s="316" t="str">
        <f>IFERROR(__xludf.DUMMYFUNCTION("IMPORTRANGE(S$4,$C23)"),"#REF!")</f>
        <v>#REF!</v>
      </c>
      <c r="T23" s="316" t="str">
        <f>IFERROR(__xludf.DUMMYFUNCTION("IMPORTRANGE(T$4,$C23)"),"#REF!")</f>
        <v>#REF!</v>
      </c>
      <c r="U23" s="270" t="str">
        <f>IFERROR(__xludf.DUMMYFUNCTION("IMPORTRANGE(U$4,$C23)"),"#REF!")</f>
        <v>#REF!</v>
      </c>
      <c r="V23" s="316" t="str">
        <f>IFERROR(__xludf.DUMMYFUNCTION("IMPORTRANGE(V$4,$C23)"),"#REF!")</f>
        <v>#REF!</v>
      </c>
      <c r="W23" s="316">
        <f>IFERROR(__xludf.DUMMYFUNCTION("IMPORTRANGE(W$4,$C23)"),70.0)</f>
        <v>70</v>
      </c>
      <c r="X23" s="316" t="str">
        <f>IFERROR(__xludf.DUMMYFUNCTION("IMPORTRANGE(X$4,$C23)"),"#REF!")</f>
        <v>#REF!</v>
      </c>
      <c r="Y23" s="316">
        <f>IFERROR(__xludf.DUMMYFUNCTION("IMPORTRANGE(Y$4,$C23)"),70.0)</f>
        <v>70</v>
      </c>
      <c r="Z23" s="316" t="str">
        <f>IFERROR(__xludf.DUMMYFUNCTION("IMPORTRANGE(Z$4,$C23)"),"#REF!")</f>
        <v>#REF!</v>
      </c>
      <c r="AA23" s="316">
        <f>IFERROR(__xludf.DUMMYFUNCTION("IMPORTRANGE(AA$4,$C23)"),70.0)</f>
        <v>70</v>
      </c>
      <c r="AB23" s="316">
        <f>IFERROR(__xludf.DUMMYFUNCTION("IMPORTRANGE(AB$4,$C23)"),70.0)</f>
        <v>70</v>
      </c>
    </row>
    <row r="24">
      <c r="B24" s="271">
        <v>2.0</v>
      </c>
      <c r="C24" s="271" t="s">
        <v>902</v>
      </c>
      <c r="D24" s="271" t="s">
        <v>873</v>
      </c>
      <c r="E24" s="317" t="s">
        <v>870</v>
      </c>
      <c r="F24" s="318" t="s">
        <v>903</v>
      </c>
      <c r="G24" s="273" t="str">
        <f>IFERROR(__xludf.DUMMYFUNCTION("IMPORTRANGE(G$4,$C24)"),"#REF!")</f>
        <v>#REF!</v>
      </c>
      <c r="H24" s="319" t="str">
        <f>IFERROR(__xludf.DUMMYFUNCTION("IMPORTRANGE(H$4,$C24)"),"#REF!")</f>
        <v>#REF!</v>
      </c>
      <c r="I24" s="320">
        <f>IFERROR(__xludf.DUMMYFUNCTION("IMPORTRANGE(I$4,$C24)"),80.0)</f>
        <v>80</v>
      </c>
      <c r="J24" s="319" t="str">
        <f>IFERROR(__xludf.DUMMYFUNCTION("IMPORTRANGE(J$4,$C24)"),"#REF!")</f>
        <v>#REF!</v>
      </c>
      <c r="K24" s="319" t="str">
        <f>IFERROR(__xludf.DUMMYFUNCTION("IMPORTRANGE(K$4,$C24)"),"#REF!")</f>
        <v>#REF!</v>
      </c>
      <c r="L24" s="319" t="str">
        <f>IFERROR(__xludf.DUMMYFUNCTION("IMPORTRANGE(L$4,$C24)"),"#REF!")</f>
        <v>#REF!</v>
      </c>
      <c r="M24" s="319" t="str">
        <f>IFERROR(__xludf.DUMMYFUNCTION("IMPORTRANGE(M$4,$C24)"),"#REF!")</f>
        <v>#REF!</v>
      </c>
      <c r="N24" s="319" t="str">
        <f>IFERROR(__xludf.DUMMYFUNCTION("IMPORTRANGE(N$4,$C24)"),"#REF!")</f>
        <v>#REF!</v>
      </c>
      <c r="O24" s="320">
        <f>IFERROR(__xludf.DUMMYFUNCTION("IMPORTRANGE(O$4,$C24)"),75.0)</f>
        <v>75</v>
      </c>
      <c r="P24" s="319" t="str">
        <f>IFERROR(__xludf.DUMMYFUNCTION("IMPORTRANGE(P$4,$C24)"),"#REF!")</f>
        <v>#REF!</v>
      </c>
      <c r="Q24" s="319" t="str">
        <f>IFERROR(__xludf.DUMMYFUNCTION("IMPORTRANGE(Q$4,$C24)"),"#REF!")</f>
        <v>#REF!</v>
      </c>
      <c r="R24" s="320">
        <f>IFERROR(__xludf.DUMMYFUNCTION("IMPORTRANGE(R$4,$C24)"),80.0)</f>
        <v>80</v>
      </c>
      <c r="S24" s="319" t="str">
        <f>IFERROR(__xludf.DUMMYFUNCTION("IMPORTRANGE(S$4,$C24)"),"#REF!")</f>
        <v>#REF!</v>
      </c>
      <c r="T24" s="319" t="str">
        <f>IFERROR(__xludf.DUMMYFUNCTION("IMPORTRANGE(T$4,$C24)"),"#REF!")</f>
        <v>#REF!</v>
      </c>
      <c r="U24" s="274" t="str">
        <f>IFERROR(__xludf.DUMMYFUNCTION("IMPORTRANGE(U$4,$C24)"),"#REF!")</f>
        <v>#REF!</v>
      </c>
      <c r="V24" s="319" t="str">
        <f>IFERROR(__xludf.DUMMYFUNCTION("IMPORTRANGE(V$4,$C24)"),"#REF!")</f>
        <v>#REF!</v>
      </c>
      <c r="W24" s="320">
        <f>IFERROR(__xludf.DUMMYFUNCTION("IMPORTRANGE(W$4,$C24)"),100.0)</f>
        <v>100</v>
      </c>
      <c r="X24" s="319" t="str">
        <f>IFERROR(__xludf.DUMMYFUNCTION("IMPORTRANGE(X$4,$C24)"),"#REF!")</f>
        <v>#REF!</v>
      </c>
      <c r="Y24" s="320">
        <f>IFERROR(__xludf.DUMMYFUNCTION("IMPORTRANGE(Y$4,$C24)"),100.0)</f>
        <v>100</v>
      </c>
      <c r="Z24" s="319" t="str">
        <f>IFERROR(__xludf.DUMMYFUNCTION("IMPORTRANGE(Z$4,$C24)"),"#REF!")</f>
        <v>#REF!</v>
      </c>
      <c r="AA24" s="320">
        <f>IFERROR(__xludf.DUMMYFUNCTION("IMPORTRANGE(AA$4,$C24)"),90.0)</f>
        <v>90</v>
      </c>
      <c r="AB24" s="320">
        <f>IFERROR(__xludf.DUMMYFUNCTION("IMPORTRANGE(AB$4,$C24)"),85.0)</f>
        <v>85</v>
      </c>
    </row>
    <row r="25">
      <c r="B25" s="276">
        <v>3.0</v>
      </c>
      <c r="C25" s="276" t="s">
        <v>904</v>
      </c>
      <c r="D25" s="276" t="s">
        <v>876</v>
      </c>
      <c r="E25" s="321" t="s">
        <v>870</v>
      </c>
      <c r="F25" s="322" t="s">
        <v>884</v>
      </c>
      <c r="G25" s="278" t="str">
        <f>IFERROR(__xludf.DUMMYFUNCTION("IMPORTRANGE(G$4,$C25)"),"#REF!")</f>
        <v>#REF!</v>
      </c>
      <c r="H25" s="323" t="str">
        <f>IFERROR(__xludf.DUMMYFUNCTION("IMPORTRANGE(H$4,$C25)"),"#REF!")</f>
        <v>#REF!</v>
      </c>
      <c r="I25" s="324">
        <f>IFERROR(__xludf.DUMMYFUNCTION("IMPORTRANGE(I$4,$C25)"),100.0)</f>
        <v>100</v>
      </c>
      <c r="J25" s="323" t="str">
        <f>IFERROR(__xludf.DUMMYFUNCTION("IMPORTRANGE(J$4,$C25)"),"#REF!")</f>
        <v>#REF!</v>
      </c>
      <c r="K25" s="323" t="str">
        <f>IFERROR(__xludf.DUMMYFUNCTION("IMPORTRANGE(K$4,$C25)"),"#REF!")</f>
        <v>#REF!</v>
      </c>
      <c r="L25" s="323" t="str">
        <f>IFERROR(__xludf.DUMMYFUNCTION("IMPORTRANGE(L$4,$C25)"),"#REF!")</f>
        <v>#REF!</v>
      </c>
      <c r="M25" s="323" t="str">
        <f>IFERROR(__xludf.DUMMYFUNCTION("IMPORTRANGE(M$4,$C25)"),"#REF!")</f>
        <v>#REF!</v>
      </c>
      <c r="N25" s="323" t="str">
        <f>IFERROR(__xludf.DUMMYFUNCTION("IMPORTRANGE(N$4,$C25)"),"#REF!")</f>
        <v>#REF!</v>
      </c>
      <c r="O25" s="324">
        <f>IFERROR(__xludf.DUMMYFUNCTION("IMPORTRANGE(O$4,$C25)"),85.0)</f>
        <v>85</v>
      </c>
      <c r="P25" s="323" t="str">
        <f>IFERROR(__xludf.DUMMYFUNCTION("IMPORTRANGE(P$4,$C25)"),"#REF!")</f>
        <v>#REF!</v>
      </c>
      <c r="Q25" s="323" t="str">
        <f>IFERROR(__xludf.DUMMYFUNCTION("IMPORTRANGE(Q$4,$C25)"),"#REF!")</f>
        <v>#REF!</v>
      </c>
      <c r="R25" s="324">
        <f>IFERROR(__xludf.DUMMYFUNCTION("IMPORTRANGE(R$4,$C25)"),100.0)</f>
        <v>100</v>
      </c>
      <c r="S25" s="323" t="str">
        <f>IFERROR(__xludf.DUMMYFUNCTION("IMPORTRANGE(S$4,$C25)"),"#REF!")</f>
        <v>#REF!</v>
      </c>
      <c r="T25" s="323" t="str">
        <f>IFERROR(__xludf.DUMMYFUNCTION("IMPORTRANGE(T$4,$C25)"),"#REF!")</f>
        <v>#REF!</v>
      </c>
      <c r="U25" s="279" t="str">
        <f>IFERROR(__xludf.DUMMYFUNCTION("IMPORTRANGE(U$4,$C25)"),"#REF!")</f>
        <v>#REF!</v>
      </c>
      <c r="V25" s="323" t="str">
        <f>IFERROR(__xludf.DUMMYFUNCTION("IMPORTRANGE(V$4,$C25)"),"#REF!")</f>
        <v>#REF!</v>
      </c>
      <c r="W25" s="324">
        <f>IFERROR(__xludf.DUMMYFUNCTION("IMPORTRANGE(W$4,$C25)"),110.0)</f>
        <v>110</v>
      </c>
      <c r="X25" s="323" t="str">
        <f>IFERROR(__xludf.DUMMYFUNCTION("IMPORTRANGE(X$4,$C25)"),"#REF!")</f>
        <v>#REF!</v>
      </c>
      <c r="Y25" s="324">
        <f>IFERROR(__xludf.DUMMYFUNCTION("IMPORTRANGE(Y$4,$C25)"),115.0)</f>
        <v>115</v>
      </c>
      <c r="Z25" s="323" t="str">
        <f>IFERROR(__xludf.DUMMYFUNCTION("IMPORTRANGE(Z$4,$C25)"),"#REF!")</f>
        <v>#REF!</v>
      </c>
      <c r="AA25" s="324">
        <f>IFERROR(__xludf.DUMMYFUNCTION("IMPORTRANGE(AA$4,$C25)"),100.0)</f>
        <v>100</v>
      </c>
      <c r="AB25" s="324">
        <f>IFERROR(__xludf.DUMMYFUNCTION("IMPORTRANGE(AB$4,$C25)"),95.0)</f>
        <v>95</v>
      </c>
    </row>
    <row r="26">
      <c r="B26" s="271">
        <v>4.0</v>
      </c>
      <c r="C26" s="271" t="s">
        <v>905</v>
      </c>
      <c r="D26" s="271" t="s">
        <v>879</v>
      </c>
      <c r="E26" s="281" t="s">
        <v>870</v>
      </c>
      <c r="F26" s="318" t="s">
        <v>884</v>
      </c>
      <c r="G26" s="273" t="str">
        <f>IFERROR(__xludf.DUMMYFUNCTION("IMPORTRANGE(G$4,$C26)"),"#REF!")</f>
        <v>#REF!</v>
      </c>
      <c r="H26" s="319" t="str">
        <f>IFERROR(__xludf.DUMMYFUNCTION("IMPORTRANGE(H$4,$C26)"),"#REF!")</f>
        <v>#REF!</v>
      </c>
      <c r="I26" s="319" t="str">
        <f>IFERROR(__xludf.DUMMYFUNCTION("IMPORTRANGE(I$4,$C26)"),"")</f>
        <v/>
      </c>
      <c r="J26" s="319" t="str">
        <f>IFERROR(__xludf.DUMMYFUNCTION("IMPORTRANGE(J$4,$C26)"),"#REF!")</f>
        <v>#REF!</v>
      </c>
      <c r="K26" s="319" t="str">
        <f>IFERROR(__xludf.DUMMYFUNCTION("IMPORTRANGE(K$4,$C26)"),"#REF!")</f>
        <v>#REF!</v>
      </c>
      <c r="L26" s="319" t="str">
        <f>IFERROR(__xludf.DUMMYFUNCTION("IMPORTRANGE(L$4,$C26)"),"#REF!")</f>
        <v>#REF!</v>
      </c>
      <c r="M26" s="319" t="str">
        <f>IFERROR(__xludf.DUMMYFUNCTION("IMPORTRANGE(M$4,$C26)"),"#REF!")</f>
        <v>#REF!</v>
      </c>
      <c r="N26" s="319" t="str">
        <f>IFERROR(__xludf.DUMMYFUNCTION("IMPORTRANGE(N$4,$C26)"),"#REF!")</f>
        <v>#REF!</v>
      </c>
      <c r="O26" s="319" t="str">
        <f>IFERROR(__xludf.DUMMYFUNCTION("IMPORTRANGE(O$4,$C26)"),"")</f>
        <v/>
      </c>
      <c r="P26" s="319" t="str">
        <f>IFERROR(__xludf.DUMMYFUNCTION("IMPORTRANGE(P$4,$C26)"),"#REF!")</f>
        <v>#REF!</v>
      </c>
      <c r="Q26" s="319" t="str">
        <f>IFERROR(__xludf.DUMMYFUNCTION("IMPORTRANGE(Q$4,$C26)"),"#REF!")</f>
        <v>#REF!</v>
      </c>
      <c r="R26" s="320">
        <f>IFERROR(__xludf.DUMMYFUNCTION("IMPORTRANGE(R$4,$C26)"),120.0)</f>
        <v>120</v>
      </c>
      <c r="S26" s="319" t="str">
        <f>IFERROR(__xludf.DUMMYFUNCTION("IMPORTRANGE(S$4,$C26)"),"#REF!")</f>
        <v>#REF!</v>
      </c>
      <c r="T26" s="319" t="str">
        <f>IFERROR(__xludf.DUMMYFUNCTION("IMPORTRANGE(T$4,$C26)"),"#REF!")</f>
        <v>#REF!</v>
      </c>
      <c r="U26" s="274" t="str">
        <f>IFERROR(__xludf.DUMMYFUNCTION("IMPORTRANGE(U$4,$C26)"),"#REF!")</f>
        <v>#REF!</v>
      </c>
      <c r="V26" s="319" t="str">
        <f>IFERROR(__xludf.DUMMYFUNCTION("IMPORTRANGE(V$4,$C26)"),"#REF!")</f>
        <v>#REF!</v>
      </c>
      <c r="W26" s="320">
        <f>IFERROR(__xludf.DUMMYFUNCTION("IMPORTRANGE(W$4,$C26)"),120.0)</f>
        <v>120</v>
      </c>
      <c r="X26" s="319" t="str">
        <f>IFERROR(__xludf.DUMMYFUNCTION("IMPORTRANGE(X$4,$C26)"),"#REF!")</f>
        <v>#REF!</v>
      </c>
      <c r="Y26" s="320">
        <f>IFERROR(__xludf.DUMMYFUNCTION("IMPORTRANGE(Y$4,$C26)"),130.0)</f>
        <v>130</v>
      </c>
      <c r="Z26" s="319" t="str">
        <f>IFERROR(__xludf.DUMMYFUNCTION("IMPORTRANGE(Z$4,$C26)"),"#REF!")</f>
        <v>#REF!</v>
      </c>
      <c r="AA26" s="319" t="str">
        <f>IFERROR(__xludf.DUMMYFUNCTION("IMPORTRANGE(AA$4,$C26)"),"")</f>
        <v/>
      </c>
      <c r="AB26" s="320">
        <f>IFERROR(__xludf.DUMMYFUNCTION("IMPORTRANGE(AB$4,$C26)"),110.0)</f>
        <v>110</v>
      </c>
    </row>
    <row r="27">
      <c r="B27" s="276">
        <v>5.0</v>
      </c>
      <c r="C27" s="276" t="s">
        <v>906</v>
      </c>
      <c r="D27" s="276" t="s">
        <v>882</v>
      </c>
      <c r="E27" s="325" t="s">
        <v>883</v>
      </c>
      <c r="F27" s="322" t="s">
        <v>884</v>
      </c>
      <c r="G27" s="278" t="str">
        <f>IFERROR(__xludf.DUMMYFUNCTION("IMPORTRANGE(G$4,$C27)"),"#REF!")</f>
        <v>#REF!</v>
      </c>
      <c r="H27" s="323" t="str">
        <f>IFERROR(__xludf.DUMMYFUNCTION("IMPORTRANGE(H$4,$C27)"),"#REF!")</f>
        <v>#REF!</v>
      </c>
      <c r="I27" s="324">
        <f>IFERROR(__xludf.DUMMYFUNCTION("IMPORTRANGE(I$4,$C27)"),110.0)</f>
        <v>110</v>
      </c>
      <c r="J27" s="323" t="str">
        <f>IFERROR(__xludf.DUMMYFUNCTION("IMPORTRANGE(J$4,$C27)"),"#REF!")</f>
        <v>#REF!</v>
      </c>
      <c r="K27" s="323" t="str">
        <f>IFERROR(__xludf.DUMMYFUNCTION("IMPORTRANGE(K$4,$C27)"),"#REF!")</f>
        <v>#REF!</v>
      </c>
      <c r="L27" s="323" t="str">
        <f>IFERROR(__xludf.DUMMYFUNCTION("IMPORTRANGE(L$4,$C27)"),"#REF!")</f>
        <v>#REF!</v>
      </c>
      <c r="M27" s="323" t="str">
        <f>IFERROR(__xludf.DUMMYFUNCTION("IMPORTRANGE(M$4,$C27)"),"#REF!")</f>
        <v>#REF!</v>
      </c>
      <c r="N27" s="323" t="str">
        <f>IFERROR(__xludf.DUMMYFUNCTION("IMPORTRANGE(N$4,$C27)"),"#REF!")</f>
        <v>#REF!</v>
      </c>
      <c r="O27" s="323" t="str">
        <f>IFERROR(__xludf.DUMMYFUNCTION("IMPORTRANGE(O$4,$C27)"),"")</f>
        <v/>
      </c>
      <c r="P27" s="323" t="str">
        <f>IFERROR(__xludf.DUMMYFUNCTION("IMPORTRANGE(P$4,$C27)"),"#REF!")</f>
        <v>#REF!</v>
      </c>
      <c r="Q27" s="323" t="str">
        <f>IFERROR(__xludf.DUMMYFUNCTION("IMPORTRANGE(Q$4,$C27)"),"#REF!")</f>
        <v>#REF!</v>
      </c>
      <c r="R27" s="323" t="str">
        <f>IFERROR(__xludf.DUMMYFUNCTION("IMPORTRANGE(R$4,$C27)"),"")</f>
        <v/>
      </c>
      <c r="S27" s="323" t="str">
        <f>IFERROR(__xludf.DUMMYFUNCTION("IMPORTRANGE(S$4,$C27)"),"#REF!")</f>
        <v>#REF!</v>
      </c>
      <c r="T27" s="323" t="str">
        <f>IFERROR(__xludf.DUMMYFUNCTION("IMPORTRANGE(T$4,$C27)"),"#REF!")</f>
        <v>#REF!</v>
      </c>
      <c r="U27" s="279" t="str">
        <f>IFERROR(__xludf.DUMMYFUNCTION("IMPORTRANGE(U$4,$C27)"),"#REF!")</f>
        <v>#REF!</v>
      </c>
      <c r="V27" s="323" t="str">
        <f>IFERROR(__xludf.DUMMYFUNCTION("IMPORTRANGE(V$4,$C27)"),"#REF!")</f>
        <v>#REF!</v>
      </c>
      <c r="W27" s="324">
        <f>IFERROR(__xludf.DUMMYFUNCTION("IMPORTRANGE(W$4,$C27)"),130.0)</f>
        <v>130</v>
      </c>
      <c r="X27" s="323" t="str">
        <f>IFERROR(__xludf.DUMMYFUNCTION("IMPORTRANGE(X$4,$C27)"),"#REF!")</f>
        <v>#REF!</v>
      </c>
      <c r="Y27" s="324">
        <f>IFERROR(__xludf.DUMMYFUNCTION("IMPORTRANGE(Y$4,$C27)"),140.0)</f>
        <v>140</v>
      </c>
      <c r="Z27" s="323" t="str">
        <f>IFERROR(__xludf.DUMMYFUNCTION("IMPORTRANGE(Z$4,$C27)"),"#REF!")</f>
        <v>#REF!</v>
      </c>
      <c r="AA27" s="326">
        <f>IFERROR(__xludf.DUMMYFUNCTION("IMPORTRANGE(AA$4,$C27)"),110.0)</f>
        <v>110</v>
      </c>
      <c r="AB27" s="323" t="str">
        <f>IFERROR(__xludf.DUMMYFUNCTION("IMPORTRANGE(AB$4,$C27)"),"")</f>
        <v/>
      </c>
    </row>
    <row r="28">
      <c r="B28" s="327">
        <v>6.0</v>
      </c>
      <c r="C28" s="327" t="s">
        <v>907</v>
      </c>
      <c r="D28" s="327" t="s">
        <v>886</v>
      </c>
      <c r="E28" s="328" t="s">
        <v>908</v>
      </c>
      <c r="F28" s="329" t="s">
        <v>884</v>
      </c>
      <c r="G28" s="330" t="str">
        <f>IFERROR(__xludf.DUMMYFUNCTION("IMPORTRANGE(G$4,$C28)"),"#REF!")</f>
        <v>#REF!</v>
      </c>
      <c r="H28" s="331" t="str">
        <f>IFERROR(__xludf.DUMMYFUNCTION("IMPORTRANGE(H$4,$C28)"),"#REF!")</f>
        <v>#REF!</v>
      </c>
      <c r="I28" s="326">
        <f>IFERROR(__xludf.DUMMYFUNCTION("IMPORTRANGE(I$4,$C28)"),117.5)</f>
        <v>117.5</v>
      </c>
      <c r="J28" s="331" t="str">
        <f>IFERROR(__xludf.DUMMYFUNCTION("IMPORTRANGE(J$4,$C28)"),"#REF!")</f>
        <v>#REF!</v>
      </c>
      <c r="K28" s="331" t="str">
        <f>IFERROR(__xludf.DUMMYFUNCTION("IMPORTRANGE(K$4,$C28)"),"#REF!")</f>
        <v>#REF!</v>
      </c>
      <c r="L28" s="331" t="str">
        <f>IFERROR(__xludf.DUMMYFUNCTION("IMPORTRANGE(L$4,$C28)"),"#REF!")</f>
        <v>#REF!</v>
      </c>
      <c r="M28" s="331" t="str">
        <f>IFERROR(__xludf.DUMMYFUNCTION("IMPORTRANGE(M$4,$C28)"),"#REF!")</f>
        <v>#REF!</v>
      </c>
      <c r="N28" s="331" t="str">
        <f>IFERROR(__xludf.DUMMYFUNCTION("IMPORTRANGE(N$4,$C28)"),"#REF!")</f>
        <v>#REF!</v>
      </c>
      <c r="O28" s="326">
        <f>IFERROR(__xludf.DUMMYFUNCTION("IMPORTRANGE(O$4,$C28)"),95.0)</f>
        <v>95</v>
      </c>
      <c r="P28" s="331" t="str">
        <f>IFERROR(__xludf.DUMMYFUNCTION("IMPORTRANGE(P$4,$C28)"),"#REF!")</f>
        <v>#REF!</v>
      </c>
      <c r="Q28" s="331" t="str">
        <f>IFERROR(__xludf.DUMMYFUNCTION("IMPORTRANGE(Q$4,$C28)"),"#REF!")</f>
        <v>#REF!</v>
      </c>
      <c r="R28" s="326">
        <f>IFERROR(__xludf.DUMMYFUNCTION("IMPORTRANGE(R$4,$C28)"),135.0)</f>
        <v>135</v>
      </c>
      <c r="S28" s="331" t="str">
        <f>IFERROR(__xludf.DUMMYFUNCTION("IMPORTRANGE(S$4,$C28)"),"#REF!")</f>
        <v>#REF!</v>
      </c>
      <c r="T28" s="331" t="str">
        <f>IFERROR(__xludf.DUMMYFUNCTION("IMPORTRANGE(T$4,$C28)"),"#REF!")</f>
        <v>#REF!</v>
      </c>
      <c r="U28" s="283" t="str">
        <f>IFERROR(__xludf.DUMMYFUNCTION("IMPORTRANGE(U$4,$C28)"),"#REF!")</f>
        <v>#REF!</v>
      </c>
      <c r="V28" s="331" t="str">
        <f>IFERROR(__xludf.DUMMYFUNCTION("IMPORTRANGE(V$4,$C28)"),"#REF!")</f>
        <v>#REF!</v>
      </c>
      <c r="W28" s="326">
        <f>IFERROR(__xludf.DUMMYFUNCTION("IMPORTRANGE(W$4,$C28)"),140.0)</f>
        <v>140</v>
      </c>
      <c r="X28" s="331" t="str">
        <f>IFERROR(__xludf.DUMMYFUNCTION("IMPORTRANGE(X$4,$C28)"),"#REF!")</f>
        <v>#REF!</v>
      </c>
      <c r="Y28" s="331" t="str">
        <f>IFERROR(__xludf.DUMMYFUNCTION("IMPORTRANGE(Y$4,$C28)"),"")</f>
        <v/>
      </c>
      <c r="Z28" s="331" t="str">
        <f>IFERROR(__xludf.DUMMYFUNCTION("IMPORTRANGE(Z$4,$C28)"),"#REF!")</f>
        <v>#REF!</v>
      </c>
      <c r="AA28" s="326">
        <f>IFERROR(__xludf.DUMMYFUNCTION("IMPORTRANGE(AA$4,$C28)"),120.0)</f>
        <v>120</v>
      </c>
      <c r="AB28" s="326">
        <f>IFERROR(__xludf.DUMMYFUNCTION("IMPORTRANGE(AB$4,$C28)"),120.0)</f>
        <v>120</v>
      </c>
    </row>
    <row r="29">
      <c r="A29" s="332"/>
      <c r="B29" s="333"/>
      <c r="C29" s="333"/>
      <c r="D29" s="334"/>
      <c r="E29" s="335"/>
      <c r="F29" s="336" t="s">
        <v>888</v>
      </c>
      <c r="G29" s="305" t="str">
        <f>'Womens Meet Plans'!C26</f>
        <v>#REF!</v>
      </c>
      <c r="H29" s="337" t="str">
        <f>'Womens Meet Plans'!D26</f>
        <v>#REF!</v>
      </c>
      <c r="I29" s="337">
        <f>'Womens Meet Plans'!E26</f>
        <v>127.5</v>
      </c>
      <c r="J29" s="337" t="str">
        <f>'Womens Meet Plans'!F26</f>
        <v>#REF!</v>
      </c>
      <c r="K29" s="337" t="str">
        <f>'Womens Meet Plans'!G26</f>
        <v>#REF!</v>
      </c>
      <c r="L29" s="337" t="str">
        <f>'Womens Meet Plans'!H26</f>
        <v>#REF!</v>
      </c>
      <c r="M29" s="337" t="str">
        <f>'Womens Meet Plans'!I26</f>
        <v>#REF!</v>
      </c>
      <c r="N29" s="337" t="str">
        <f>'Womens Meet Plans'!J26</f>
        <v>#REF!</v>
      </c>
      <c r="O29" s="337">
        <f>'Womens Meet Plans'!K26</f>
        <v>105</v>
      </c>
      <c r="P29" s="337" t="str">
        <f>'Womens Meet Plans'!L26</f>
        <v>#REF!</v>
      </c>
      <c r="Q29" s="337" t="str">
        <f>'Womens Meet Plans'!M26</f>
        <v>#REF!</v>
      </c>
      <c r="R29" s="337">
        <f>'Womens Meet Plans'!N26</f>
        <v>142.5</v>
      </c>
      <c r="S29" s="337" t="str">
        <f>'Womens Meet Plans'!O26</f>
        <v>#REF!</v>
      </c>
      <c r="T29" s="337" t="str">
        <f>'Womens Meet Plans'!P26</f>
        <v>#REF!</v>
      </c>
      <c r="U29" s="306" t="str">
        <f>'Womens Meet Plans'!Q26</f>
        <v>#REF!</v>
      </c>
      <c r="V29" s="338" t="str">
        <f>'Womens Meet Plans'!R26</f>
        <v>#REF!</v>
      </c>
      <c r="W29" s="337">
        <f>'Womens Meet Plans'!S26</f>
        <v>147.5</v>
      </c>
      <c r="X29" s="337" t="str">
        <f>'Womens Meet Plans'!T26</f>
        <v>#REF!</v>
      </c>
      <c r="Y29" s="337">
        <f>'Womens Meet Plans'!U26</f>
        <v>150</v>
      </c>
      <c r="Z29" s="337" t="str">
        <f>'Womens Meet Plans'!V26</f>
        <v>#REF!</v>
      </c>
      <c r="AA29" s="337">
        <f>'Womens Meet Plans'!W26</f>
        <v>127.5</v>
      </c>
      <c r="AB29" s="337">
        <f>'Womens Meet Plans'!X26</f>
        <v>130</v>
      </c>
    </row>
  </sheetData>
  <mergeCells count="6">
    <mergeCell ref="E3:F3"/>
    <mergeCell ref="A5:A12"/>
    <mergeCell ref="E5:F5"/>
    <mergeCell ref="A14:A21"/>
    <mergeCell ref="E14:F14"/>
    <mergeCell ref="A23:A28"/>
  </mergeCells>
  <hyperlinks>
    <hyperlink r:id="rId2" ref="G4"/>
    <hyperlink r:id="rId3" ref="H4"/>
    <hyperlink r:id="rId4" ref="I4"/>
    <hyperlink r:id="rId5" location="gid=0" ref="J4"/>
    <hyperlink r:id="rId6" ref="K4"/>
    <hyperlink r:id="rId7" ref="L4"/>
    <hyperlink r:id="rId8" ref="M4"/>
    <hyperlink r:id="rId9" ref="N4"/>
    <hyperlink r:id="rId10" ref="O4"/>
    <hyperlink r:id="rId11" ref="P4"/>
    <hyperlink r:id="rId12" ref="Q4"/>
    <hyperlink r:id="rId13" ref="R4"/>
    <hyperlink r:id="rId14" ref="S4"/>
    <hyperlink r:id="rId15" ref="T4"/>
    <hyperlink r:id="rId16" location="gid=0" ref="U4"/>
    <hyperlink r:id="rId17" ref="V4"/>
    <hyperlink r:id="rId18" ref="W4"/>
    <hyperlink r:id="rId19" ref="X4"/>
    <hyperlink r:id="rId20" ref="Y4"/>
    <hyperlink r:id="rId21" ref="Z4"/>
    <hyperlink r:id="rId22" ref="AA4"/>
    <hyperlink r:id="rId23" ref="AB4"/>
  </hyperlinks>
  <drawing r:id="rId24"/>
  <legacyDrawing r:id="rId2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8.88"/>
    <col customWidth="1" hidden="1" min="2" max="2" width="23.5"/>
    <col customWidth="1" min="3" max="16" width="9.13"/>
  </cols>
  <sheetData>
    <row r="1" hidden="1">
      <c r="A1" s="221"/>
      <c r="B1" s="221"/>
      <c r="C1" s="339" t="s">
        <v>343</v>
      </c>
      <c r="D1" s="340" t="s">
        <v>113</v>
      </c>
      <c r="E1" s="226" t="s">
        <v>909</v>
      </c>
      <c r="F1" s="226" t="s">
        <v>910</v>
      </c>
      <c r="G1" s="226" t="s">
        <v>369</v>
      </c>
      <c r="H1" s="226" t="s">
        <v>111</v>
      </c>
      <c r="I1" s="226" t="s">
        <v>911</v>
      </c>
      <c r="J1" s="226" t="s">
        <v>115</v>
      </c>
      <c r="K1" s="226" t="s">
        <v>373</v>
      </c>
      <c r="L1" s="226" t="s">
        <v>117</v>
      </c>
      <c r="M1" s="226" t="s">
        <v>121</v>
      </c>
      <c r="N1" s="226" t="s">
        <v>119</v>
      </c>
      <c r="O1" s="226" t="s">
        <v>462</v>
      </c>
      <c r="P1" s="226" t="s">
        <v>191</v>
      </c>
    </row>
    <row r="2">
      <c r="A2" s="224"/>
      <c r="B2" s="225"/>
      <c r="C2" s="226" t="s">
        <v>141</v>
      </c>
      <c r="D2" s="226" t="s">
        <v>113</v>
      </c>
      <c r="E2" s="226" t="s">
        <v>909</v>
      </c>
      <c r="F2" s="226" t="s">
        <v>910</v>
      </c>
      <c r="G2" s="226" t="s">
        <v>912</v>
      </c>
      <c r="H2" s="226" t="s">
        <v>913</v>
      </c>
      <c r="I2" s="226" t="s">
        <v>911</v>
      </c>
      <c r="J2" s="226" t="s">
        <v>115</v>
      </c>
      <c r="K2" s="226" t="s">
        <v>914</v>
      </c>
      <c r="L2" s="226" t="s">
        <v>298</v>
      </c>
      <c r="M2" s="226" t="s">
        <v>121</v>
      </c>
      <c r="N2" s="226" t="s">
        <v>119</v>
      </c>
      <c r="O2" s="226" t="s">
        <v>915</v>
      </c>
      <c r="P2" s="226" t="s">
        <v>191</v>
      </c>
    </row>
    <row r="3">
      <c r="A3" s="228" t="s">
        <v>808</v>
      </c>
      <c r="B3" s="229"/>
      <c r="C3" s="230" t="str">
        <f t="array" ref="C3">INDEX(Overview!$F:$F,MATCH(C$1,Overview!$A:$A,0))</f>
        <v>#N/A</v>
      </c>
      <c r="D3" s="230" t="str">
        <f t="array" ref="D3">INDEX(Overview!$F:$F,MATCH(D$1,Overview!$A:$A,0))</f>
        <v>3 - Sat</v>
      </c>
      <c r="E3" s="230" t="str">
        <f t="array" ref="E3">INDEX(Overview!$F:$F,MATCH(E$1,Overview!$A:$A,0))</f>
        <v>#N/A</v>
      </c>
      <c r="F3" s="230" t="str">
        <f t="array" ref="F3">INDEX(Overview!$F:$F,MATCH(F$1,Overview!$A:$A,0))</f>
        <v>#N/A</v>
      </c>
      <c r="G3" s="230" t="str">
        <f t="array" ref="G3">INDEX(Overview!$F:$F,MATCH(G$1,Overview!$A:$A,0))</f>
        <v>#N/A</v>
      </c>
      <c r="H3" s="230" t="str">
        <f t="array" ref="H3">INDEX(Overview!$F:$F,MATCH(H$1,Overview!$A:$A,0))</f>
        <v>3 - Sat</v>
      </c>
      <c r="I3" s="230" t="str">
        <f t="array" ref="I3">INDEX(Overview!$F:$F,MATCH(I$1,Overview!$A:$A,0))</f>
        <v>#N/A</v>
      </c>
      <c r="J3" s="230" t="str">
        <f t="array" ref="J3">INDEX(Overview!$F:$F,MATCH(J$1,Overview!$A:$A,0))</f>
        <v>3 - Sat</v>
      </c>
      <c r="K3" s="230" t="str">
        <f t="array" ref="K3">INDEX(Overview!$F:$F,MATCH(K$1,Overview!$A:$A,0))</f>
        <v>#N/A</v>
      </c>
      <c r="L3" s="230" t="str">
        <f t="array" ref="L3">INDEX(Overview!$F:$F,MATCH(L$1,Overview!$A:$A,0))</f>
        <v>3 - Sat</v>
      </c>
      <c r="M3" s="230" t="str">
        <f t="array" ref="M3">INDEX(Overview!$F:$F,MATCH(M$1,Overview!$A:$A,0))</f>
        <v>4 - Sun</v>
      </c>
      <c r="N3" s="230" t="str">
        <f t="array" ref="N3">INDEX(Overview!$F:$F,MATCH(N$1,Overview!$A:$A,0))</f>
        <v>4 - Sun</v>
      </c>
      <c r="O3" s="230" t="str">
        <f t="array" ref="O3">INDEX(Overview!$F:$F,MATCH(O$1,Overview!$A:$A,0))</f>
        <v>#N/A</v>
      </c>
      <c r="P3" s="230" t="str">
        <f t="array" ref="P3">INDEX(Overview!$F:$F,MATCH(P$1,Overview!$A:$A,0))</f>
        <v>#N/A</v>
      </c>
    </row>
    <row r="4">
      <c r="A4" s="228" t="s">
        <v>809</v>
      </c>
      <c r="B4" s="229"/>
      <c r="C4" s="230" t="str">
        <f t="array" ref="C4">INDEX(Overview!$G:$G,MATCH(C$1,Overview!$A:$A,0))</f>
        <v>#N/A</v>
      </c>
      <c r="D4" s="230">
        <f t="array" ref="D4">INDEX(Overview!$G:$G,MATCH(D$1,Overview!$A:$A,0))</f>
        <v>3</v>
      </c>
      <c r="E4" s="230" t="str">
        <f t="array" ref="E4">INDEX(Overview!$G:$G,MATCH(E$1,Overview!$A:$A,0))</f>
        <v>#N/A</v>
      </c>
      <c r="F4" s="230" t="str">
        <f t="array" ref="F4">INDEX(Overview!$G:$G,MATCH(F$1,Overview!$A:$A,0))</f>
        <v>#N/A</v>
      </c>
      <c r="G4" s="230" t="str">
        <f t="array" ref="G4">INDEX(Overview!$G:$G,MATCH(G$1,Overview!$A:$A,0))</f>
        <v>#N/A</v>
      </c>
      <c r="H4" s="230">
        <f t="array" ref="H4">INDEX(Overview!$G:$G,MATCH(H$1,Overview!$A:$A,0))</f>
        <v>3</v>
      </c>
      <c r="I4" s="230" t="str">
        <f t="array" ref="I4">INDEX(Overview!$G:$G,MATCH(I$1,Overview!$A:$A,0))</f>
        <v>#N/A</v>
      </c>
      <c r="J4" s="230">
        <f t="array" ref="J4">INDEX(Overview!$G:$G,MATCH(J$1,Overview!$A:$A,0))</f>
        <v>3</v>
      </c>
      <c r="K4" s="230" t="str">
        <f t="array" ref="K4">INDEX(Overview!$G:$G,MATCH(K$1,Overview!$A:$A,0))</f>
        <v>#N/A</v>
      </c>
      <c r="L4" s="230">
        <f t="array" ref="L4">INDEX(Overview!$G:$G,MATCH(L$1,Overview!$A:$A,0))</f>
        <v>3</v>
      </c>
      <c r="M4" s="230">
        <f t="array" ref="M4">INDEX(Overview!$G:$G,MATCH(M$1,Overview!$A:$A,0))</f>
        <v>2</v>
      </c>
      <c r="N4" s="230">
        <f t="array" ref="N4">INDEX(Overview!$G:$G,MATCH(N$1,Overview!$A:$A,0))</f>
        <v>2</v>
      </c>
      <c r="O4" s="230" t="str">
        <f t="array" ref="O4">INDEX(Overview!$G:$G,MATCH(O$1,Overview!$A:$A,0))</f>
        <v>#N/A</v>
      </c>
      <c r="P4" s="230" t="str">
        <f t="array" ref="P4">INDEX(Overview!$G:$G,MATCH(P$1,Overview!$A:$A,0))</f>
        <v>#N/A</v>
      </c>
    </row>
    <row r="5">
      <c r="A5" s="228" t="s">
        <v>810</v>
      </c>
      <c r="B5" s="229"/>
      <c r="C5" s="230" t="str">
        <f t="array" ref="C5">INDEX(Overview!$I:$I,MATCH(C$1,Overview!$A:$A,0))</f>
        <v>#N/A</v>
      </c>
      <c r="D5" s="230" t="str">
        <f t="array" ref="D5">INDEX(Overview!$I:$I,MATCH(D$1,Overview!$A:$A,0))</f>
        <v/>
      </c>
      <c r="E5" s="230" t="str">
        <f t="array" ref="E5">INDEX(Overview!$I:$I,MATCH(E$1,Overview!$A:$A,0))</f>
        <v>#N/A</v>
      </c>
      <c r="F5" s="230" t="str">
        <f t="array" ref="F5">INDEX(Overview!$I:$I,MATCH(F$1,Overview!$A:$A,0))</f>
        <v>#N/A</v>
      </c>
      <c r="G5" s="230" t="str">
        <f t="array" ref="G5">INDEX(Overview!$I:$I,MATCH(G$1,Overview!$A:$A,0))</f>
        <v>#N/A</v>
      </c>
      <c r="H5" s="230" t="str">
        <f t="array" ref="H5">INDEX(Overview!$I:$I,MATCH(H$1,Overview!$A:$A,0))</f>
        <v/>
      </c>
      <c r="I5" s="230" t="str">
        <f t="array" ref="I5">INDEX(Overview!$I:$I,MATCH(I$1,Overview!$A:$A,0))</f>
        <v>#N/A</v>
      </c>
      <c r="J5" s="230" t="str">
        <f t="array" ref="J5">INDEX(Overview!$I:$I,MATCH(J$1,Overview!$A:$A,0))</f>
        <v/>
      </c>
      <c r="K5" s="230" t="str">
        <f t="array" ref="K5">INDEX(Overview!$I:$I,MATCH(K$1,Overview!$A:$A,0))</f>
        <v>#N/A</v>
      </c>
      <c r="L5" s="230" t="str">
        <f t="array" ref="L5">INDEX(Overview!$I:$I,MATCH(L$1,Overview!$A:$A,0))</f>
        <v/>
      </c>
      <c r="M5" s="230" t="str">
        <f t="array" ref="M5">INDEX(Overview!$I:$I,MATCH(M$1,Overview!$A:$A,0))</f>
        <v/>
      </c>
      <c r="N5" s="230" t="str">
        <f t="array" ref="N5">INDEX(Overview!$I:$I,MATCH(N$1,Overview!$A:$A,0))</f>
        <v/>
      </c>
      <c r="O5" s="230" t="str">
        <f t="array" ref="O5">INDEX(Overview!$I:$I,MATCH(O$1,Overview!$A:$A,0))</f>
        <v>#N/A</v>
      </c>
      <c r="P5" s="230" t="str">
        <f t="array" ref="P5">INDEX(Overview!$I:$I,MATCH(P$1,Overview!$A:$A,0))</f>
        <v>#N/A</v>
      </c>
    </row>
    <row r="6">
      <c r="A6" s="228" t="s">
        <v>811</v>
      </c>
      <c r="B6" s="229"/>
      <c r="C6" s="230" t="str">
        <f t="array" ref="C6">INDEX(Overview!$H:$H,MATCH(C$1,Overview!$A:$A,0))</f>
        <v>#N/A</v>
      </c>
      <c r="D6" s="230" t="str">
        <f t="array" ref="D6">INDEX(Overview!$H:$H,MATCH(D$1,Overview!$A:$A,0))</f>
        <v/>
      </c>
      <c r="E6" s="230" t="str">
        <f t="array" ref="E6">INDEX(Overview!$H:$H,MATCH(E$1,Overview!$A:$A,0))</f>
        <v>#N/A</v>
      </c>
      <c r="F6" s="230" t="str">
        <f t="array" ref="F6">INDEX(Overview!$H:$H,MATCH(F$1,Overview!$A:$A,0))</f>
        <v>#N/A</v>
      </c>
      <c r="G6" s="230" t="str">
        <f t="array" ref="G6">INDEX(Overview!$H:$H,MATCH(G$1,Overview!$A:$A,0))</f>
        <v>#N/A</v>
      </c>
      <c r="H6" s="230" t="str">
        <f t="array" ref="H6">INDEX(Overview!$H:$H,MATCH(H$1,Overview!$A:$A,0))</f>
        <v/>
      </c>
      <c r="I6" s="230" t="str">
        <f t="array" ref="I6">INDEX(Overview!$H:$H,MATCH(I$1,Overview!$A:$A,0))</f>
        <v>#N/A</v>
      </c>
      <c r="J6" s="230" t="str">
        <f t="array" ref="J6">INDEX(Overview!$H:$H,MATCH(J$1,Overview!$A:$A,0))</f>
        <v/>
      </c>
      <c r="K6" s="230" t="str">
        <f t="array" ref="K6">INDEX(Overview!$H:$H,MATCH(K$1,Overview!$A:$A,0))</f>
        <v>#N/A</v>
      </c>
      <c r="L6" s="230" t="str">
        <f t="array" ref="L6">INDEX(Overview!$H:$H,MATCH(L$1,Overview!$A:$A,0))</f>
        <v/>
      </c>
      <c r="M6" s="230" t="str">
        <f t="array" ref="M6">INDEX(Overview!$H:$H,MATCH(M$1,Overview!$A:$A,0))</f>
        <v/>
      </c>
      <c r="N6" s="230" t="str">
        <f t="array" ref="N6">INDEX(Overview!$H:$H,MATCH(N$1,Overview!$A:$A,0))</f>
        <v/>
      </c>
      <c r="O6" s="230" t="str">
        <f t="array" ref="O6">INDEX(Overview!$H:$H,MATCH(O$1,Overview!$A:$A,0))</f>
        <v>#N/A</v>
      </c>
      <c r="P6" s="230" t="str">
        <f t="array" ref="P6">INDEX(Overview!$H:$H,MATCH(P$1,Overview!$A:$A,0))</f>
        <v>#N/A</v>
      </c>
    </row>
    <row r="7">
      <c r="A7" s="228"/>
      <c r="B7" s="229"/>
      <c r="C7" s="230"/>
      <c r="D7" s="230"/>
      <c r="E7" s="230"/>
      <c r="F7" s="230"/>
      <c r="G7" s="230"/>
      <c r="H7" s="230"/>
      <c r="I7" s="230"/>
      <c r="J7" s="230"/>
      <c r="K7" s="230"/>
      <c r="L7" s="231"/>
      <c r="M7" s="230"/>
      <c r="N7" s="230"/>
      <c r="O7" s="230"/>
      <c r="P7" s="230"/>
    </row>
    <row r="8" hidden="1">
      <c r="A8" s="221"/>
      <c r="B8" s="229"/>
      <c r="C8" s="233" t="s">
        <v>916</v>
      </c>
      <c r="D8" s="233" t="s">
        <v>917</v>
      </c>
      <c r="E8" s="233" t="s">
        <v>918</v>
      </c>
      <c r="F8" s="233" t="s">
        <v>919</v>
      </c>
      <c r="G8" s="233" t="s">
        <v>920</v>
      </c>
      <c r="H8" s="233" t="s">
        <v>921</v>
      </c>
      <c r="I8" s="233" t="s">
        <v>922</v>
      </c>
      <c r="J8" s="233" t="s">
        <v>923</v>
      </c>
      <c r="K8" s="233" t="s">
        <v>924</v>
      </c>
      <c r="L8" s="233" t="s">
        <v>925</v>
      </c>
      <c r="M8" s="233" t="s">
        <v>926</v>
      </c>
      <c r="N8" s="233" t="s">
        <v>927</v>
      </c>
      <c r="O8" s="341" t="s">
        <v>928</v>
      </c>
      <c r="P8" s="233" t="s">
        <v>929</v>
      </c>
    </row>
    <row r="9" hidden="1">
      <c r="A9" s="221"/>
      <c r="B9" s="229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</row>
    <row r="10">
      <c r="A10" s="236" t="s">
        <v>834</v>
      </c>
      <c r="B10" s="237" t="s">
        <v>930</v>
      </c>
      <c r="C10" s="238">
        <f>IFERROR(__xludf.DUMMYFUNCTION("IMPORTRANGE(C$8,$B10)"),185.0)</f>
        <v>185</v>
      </c>
      <c r="D10" s="238">
        <f>IFERROR(__xludf.DUMMYFUNCTION("IMPORTRANGE(D$8,$B10)"),220.0)</f>
        <v>220</v>
      </c>
      <c r="E10" s="238">
        <f>IFERROR(__xludf.DUMMYFUNCTION("IMPORTRANGE(E$8,$B10)"),220.0)</f>
        <v>220</v>
      </c>
      <c r="F10" s="238">
        <f>IFERROR(__xludf.DUMMYFUNCTION("IMPORTRANGE(F$8,$B10)"),230.0)</f>
        <v>230</v>
      </c>
      <c r="G10" s="238">
        <f>IFERROR(__xludf.DUMMYFUNCTION("IMPORTRANGE(G$8,$B10)"),237.5)</f>
        <v>237.5</v>
      </c>
      <c r="H10" s="238">
        <f>IFERROR(__xludf.DUMMYFUNCTION("IMPORTRANGE(H$8,$B10)"),225.0)</f>
        <v>225</v>
      </c>
      <c r="I10" s="238">
        <f>IFERROR(__xludf.DUMMYFUNCTION("IMPORTRANGE(I$8,$B10)"),225.0)</f>
        <v>225</v>
      </c>
      <c r="J10" s="238">
        <f>IFERROR(__xludf.DUMMYFUNCTION("IMPORTRANGE(J$8,$B10)"),272.5)</f>
        <v>272.5</v>
      </c>
      <c r="K10" s="238">
        <f>IFERROR(__xludf.DUMMYFUNCTION("IMPORTRANGE(K$8,$B10)"),257.5)</f>
        <v>257.5</v>
      </c>
      <c r="L10" s="238">
        <f>IFERROR(__xludf.DUMMYFUNCTION("IMPORTRANGE(L$8,$B10)"),280.0)</f>
        <v>280</v>
      </c>
      <c r="M10" s="238">
        <f>IFERROR(__xludf.DUMMYFUNCTION("IMPORTRANGE(M$8,$B10)"),270.0)</f>
        <v>270</v>
      </c>
      <c r="N10" s="238">
        <f>IFERROR(__xludf.DUMMYFUNCTION("IMPORTRANGE(N$8,$B10)"),270.0)</f>
        <v>270</v>
      </c>
      <c r="O10" s="238">
        <f>IFERROR(__xludf.DUMMYFUNCTION("IMPORTRANGE(O$8,$B10)"),257.5)</f>
        <v>257.5</v>
      </c>
      <c r="P10" s="238">
        <f>IFERROR(__xludf.DUMMYFUNCTION("IMPORTRANGE(P$8,$B10)"),220.0)</f>
        <v>220</v>
      </c>
    </row>
    <row r="11">
      <c r="A11" s="236" t="s">
        <v>836</v>
      </c>
      <c r="B11" s="237" t="s">
        <v>931</v>
      </c>
      <c r="C11" s="238">
        <f>IFERROR(__xludf.DUMMYFUNCTION("IMPORTRANGE(C$8,$B11)"),197.5)</f>
        <v>197.5</v>
      </c>
      <c r="D11" s="238">
        <f>IFERROR(__xludf.DUMMYFUNCTION("IMPORTRANGE(D$8,$B11)"),235.0)</f>
        <v>235</v>
      </c>
      <c r="E11" s="238">
        <f>IFERROR(__xludf.DUMMYFUNCTION("IMPORTRANGE(E$8,$B11)"),235.0)</f>
        <v>235</v>
      </c>
      <c r="F11" s="238">
        <f>IFERROR(__xludf.DUMMYFUNCTION("IMPORTRANGE(F$8,$B11)"),242.5)</f>
        <v>242.5</v>
      </c>
      <c r="G11" s="238">
        <f>IFERROR(__xludf.DUMMYFUNCTION("IMPORTRANGE(G$8,$B11)"),252.5)</f>
        <v>252.5</v>
      </c>
      <c r="H11" s="238">
        <f>IFERROR(__xludf.DUMMYFUNCTION("IMPORTRANGE(H$8,$B11)"),240.0)</f>
        <v>240</v>
      </c>
      <c r="I11" s="238">
        <f>IFERROR(__xludf.DUMMYFUNCTION("IMPORTRANGE(I$8,$B11)"),237.5)</f>
        <v>237.5</v>
      </c>
      <c r="J11" s="238">
        <f>IFERROR(__xludf.DUMMYFUNCTION("IMPORTRANGE(J$8,$B11)"),290.0)</f>
        <v>290</v>
      </c>
      <c r="K11" s="238">
        <f>IFERROR(__xludf.DUMMYFUNCTION("IMPORTRANGE(K$8,$B11)"),270.0)</f>
        <v>270</v>
      </c>
      <c r="L11" s="238">
        <f>IFERROR(__xludf.DUMMYFUNCTION("IMPORTRANGE(L$8,$B11)"),297.5)</f>
        <v>297.5</v>
      </c>
      <c r="M11" s="238">
        <f>IFERROR(__xludf.DUMMYFUNCTION("IMPORTRANGE(M$8,$B11)"),287.5)</f>
        <v>287.5</v>
      </c>
      <c r="N11" s="238">
        <f>IFERROR(__xludf.DUMMYFUNCTION("IMPORTRANGE(N$8,$B11)"),285.0)</f>
        <v>285</v>
      </c>
      <c r="O11" s="238">
        <f>IFERROR(__xludf.DUMMYFUNCTION("IMPORTRANGE(O$8,$B11)"),272.5)</f>
        <v>272.5</v>
      </c>
      <c r="P11" s="238">
        <f>IFERROR(__xludf.DUMMYFUNCTION("IMPORTRANGE(P$8,$B11)"),232.5)</f>
        <v>232.5</v>
      </c>
    </row>
    <row r="12" collapsed="1">
      <c r="A12" s="236" t="s">
        <v>838</v>
      </c>
      <c r="B12" s="237" t="s">
        <v>932</v>
      </c>
      <c r="C12" s="238">
        <f>IFERROR(__xludf.DUMMYFUNCTION("IMPORTRANGE(C$8,$B12)"),205.0)</f>
        <v>205</v>
      </c>
      <c r="D12" s="238">
        <f>IFERROR(__xludf.DUMMYFUNCTION("IMPORTRANGE(D$8,$B12)"),245.0)</f>
        <v>245</v>
      </c>
      <c r="E12" s="238">
        <f>IFERROR(__xludf.DUMMYFUNCTION("IMPORTRANGE(E$8,$B12)"),245.0)</f>
        <v>245</v>
      </c>
      <c r="F12" s="238">
        <f>IFERROR(__xludf.DUMMYFUNCTION("IMPORTRANGE(F$8,$B12)"),255.0)</f>
        <v>255</v>
      </c>
      <c r="G12" s="238">
        <f>IFERROR(__xludf.DUMMYFUNCTION("IMPORTRANGE(G$8,$B12)"),265.0)</f>
        <v>265</v>
      </c>
      <c r="H12" s="238">
        <f>IFERROR(__xludf.DUMMYFUNCTION("IMPORTRANGE(H$8,$B12)"),250.0)</f>
        <v>250</v>
      </c>
      <c r="I12" s="238">
        <f>IFERROR(__xludf.DUMMYFUNCTION("IMPORTRANGE(I$8,$B12)"),247.5)</f>
        <v>247.5</v>
      </c>
      <c r="J12" s="238">
        <f>IFERROR(__xludf.DUMMYFUNCTION("IMPORTRANGE(J$8,$B12)"),302.5)</f>
        <v>302.5</v>
      </c>
      <c r="K12" s="238">
        <f>IFERROR(__xludf.DUMMYFUNCTION("IMPORTRANGE(K$8,$B12)"),285.0)</f>
        <v>285</v>
      </c>
      <c r="L12" s="238">
        <f>IFERROR(__xludf.DUMMYFUNCTION("IMPORTRANGE(L$8,$B12)"),310.0)</f>
        <v>310</v>
      </c>
      <c r="M12" s="238">
        <f>IFERROR(__xludf.DUMMYFUNCTION("IMPORTRANGE(M$8,$B12)"),300.0)</f>
        <v>300</v>
      </c>
      <c r="N12" s="238">
        <f>IFERROR(__xludf.DUMMYFUNCTION("IMPORTRANGE(N$8,$B12)"),295.0)</f>
        <v>295</v>
      </c>
      <c r="O12" s="238">
        <f>IFERROR(__xludf.DUMMYFUNCTION("IMPORTRANGE(O$8,$B12)"),285.0)</f>
        <v>285</v>
      </c>
      <c r="P12" s="238">
        <f>IFERROR(__xludf.DUMMYFUNCTION("IMPORTRANGE(P$8,$B12)"),245.0)</f>
        <v>245</v>
      </c>
    </row>
    <row r="13" hidden="1" outlineLevel="1">
      <c r="A13" s="228" t="s">
        <v>840</v>
      </c>
      <c r="B13" s="237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</row>
    <row r="14" hidden="1" outlineLevel="1">
      <c r="A14" s="228" t="s">
        <v>841</v>
      </c>
      <c r="B14" s="237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</row>
    <row r="15" hidden="1" outlineLevel="1">
      <c r="A15" s="228" t="s">
        <v>842</v>
      </c>
      <c r="B15" s="237" t="s">
        <v>933</v>
      </c>
      <c r="C15" s="238">
        <f>IFERROR(__xludf.DUMMYFUNCTION("IMPORTRANGE(C$8,$B15)"),205.0)</f>
        <v>205</v>
      </c>
      <c r="D15" s="238">
        <f>IFERROR(__xludf.DUMMYFUNCTION("IMPORTRANGE(D$8,$B15)"),245.0)</f>
        <v>245</v>
      </c>
      <c r="E15" s="238">
        <f>IFERROR(__xludf.DUMMYFUNCTION("IMPORTRANGE(E$8,$B15)"),245.0)</f>
        <v>245</v>
      </c>
      <c r="F15" s="238">
        <f>IFERROR(__xludf.DUMMYFUNCTION("IMPORTRANGE(F$8,$B15)"),255.0)</f>
        <v>255</v>
      </c>
      <c r="G15" s="238">
        <f>IFERROR(__xludf.DUMMYFUNCTION("IMPORTRANGE(G$8,$B15)"),265.0)</f>
        <v>265</v>
      </c>
      <c r="H15" s="238">
        <f>IFERROR(__xludf.DUMMYFUNCTION("IMPORTRANGE(H$8,$B15)"),250.0)</f>
        <v>250</v>
      </c>
      <c r="I15" s="238">
        <f>IFERROR(__xludf.DUMMYFUNCTION("IMPORTRANGE(I$8,$B15)"),247.5)</f>
        <v>247.5</v>
      </c>
      <c r="J15" s="238">
        <f>IFERROR(__xludf.DUMMYFUNCTION("IMPORTRANGE(J$8,$B15)"),302.5)</f>
        <v>302.5</v>
      </c>
      <c r="K15" s="238">
        <f>IFERROR(__xludf.DUMMYFUNCTION("IMPORTRANGE(K$8,$B15)"),285.0)</f>
        <v>285</v>
      </c>
      <c r="L15" s="238">
        <f>IFERROR(__xludf.DUMMYFUNCTION("IMPORTRANGE(L$8,$B15)"),310.0)</f>
        <v>310</v>
      </c>
      <c r="M15" s="238">
        <f>IFERROR(__xludf.DUMMYFUNCTION("IMPORTRANGE(M$8,$B15)"),300.0)</f>
        <v>300</v>
      </c>
      <c r="N15" s="238">
        <f>IFERROR(__xludf.DUMMYFUNCTION("IMPORTRANGE(N$8,$B15)"),295.0)</f>
        <v>295</v>
      </c>
      <c r="O15" s="238">
        <f>IFERROR(__xludf.DUMMYFUNCTION("IMPORTRANGE(O$8,$B15)"),285.0)</f>
        <v>285</v>
      </c>
      <c r="P15" s="238">
        <f>IFERROR(__xludf.DUMMYFUNCTION("IMPORTRANGE(P$8,$B15)"),245.0)</f>
        <v>245</v>
      </c>
    </row>
    <row r="16" hidden="1" outlineLevel="1">
      <c r="A16" s="228"/>
      <c r="B16" s="237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</row>
    <row r="17">
      <c r="A17" s="236"/>
      <c r="B17" s="237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</row>
    <row r="18">
      <c r="A18" s="236" t="s">
        <v>849</v>
      </c>
      <c r="B18" s="237" t="s">
        <v>934</v>
      </c>
      <c r="C18" s="238">
        <f>IFERROR(__xludf.DUMMYFUNCTION("IMPORTRANGE(C$8,$B18)"),105.0)</f>
        <v>105</v>
      </c>
      <c r="D18" s="238">
        <f>IFERROR(__xludf.DUMMYFUNCTION("IMPORTRANGE(D$8,$B18)"),140.0)</f>
        <v>140</v>
      </c>
      <c r="E18" s="238">
        <f>IFERROR(__xludf.DUMMYFUNCTION("IMPORTRANGE(E$8,$B18)"),150.0)</f>
        <v>150</v>
      </c>
      <c r="F18" s="238">
        <f>IFERROR(__xludf.DUMMYFUNCTION("IMPORTRANGE(F$8,$B18)"),115.0)</f>
        <v>115</v>
      </c>
      <c r="G18" s="238">
        <f>IFERROR(__xludf.DUMMYFUNCTION("IMPORTRANGE(G$8,$B18)"),147.5)</f>
        <v>147.5</v>
      </c>
      <c r="H18" s="238">
        <f>IFERROR(__xludf.DUMMYFUNCTION("IMPORTRANGE(H$8,$B18)"),125.0)</f>
        <v>125</v>
      </c>
      <c r="I18" s="238">
        <f>IFERROR(__xludf.DUMMYFUNCTION("IMPORTRANGE(I$8,$B18)"),135.0)</f>
        <v>135</v>
      </c>
      <c r="J18" s="238">
        <f>IFERROR(__xludf.DUMMYFUNCTION("IMPORTRANGE(J$8,$B18)"),167.5)</f>
        <v>167.5</v>
      </c>
      <c r="K18" s="238">
        <f>IFERROR(__xludf.DUMMYFUNCTION("IMPORTRANGE(K$8,$B18)"),145.0)</f>
        <v>145</v>
      </c>
      <c r="L18" s="238">
        <f>IFERROR(__xludf.DUMMYFUNCTION("IMPORTRANGE(L$8,$B18)"),170.0)</f>
        <v>170</v>
      </c>
      <c r="M18" s="238">
        <f>IFERROR(__xludf.DUMMYFUNCTION("IMPORTRANGE(M$8,$B18)"),165.0)</f>
        <v>165</v>
      </c>
      <c r="N18" s="238">
        <f>IFERROR(__xludf.DUMMYFUNCTION("IMPORTRANGE(N$8,$B18)"),172.5)</f>
        <v>172.5</v>
      </c>
      <c r="O18" s="238">
        <f>IFERROR(__xludf.DUMMYFUNCTION("IMPORTRANGE(O$8,$B18)"),167.5)</f>
        <v>167.5</v>
      </c>
      <c r="P18" s="238">
        <f>IFERROR(__xludf.DUMMYFUNCTION("IMPORTRANGE(P$8,$B18)"),152.5)</f>
        <v>152.5</v>
      </c>
    </row>
    <row r="19">
      <c r="A19" s="236" t="s">
        <v>851</v>
      </c>
      <c r="B19" s="237" t="s">
        <v>935</v>
      </c>
      <c r="C19" s="238">
        <f>IFERROR(__xludf.DUMMYFUNCTION("IMPORTRANGE(C$8,$B19)"),110.0)</f>
        <v>110</v>
      </c>
      <c r="D19" s="238">
        <f>IFERROR(__xludf.DUMMYFUNCTION("IMPORTRANGE(D$8,$B19)"),145.0)</f>
        <v>145</v>
      </c>
      <c r="E19" s="238">
        <f>IFERROR(__xludf.DUMMYFUNCTION("IMPORTRANGE(E$8,$B19)"),157.5)</f>
        <v>157.5</v>
      </c>
      <c r="F19" s="238">
        <f>IFERROR(__xludf.DUMMYFUNCTION("IMPORTRANGE(F$8,$B19)"),122.5)</f>
        <v>122.5</v>
      </c>
      <c r="G19" s="238">
        <f>IFERROR(__xludf.DUMMYFUNCTION("IMPORTRANGE(G$8,$B19)"),157.5)</f>
        <v>157.5</v>
      </c>
      <c r="H19" s="238">
        <f>IFERROR(__xludf.DUMMYFUNCTION("IMPORTRANGE(H$8,$B19)"),135.0)</f>
        <v>135</v>
      </c>
      <c r="I19" s="238">
        <f>IFERROR(__xludf.DUMMYFUNCTION("IMPORTRANGE(I$8,$B19)"),145.0)</f>
        <v>145</v>
      </c>
      <c r="J19" s="238">
        <f>IFERROR(__xludf.DUMMYFUNCTION("IMPORTRANGE(J$8,$B19)"),175.0)</f>
        <v>175</v>
      </c>
      <c r="K19" s="238">
        <f>IFERROR(__xludf.DUMMYFUNCTION("IMPORTRANGE(K$8,$B19)"),152.5)</f>
        <v>152.5</v>
      </c>
      <c r="L19" s="238">
        <f>IFERROR(__xludf.DUMMYFUNCTION("IMPORTRANGE(L$8,$B19)"),177.5)</f>
        <v>177.5</v>
      </c>
      <c r="M19" s="238">
        <f>IFERROR(__xludf.DUMMYFUNCTION("IMPORTRANGE(M$8,$B19)"),172.5)</f>
        <v>172.5</v>
      </c>
      <c r="N19" s="238">
        <f>IFERROR(__xludf.DUMMYFUNCTION("IMPORTRANGE(N$8,$B19)"),182.5)</f>
        <v>182.5</v>
      </c>
      <c r="O19" s="238">
        <f>IFERROR(__xludf.DUMMYFUNCTION("IMPORTRANGE(O$8,$B19)"),175.0)</f>
        <v>175</v>
      </c>
      <c r="P19" s="238">
        <f>IFERROR(__xludf.DUMMYFUNCTION("IMPORTRANGE(P$8,$B19)"),162.5)</f>
        <v>162.5</v>
      </c>
    </row>
    <row r="20" collapsed="1">
      <c r="A20" s="236" t="s">
        <v>853</v>
      </c>
      <c r="B20" s="237" t="s">
        <v>936</v>
      </c>
      <c r="C20" s="238">
        <f>IFERROR(__xludf.DUMMYFUNCTION("IMPORTRANGE(C$8,$B20)"),112.5)</f>
        <v>112.5</v>
      </c>
      <c r="D20" s="238">
        <f>IFERROR(__xludf.DUMMYFUNCTION("IMPORTRANGE(D$8,$B20)"),150.0)</f>
        <v>150</v>
      </c>
      <c r="E20" s="238">
        <f>IFERROR(__xludf.DUMMYFUNCTION("IMPORTRANGE(E$8,$B20)"),162.5)</f>
        <v>162.5</v>
      </c>
      <c r="F20" s="238">
        <f>IFERROR(__xludf.DUMMYFUNCTION("IMPORTRANGE(F$8,$B20)"),127.5)</f>
        <v>127.5</v>
      </c>
      <c r="G20" s="238">
        <f>IFERROR(__xludf.DUMMYFUNCTION("IMPORTRANGE(G$8,$B20)"),165.0)</f>
        <v>165</v>
      </c>
      <c r="H20" s="238">
        <f>IFERROR(__xludf.DUMMYFUNCTION("IMPORTRANGE(H$8,$B20)"),142.5)</f>
        <v>142.5</v>
      </c>
      <c r="I20" s="238">
        <f>IFERROR(__xludf.DUMMYFUNCTION("IMPORTRANGE(I$8,$B20)"),150.0)</f>
        <v>150</v>
      </c>
      <c r="J20" s="238">
        <f>IFERROR(__xludf.DUMMYFUNCTION("IMPORTRANGE(J$8,$B20)"),180.0)</f>
        <v>180</v>
      </c>
      <c r="K20" s="238">
        <f>IFERROR(__xludf.DUMMYFUNCTION("IMPORTRANGE(K$8,$B20)"),160.0)</f>
        <v>160</v>
      </c>
      <c r="L20" s="238">
        <f>IFERROR(__xludf.DUMMYFUNCTION("IMPORTRANGE(L$8,$B20)"),182.5)</f>
        <v>182.5</v>
      </c>
      <c r="M20" s="238">
        <f>IFERROR(__xludf.DUMMYFUNCTION("IMPORTRANGE(M$8,$B20)"),177.5)</f>
        <v>177.5</v>
      </c>
      <c r="N20" s="238">
        <f>IFERROR(__xludf.DUMMYFUNCTION("IMPORTRANGE(N$8,$B20)"),192.5)</f>
        <v>192.5</v>
      </c>
      <c r="O20" s="238">
        <f>IFERROR(__xludf.DUMMYFUNCTION("IMPORTRANGE(O$8,$B20)"),180.0)</f>
        <v>180</v>
      </c>
      <c r="P20" s="238">
        <f>IFERROR(__xludf.DUMMYFUNCTION("IMPORTRANGE(P$8,$B20)"),170.0)</f>
        <v>170</v>
      </c>
    </row>
    <row r="21" hidden="1" outlineLevel="1">
      <c r="A21" s="228" t="s">
        <v>840</v>
      </c>
      <c r="B21" s="237"/>
      <c r="C21" s="241"/>
      <c r="D21" s="241"/>
      <c r="E21" s="238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</row>
    <row r="22" hidden="1" outlineLevel="1">
      <c r="A22" s="228" t="s">
        <v>841</v>
      </c>
      <c r="B22" s="237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</row>
    <row r="23" hidden="1" outlineLevel="1">
      <c r="A23" s="228" t="s">
        <v>842</v>
      </c>
      <c r="B23" s="237" t="s">
        <v>937</v>
      </c>
      <c r="C23" s="238">
        <f>IFERROR(__xludf.DUMMYFUNCTION("IMPORTRANGE(C$8,$B23)"),112.5)</f>
        <v>112.5</v>
      </c>
      <c r="D23" s="238">
        <f>IFERROR(__xludf.DUMMYFUNCTION("IMPORTRANGE(D$8,$B23)"),150.0)</f>
        <v>150</v>
      </c>
      <c r="E23" s="238">
        <f>IFERROR(__xludf.DUMMYFUNCTION("IMPORTRANGE(E$8,$B23)"),162.5)</f>
        <v>162.5</v>
      </c>
      <c r="F23" s="238">
        <f>IFERROR(__xludf.DUMMYFUNCTION("IMPORTRANGE(F$8,$B23)"),127.5)</f>
        <v>127.5</v>
      </c>
      <c r="G23" s="238">
        <f>IFERROR(__xludf.DUMMYFUNCTION("IMPORTRANGE(G$8,$B23)"),165.0)</f>
        <v>165</v>
      </c>
      <c r="H23" s="238">
        <f>IFERROR(__xludf.DUMMYFUNCTION("IMPORTRANGE(H$8,$B23)"),142.5)</f>
        <v>142.5</v>
      </c>
      <c r="I23" s="238">
        <f>IFERROR(__xludf.DUMMYFUNCTION("IMPORTRANGE(I$8,$B23)"),150.0)</f>
        <v>150</v>
      </c>
      <c r="J23" s="238">
        <f>IFERROR(__xludf.DUMMYFUNCTION("IMPORTRANGE(J$8,$B23)"),180.0)</f>
        <v>180</v>
      </c>
      <c r="K23" s="238">
        <f>IFERROR(__xludf.DUMMYFUNCTION("IMPORTRANGE(K$8,$B23)"),160.0)</f>
        <v>160</v>
      </c>
      <c r="L23" s="238">
        <f>IFERROR(__xludf.DUMMYFUNCTION("IMPORTRANGE(L$8,$B23)"),182.5)</f>
        <v>182.5</v>
      </c>
      <c r="M23" s="238">
        <f>IFERROR(__xludf.DUMMYFUNCTION("IMPORTRANGE(M$8,$B23)"),177.5)</f>
        <v>177.5</v>
      </c>
      <c r="N23" s="238">
        <f>IFERROR(__xludf.DUMMYFUNCTION("IMPORTRANGE(N$8,$B23)"),192.5)</f>
        <v>192.5</v>
      </c>
      <c r="O23" s="238">
        <f>IFERROR(__xludf.DUMMYFUNCTION("IMPORTRANGE(O$8,$B23)"),180.0)</f>
        <v>180</v>
      </c>
      <c r="P23" s="238">
        <f>IFERROR(__xludf.DUMMYFUNCTION("IMPORTRANGE(P$8,$B23)"),170.0)</f>
        <v>170</v>
      </c>
    </row>
    <row r="24" hidden="1" outlineLevel="1">
      <c r="A24" s="228"/>
      <c r="B24" s="237"/>
      <c r="C24" s="241"/>
      <c r="D24" s="241"/>
      <c r="E24" s="241"/>
      <c r="F24" s="241"/>
      <c r="G24" s="241"/>
      <c r="H24" s="241"/>
      <c r="I24" s="241"/>
      <c r="J24" s="241"/>
      <c r="K24" s="244"/>
      <c r="L24" s="241"/>
      <c r="M24" s="238"/>
      <c r="N24" s="241"/>
      <c r="O24" s="241"/>
      <c r="P24" s="241"/>
    </row>
    <row r="25">
      <c r="A25" s="236"/>
      <c r="B25" s="237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</row>
    <row r="26">
      <c r="A26" s="236" t="s">
        <v>856</v>
      </c>
      <c r="B26" s="237" t="s">
        <v>938</v>
      </c>
      <c r="C26" s="238">
        <f>IFERROR(__xludf.DUMMYFUNCTION("IMPORTRANGE(C$8,$B26)"),185.0)</f>
        <v>185</v>
      </c>
      <c r="D26" s="238">
        <f>IFERROR(__xludf.DUMMYFUNCTION("IMPORTRANGE(D$8,$B26)"),265.0)</f>
        <v>265</v>
      </c>
      <c r="E26" s="238">
        <f>IFERROR(__xludf.DUMMYFUNCTION("IMPORTRANGE(E$8,$B26)"),217.5)</f>
        <v>217.5</v>
      </c>
      <c r="F26" s="238">
        <f>IFERROR(__xludf.DUMMYFUNCTION("IMPORTRANGE(F$8,$B26)"),200.0)</f>
        <v>200</v>
      </c>
      <c r="G26" s="238">
        <f>IFERROR(__xludf.DUMMYFUNCTION("IMPORTRANGE(G$8,$B26)"),252.5)</f>
        <v>252.5</v>
      </c>
      <c r="H26" s="238">
        <f>IFERROR(__xludf.DUMMYFUNCTION("IMPORTRANGE(H$8,$B26)"),227.5)</f>
        <v>227.5</v>
      </c>
      <c r="I26" s="238">
        <f>IFERROR(__xludf.DUMMYFUNCTION("IMPORTRANGE(I$8,$B26)"),230.0)</f>
        <v>230</v>
      </c>
      <c r="J26" s="238">
        <f>IFERROR(__xludf.DUMMYFUNCTION("IMPORTRANGE(J$8,$B26)"),235.0)</f>
        <v>235</v>
      </c>
      <c r="K26" s="238">
        <f>IFERROR(__xludf.DUMMYFUNCTION("IMPORTRANGE(K$8,$B26)"),245.0)</f>
        <v>245</v>
      </c>
      <c r="L26" s="238">
        <f>IFERROR(__xludf.DUMMYFUNCTION("IMPORTRANGE(L$8,$B26)"),277.5)</f>
        <v>277.5</v>
      </c>
      <c r="M26" s="238">
        <f>IFERROR(__xludf.DUMMYFUNCTION("IMPORTRANGE(M$8,$B26)"),257.5)</f>
        <v>257.5</v>
      </c>
      <c r="N26" s="238">
        <f>IFERROR(__xludf.DUMMYFUNCTION("IMPORTRANGE(N$8,$B26)"),237.5)</f>
        <v>237.5</v>
      </c>
      <c r="O26" s="238">
        <f>IFERROR(__xludf.DUMMYFUNCTION("IMPORTRANGE(O$8,$B26)"),217.5)</f>
        <v>217.5</v>
      </c>
      <c r="P26" s="238">
        <f>IFERROR(__xludf.DUMMYFUNCTION("IMPORTRANGE(P$8,$B26)"),252.5)</f>
        <v>252.5</v>
      </c>
    </row>
    <row r="27">
      <c r="A27" s="236" t="s">
        <v>858</v>
      </c>
      <c r="B27" s="237" t="s">
        <v>939</v>
      </c>
      <c r="C27" s="238">
        <f>IFERROR(__xludf.DUMMYFUNCTION("IMPORTRANGE(C$8,$B27)"),197.5)</f>
        <v>197.5</v>
      </c>
      <c r="D27" s="238">
        <f>IFERROR(__xludf.DUMMYFUNCTION("IMPORTRANGE(D$8,$B27)"),282.5)</f>
        <v>282.5</v>
      </c>
      <c r="E27" s="238">
        <f>IFERROR(__xludf.DUMMYFUNCTION("IMPORTRANGE(E$8,$B27)"),232.5)</f>
        <v>232.5</v>
      </c>
      <c r="F27" s="238">
        <f>IFERROR(__xludf.DUMMYFUNCTION("IMPORTRANGE(F$8,$B27)"),215.0)</f>
        <v>215</v>
      </c>
      <c r="G27" s="238">
        <f>IFERROR(__xludf.DUMMYFUNCTION("IMPORTRANGE(G$8,$B27)"),265.0)</f>
        <v>265</v>
      </c>
      <c r="H27" s="238">
        <f>IFERROR(__xludf.DUMMYFUNCTION("IMPORTRANGE(H$8,$B27)"),240.0)</f>
        <v>240</v>
      </c>
      <c r="I27" s="238">
        <f>IFERROR(__xludf.DUMMYFUNCTION("IMPORTRANGE(I$8,$B27)"),245.0)</f>
        <v>245</v>
      </c>
      <c r="J27" s="238">
        <f>IFERROR(__xludf.DUMMYFUNCTION("IMPORTRANGE(J$8,$B27)"),250.0)</f>
        <v>250</v>
      </c>
      <c r="K27" s="238">
        <f>IFERROR(__xludf.DUMMYFUNCTION("IMPORTRANGE(K$8,$B27)"),262.5)</f>
        <v>262.5</v>
      </c>
      <c r="L27" s="238">
        <f>IFERROR(__xludf.DUMMYFUNCTION("IMPORTRANGE(L$8,$B27)"),295.0)</f>
        <v>295</v>
      </c>
      <c r="M27" s="238">
        <f>IFERROR(__xludf.DUMMYFUNCTION("IMPORTRANGE(M$8,$B27)"),272.5)</f>
        <v>272.5</v>
      </c>
      <c r="N27" s="238">
        <f>IFERROR(__xludf.DUMMYFUNCTION("IMPORTRANGE(N$8,$B27)"),255.0)</f>
        <v>255</v>
      </c>
      <c r="O27" s="238">
        <f>IFERROR(__xludf.DUMMYFUNCTION("IMPORTRANGE(O$8,$B27)"),232.5)</f>
        <v>232.5</v>
      </c>
      <c r="P27" s="238">
        <f>IFERROR(__xludf.DUMMYFUNCTION("IMPORTRANGE(P$8,$B27)"),265.0)</f>
        <v>265</v>
      </c>
    </row>
    <row r="28" collapsed="1">
      <c r="A28" s="236" t="s">
        <v>860</v>
      </c>
      <c r="B28" s="237" t="s">
        <v>940</v>
      </c>
      <c r="C28" s="238">
        <f>IFERROR(__xludf.DUMMYFUNCTION("IMPORTRANGE(C$8,$B28)"),205.0)</f>
        <v>205</v>
      </c>
      <c r="D28" s="238">
        <f>IFERROR(__xludf.DUMMYFUNCTION("IMPORTRANGE(D$8,$B28)"),295.0)</f>
        <v>295</v>
      </c>
      <c r="E28" s="238">
        <f>IFERROR(__xludf.DUMMYFUNCTION("IMPORTRANGE(E$8,$B28)"),242.5)</f>
        <v>242.5</v>
      </c>
      <c r="F28" s="238">
        <f>IFERROR(__xludf.DUMMYFUNCTION("IMPORTRANGE(F$8,$B28)"),227.5)</f>
        <v>227.5</v>
      </c>
      <c r="G28" s="238">
        <f>IFERROR(__xludf.DUMMYFUNCTION("IMPORTRANGE(G$8,$B28)"),280.0)</f>
        <v>280</v>
      </c>
      <c r="H28" s="238">
        <f>IFERROR(__xludf.DUMMYFUNCTION("IMPORTRANGE(H$8,$B28)"),255.0)</f>
        <v>255</v>
      </c>
      <c r="I28" s="238">
        <f>IFERROR(__xludf.DUMMYFUNCTION("IMPORTRANGE(I$8,$B28)"),255.0)</f>
        <v>255</v>
      </c>
      <c r="J28" s="238">
        <f>IFERROR(__xludf.DUMMYFUNCTION("IMPORTRANGE(J$8,$B28)"),260.0)</f>
        <v>260</v>
      </c>
      <c r="K28" s="238">
        <f>IFERROR(__xludf.DUMMYFUNCTION("IMPORTRANGE(K$8,$B28)"),272.5)</f>
        <v>272.5</v>
      </c>
      <c r="L28" s="238">
        <f>IFERROR(__xludf.DUMMYFUNCTION("IMPORTRANGE(L$8,$B28)"),307.5)</f>
        <v>307.5</v>
      </c>
      <c r="M28" s="238">
        <f>IFERROR(__xludf.DUMMYFUNCTION("IMPORTRANGE(M$8,$B28)"),285.0)</f>
        <v>285</v>
      </c>
      <c r="N28" s="238">
        <f>IFERROR(__xludf.DUMMYFUNCTION("IMPORTRANGE(N$8,$B28)"),265.0)</f>
        <v>265</v>
      </c>
      <c r="O28" s="238">
        <f>IFERROR(__xludf.DUMMYFUNCTION("IMPORTRANGE(O$8,$B28)"),242.5)</f>
        <v>242.5</v>
      </c>
      <c r="P28" s="238">
        <f>IFERROR(__xludf.DUMMYFUNCTION("IMPORTRANGE(P$8,$B28)"),280.0)</f>
        <v>280</v>
      </c>
    </row>
    <row r="29" hidden="1" outlineLevel="1">
      <c r="A29" s="228" t="s">
        <v>840</v>
      </c>
      <c r="B29" s="237"/>
      <c r="C29" s="241"/>
      <c r="D29" s="241"/>
      <c r="E29" s="238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</row>
    <row r="30" hidden="1" outlineLevel="1">
      <c r="A30" s="228" t="s">
        <v>841</v>
      </c>
      <c r="B30" s="237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</row>
    <row r="31" hidden="1" outlineLevel="1">
      <c r="A31" s="228" t="s">
        <v>842</v>
      </c>
      <c r="B31" s="237" t="s">
        <v>941</v>
      </c>
      <c r="C31" s="238">
        <f>IFERROR(__xludf.DUMMYFUNCTION("IMPORTRANGE(C$8,$B31)"),205.0)</f>
        <v>205</v>
      </c>
      <c r="D31" s="238">
        <f>IFERROR(__xludf.DUMMYFUNCTION("IMPORTRANGE(D$8,$B31)"),295.0)</f>
        <v>295</v>
      </c>
      <c r="E31" s="238">
        <f>IFERROR(__xludf.DUMMYFUNCTION("IMPORTRANGE(E$8,$B31)"),242.5)</f>
        <v>242.5</v>
      </c>
      <c r="F31" s="238">
        <f>IFERROR(__xludf.DUMMYFUNCTION("IMPORTRANGE(F$8,$B31)"),227.5)</f>
        <v>227.5</v>
      </c>
      <c r="G31" s="238">
        <f>IFERROR(__xludf.DUMMYFUNCTION("IMPORTRANGE(G$8,$B31)"),280.0)</f>
        <v>280</v>
      </c>
      <c r="H31" s="238">
        <f>IFERROR(__xludf.DUMMYFUNCTION("IMPORTRANGE(H$8,$B31)"),255.0)</f>
        <v>255</v>
      </c>
      <c r="I31" s="238">
        <f>IFERROR(__xludf.DUMMYFUNCTION("IMPORTRANGE(I$8,$B31)"),255.0)</f>
        <v>255</v>
      </c>
      <c r="J31" s="238">
        <f>IFERROR(__xludf.DUMMYFUNCTION("IMPORTRANGE(J$8,$B31)"),260.0)</f>
        <v>260</v>
      </c>
      <c r="K31" s="238">
        <f>IFERROR(__xludf.DUMMYFUNCTION("IMPORTRANGE(K$8,$B31)"),272.5)</f>
        <v>272.5</v>
      </c>
      <c r="L31" s="238">
        <f>IFERROR(__xludf.DUMMYFUNCTION("IMPORTRANGE(L$8,$B31)"),307.5)</f>
        <v>307.5</v>
      </c>
      <c r="M31" s="238">
        <f>IFERROR(__xludf.DUMMYFUNCTION("IMPORTRANGE(M$8,$B31)"),285.0)</f>
        <v>285</v>
      </c>
      <c r="N31" s="238">
        <f>IFERROR(__xludf.DUMMYFUNCTION("IMPORTRANGE(N$8,$B31)"),265.0)</f>
        <v>265</v>
      </c>
      <c r="O31" s="238">
        <f>IFERROR(__xludf.DUMMYFUNCTION("IMPORTRANGE(O$8,$B31)"),242.5)</f>
        <v>242.5</v>
      </c>
      <c r="P31" s="238">
        <f>IFERROR(__xludf.DUMMYFUNCTION("IMPORTRANGE(P$8,$B31)"),280.0)</f>
        <v>280</v>
      </c>
    </row>
    <row r="32" hidden="1" outlineLevel="1">
      <c r="A32" s="245"/>
      <c r="B32" s="112"/>
      <c r="C32" s="246"/>
      <c r="D32" s="246"/>
      <c r="E32" s="246"/>
      <c r="F32" s="246"/>
      <c r="G32" s="246"/>
      <c r="H32" s="246"/>
      <c r="I32" s="246"/>
      <c r="J32" s="246"/>
      <c r="K32" s="247"/>
      <c r="L32" s="246"/>
      <c r="M32" s="248"/>
      <c r="N32" s="246"/>
      <c r="O32" s="246"/>
      <c r="P32" s="246"/>
    </row>
    <row r="33">
      <c r="A33" s="249"/>
      <c r="B33" s="112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</row>
    <row r="34">
      <c r="A34" s="245" t="s">
        <v>865</v>
      </c>
      <c r="B34" s="112"/>
      <c r="C34" s="248">
        <f t="shared" ref="C34:P34" si="1">SUM(C12,C20,C28)</f>
        <v>522.5</v>
      </c>
      <c r="D34" s="248">
        <f t="shared" si="1"/>
        <v>690</v>
      </c>
      <c r="E34" s="248">
        <f t="shared" si="1"/>
        <v>650</v>
      </c>
      <c r="F34" s="248">
        <f t="shared" si="1"/>
        <v>610</v>
      </c>
      <c r="G34" s="248">
        <f t="shared" si="1"/>
        <v>710</v>
      </c>
      <c r="H34" s="248">
        <f t="shared" si="1"/>
        <v>647.5</v>
      </c>
      <c r="I34" s="248">
        <f t="shared" si="1"/>
        <v>652.5</v>
      </c>
      <c r="J34" s="248">
        <f t="shared" si="1"/>
        <v>742.5</v>
      </c>
      <c r="K34" s="248">
        <f t="shared" si="1"/>
        <v>717.5</v>
      </c>
      <c r="L34" s="248">
        <f t="shared" si="1"/>
        <v>800</v>
      </c>
      <c r="M34" s="248">
        <f t="shared" si="1"/>
        <v>762.5</v>
      </c>
      <c r="N34" s="248">
        <f t="shared" si="1"/>
        <v>752.5</v>
      </c>
      <c r="O34" s="248">
        <f t="shared" si="1"/>
        <v>707.5</v>
      </c>
      <c r="P34" s="248">
        <f t="shared" si="1"/>
        <v>695</v>
      </c>
    </row>
  </sheetData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K8"/>
    <hyperlink r:id="rId10" location="gid=101494087" ref="L8"/>
    <hyperlink r:id="rId11" ref="M8"/>
    <hyperlink r:id="rId12" ref="N8"/>
    <hyperlink r:id="rId13" ref="O8"/>
    <hyperlink r:id="rId14" ref="P8"/>
  </hyperlinks>
  <drawing r:id="rId15"/>
  <tableParts count="1">
    <tablePart r:id="rId1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5.0"/>
    <col customWidth="1" hidden="1" min="3" max="3" width="21.38"/>
    <col customWidth="1" min="6" max="6" width="5.0"/>
    <col customWidth="1" min="7" max="20" width="8.88"/>
  </cols>
  <sheetData>
    <row r="1">
      <c r="A1" s="245"/>
      <c r="B1" s="221"/>
      <c r="C1" s="221"/>
      <c r="D1" s="342"/>
      <c r="E1" s="342"/>
      <c r="F1" s="343"/>
      <c r="G1" s="226" t="s">
        <v>141</v>
      </c>
      <c r="H1" s="226" t="s">
        <v>113</v>
      </c>
      <c r="I1" s="226" t="s">
        <v>909</v>
      </c>
      <c r="J1" s="226" t="s">
        <v>910</v>
      </c>
      <c r="K1" s="226" t="s">
        <v>912</v>
      </c>
      <c r="L1" s="226" t="s">
        <v>913</v>
      </c>
      <c r="M1" s="226" t="s">
        <v>911</v>
      </c>
      <c r="N1" s="226" t="s">
        <v>115</v>
      </c>
      <c r="O1" s="226" t="s">
        <v>914</v>
      </c>
      <c r="P1" s="226" t="s">
        <v>298</v>
      </c>
      <c r="Q1" s="226" t="s">
        <v>121</v>
      </c>
      <c r="R1" s="226" t="s">
        <v>119</v>
      </c>
      <c r="S1" s="226" t="s">
        <v>915</v>
      </c>
      <c r="T1" s="226" t="s">
        <v>191</v>
      </c>
    </row>
    <row r="2">
      <c r="A2" s="344"/>
      <c r="B2" s="345"/>
      <c r="C2" s="345"/>
      <c r="E2" s="346" t="s">
        <v>811</v>
      </c>
      <c r="F2" s="347"/>
      <c r="G2" s="257" t="s">
        <v>137</v>
      </c>
      <c r="H2" s="257" t="s">
        <v>135</v>
      </c>
      <c r="I2" s="257" t="s">
        <v>135</v>
      </c>
      <c r="J2" s="257" t="s">
        <v>135</v>
      </c>
      <c r="K2" s="257" t="s">
        <v>167</v>
      </c>
      <c r="L2" s="257" t="s">
        <v>167</v>
      </c>
      <c r="M2" s="257" t="s">
        <v>167</v>
      </c>
      <c r="N2" s="257" t="s">
        <v>167</v>
      </c>
      <c r="O2" s="257" t="s">
        <v>167</v>
      </c>
      <c r="P2" s="257" t="s">
        <v>167</v>
      </c>
      <c r="Q2" s="257" t="s">
        <v>137</v>
      </c>
      <c r="R2" s="257" t="s">
        <v>137</v>
      </c>
      <c r="S2" s="257" t="s">
        <v>137</v>
      </c>
      <c r="T2" s="257" t="s">
        <v>147</v>
      </c>
    </row>
    <row r="3" hidden="1">
      <c r="A3" s="344"/>
      <c r="B3" s="348"/>
      <c r="C3" s="348"/>
      <c r="E3" s="349"/>
      <c r="F3" s="350"/>
      <c r="G3" s="351" t="s">
        <v>916</v>
      </c>
      <c r="H3" s="351" t="s">
        <v>917</v>
      </c>
      <c r="I3" s="351" t="s">
        <v>918</v>
      </c>
      <c r="J3" s="351" t="s">
        <v>919</v>
      </c>
      <c r="K3" s="351" t="s">
        <v>920</v>
      </c>
      <c r="L3" s="351" t="s">
        <v>921</v>
      </c>
      <c r="M3" s="351" t="s">
        <v>922</v>
      </c>
      <c r="N3" s="351" t="s">
        <v>923</v>
      </c>
      <c r="O3" s="351" t="s">
        <v>924</v>
      </c>
      <c r="P3" s="351" t="s">
        <v>925</v>
      </c>
      <c r="Q3" s="351" t="s">
        <v>926</v>
      </c>
      <c r="R3" s="351" t="s">
        <v>927</v>
      </c>
      <c r="S3" s="352" t="s">
        <v>928</v>
      </c>
      <c r="T3" s="351" t="s">
        <v>929</v>
      </c>
    </row>
    <row r="4">
      <c r="A4" s="344" t="s">
        <v>866</v>
      </c>
      <c r="B4" s="345"/>
      <c r="C4" s="345"/>
      <c r="E4" s="346" t="s">
        <v>867</v>
      </c>
      <c r="F4" s="347"/>
      <c r="G4" s="353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</row>
    <row r="5">
      <c r="B5" s="348">
        <v>1.0</v>
      </c>
      <c r="C5" s="354" t="s">
        <v>942</v>
      </c>
      <c r="D5" s="348" t="s">
        <v>869</v>
      </c>
      <c r="E5" s="348" t="s">
        <v>870</v>
      </c>
      <c r="F5" s="355" t="s">
        <v>943</v>
      </c>
      <c r="G5" s="356">
        <f>IFERROR(__xludf.DUMMYFUNCTION("IMPORTRANGE(G$3,$C5)"),62.5)</f>
        <v>62.5</v>
      </c>
      <c r="H5" s="274">
        <f>IFERROR(__xludf.DUMMYFUNCTION("IMPORTRANGE(H$3,$C5)"),72.5)</f>
        <v>72.5</v>
      </c>
      <c r="I5" s="274">
        <f>IFERROR(__xludf.DUMMYFUNCTION("IMPORTRANGE(I$3,$C5)"),72.5)</f>
        <v>72.5</v>
      </c>
      <c r="J5" s="274">
        <f>IFERROR(__xludf.DUMMYFUNCTION("IMPORTRANGE(J$3,$C5)"),77.5)</f>
        <v>77.5</v>
      </c>
      <c r="K5" s="274">
        <f>IFERROR(__xludf.DUMMYFUNCTION("IMPORTRANGE(K$3,$C5)"),80.0)</f>
        <v>80</v>
      </c>
      <c r="L5" s="274">
        <f>IFERROR(__xludf.DUMMYFUNCTION("IMPORTRANGE(L$3,$C5)"),75.0)</f>
        <v>75</v>
      </c>
      <c r="M5" s="274">
        <f>IFERROR(__xludf.DUMMYFUNCTION("IMPORTRANGE(M$3,$C5)"),75.0)</f>
        <v>75</v>
      </c>
      <c r="N5" s="274">
        <f>IFERROR(__xludf.DUMMYFUNCTION("IMPORTRANGE(N$3,$C5)"),90.0)</f>
        <v>90</v>
      </c>
      <c r="O5" s="274">
        <f>IFERROR(__xludf.DUMMYFUNCTION("IMPORTRANGE(O$3,$C5)"),85.0)</f>
        <v>85</v>
      </c>
      <c r="P5" s="274">
        <f>IFERROR(__xludf.DUMMYFUNCTION("IMPORTRANGE(P$3,$C5)"),92.5)</f>
        <v>92.5</v>
      </c>
      <c r="Q5" s="274">
        <f>IFERROR(__xludf.DUMMYFUNCTION("IMPORTRANGE(Q$3,$C5)"),90.0)</f>
        <v>90</v>
      </c>
      <c r="R5" s="274">
        <f>IFERROR(__xludf.DUMMYFUNCTION("IMPORTRANGE(R$3,$C5)"),87.5)</f>
        <v>87.5</v>
      </c>
      <c r="S5" s="274">
        <f>IFERROR(__xludf.DUMMYFUNCTION("IMPORTRANGE(S$3,$C5)"),85.0)</f>
        <v>85</v>
      </c>
      <c r="T5" s="274">
        <f>IFERROR(__xludf.DUMMYFUNCTION("IMPORTRANGE(T$3,$C5)"),72.5)</f>
        <v>72.5</v>
      </c>
    </row>
    <row r="6">
      <c r="B6" s="345">
        <v>2.0</v>
      </c>
      <c r="C6" s="357" t="s">
        <v>944</v>
      </c>
      <c r="D6" s="345" t="s">
        <v>873</v>
      </c>
      <c r="E6" s="345" t="s">
        <v>870</v>
      </c>
      <c r="F6" s="358" t="s">
        <v>945</v>
      </c>
      <c r="G6" s="353">
        <f>IFERROR(__xludf.DUMMYFUNCTION("IMPORTRANGE(G$3,$C6)"),92.5)</f>
        <v>92.5</v>
      </c>
      <c r="H6" s="279">
        <f>IFERROR(__xludf.DUMMYFUNCTION("IMPORTRANGE(H$3,$C6)"),110.0)</f>
        <v>110</v>
      </c>
      <c r="I6" s="279">
        <f>IFERROR(__xludf.DUMMYFUNCTION("IMPORTRANGE(I$3,$C6)"),110.0)</f>
        <v>110</v>
      </c>
      <c r="J6" s="279">
        <f>IFERROR(__xludf.DUMMYFUNCTION("IMPORTRANGE(J$3,$C6)"),115.0)</f>
        <v>115</v>
      </c>
      <c r="K6" s="279">
        <f>IFERROR(__xludf.DUMMYFUNCTION("IMPORTRANGE(K$3,$C6)"),120.0)</f>
        <v>120</v>
      </c>
      <c r="L6" s="279">
        <f>IFERROR(__xludf.DUMMYFUNCTION("IMPORTRANGE(L$3,$C6)"),112.5)</f>
        <v>112.5</v>
      </c>
      <c r="M6" s="279">
        <f>IFERROR(__xludf.DUMMYFUNCTION("IMPORTRANGE(M$3,$C6)"),112.5)</f>
        <v>112.5</v>
      </c>
      <c r="N6" s="279">
        <f>IFERROR(__xludf.DUMMYFUNCTION("IMPORTRANGE(N$3,$C6)"),135.0)</f>
        <v>135</v>
      </c>
      <c r="O6" s="279">
        <f>IFERROR(__xludf.DUMMYFUNCTION("IMPORTRANGE(O$3,$C6)"),127.5)</f>
        <v>127.5</v>
      </c>
      <c r="P6" s="279">
        <f>IFERROR(__xludf.DUMMYFUNCTION("IMPORTRANGE(P$3,$C6)"),140.0)</f>
        <v>140</v>
      </c>
      <c r="Q6" s="279">
        <f>IFERROR(__xludf.DUMMYFUNCTION("IMPORTRANGE(Q$3,$C6)"),135.0)</f>
        <v>135</v>
      </c>
      <c r="R6" s="279">
        <f>IFERROR(__xludf.DUMMYFUNCTION("IMPORTRANGE(R$3,$C6)"),132.5)</f>
        <v>132.5</v>
      </c>
      <c r="S6" s="279">
        <f>IFERROR(__xludf.DUMMYFUNCTION("IMPORTRANGE(S$3,$C6)"),127.5)</f>
        <v>127.5</v>
      </c>
      <c r="T6" s="279">
        <f>IFERROR(__xludf.DUMMYFUNCTION("IMPORTRANGE(T$3,$C6)"),110.0)</f>
        <v>110</v>
      </c>
    </row>
    <row r="7">
      <c r="B7" s="348">
        <v>3.0</v>
      </c>
      <c r="C7" s="354" t="s">
        <v>946</v>
      </c>
      <c r="D7" s="348" t="s">
        <v>876</v>
      </c>
      <c r="E7" s="348" t="s">
        <v>870</v>
      </c>
      <c r="F7" s="355" t="s">
        <v>947</v>
      </c>
      <c r="G7" s="356">
        <f>IFERROR(__xludf.DUMMYFUNCTION("IMPORTRANGE(G$3,$C7)"),122.5)</f>
        <v>122.5</v>
      </c>
      <c r="H7" s="274">
        <f>IFERROR(__xludf.DUMMYFUNCTION("IMPORTRANGE(H$3,$C7)"),147.5)</f>
        <v>147.5</v>
      </c>
      <c r="I7" s="274">
        <f>IFERROR(__xludf.DUMMYFUNCTION("IMPORTRANGE(I$3,$C7)"),147.5)</f>
        <v>147.5</v>
      </c>
      <c r="J7" s="274">
        <f>IFERROR(__xludf.DUMMYFUNCTION("IMPORTRANGE(J$3,$C7)"),152.5)</f>
        <v>152.5</v>
      </c>
      <c r="K7" s="274">
        <f>IFERROR(__xludf.DUMMYFUNCTION("IMPORTRANGE(K$3,$C7)"),160.0)</f>
        <v>160</v>
      </c>
      <c r="L7" s="274">
        <f>IFERROR(__xludf.DUMMYFUNCTION("IMPORTRANGE(L$3,$C7)"),150.0)</f>
        <v>150</v>
      </c>
      <c r="M7" s="274">
        <f>IFERROR(__xludf.DUMMYFUNCTION("IMPORTRANGE(M$3,$C7)"),147.5)</f>
        <v>147.5</v>
      </c>
      <c r="N7" s="274">
        <f>IFERROR(__xludf.DUMMYFUNCTION("IMPORTRANGE(N$3,$C7)"),182.5)</f>
        <v>182.5</v>
      </c>
      <c r="O7" s="274">
        <f>IFERROR(__xludf.DUMMYFUNCTION("IMPORTRANGE(O$3,$C7)"),170.0)</f>
        <v>170</v>
      </c>
      <c r="P7" s="274">
        <f>IFERROR(__xludf.DUMMYFUNCTION("IMPORTRANGE(P$3,$C7)"),185.0)</f>
        <v>185</v>
      </c>
      <c r="Q7" s="274">
        <f>IFERROR(__xludf.DUMMYFUNCTION("IMPORTRANGE(Q$3,$C7)"),180.0)</f>
        <v>180</v>
      </c>
      <c r="R7" s="274">
        <f>IFERROR(__xludf.DUMMYFUNCTION("IMPORTRANGE(R$3,$C7)"),177.5)</f>
        <v>177.5</v>
      </c>
      <c r="S7" s="274">
        <f>IFERROR(__xludf.DUMMYFUNCTION("IMPORTRANGE(S$3,$C7)"),170.0)</f>
        <v>170</v>
      </c>
      <c r="T7" s="274">
        <f>IFERROR(__xludf.DUMMYFUNCTION("IMPORTRANGE(T$3,$C7)"),147.5)</f>
        <v>147.5</v>
      </c>
    </row>
    <row r="8">
      <c r="B8" s="345">
        <v>4.0</v>
      </c>
      <c r="C8" s="357" t="s">
        <v>948</v>
      </c>
      <c r="D8" s="345" t="s">
        <v>879</v>
      </c>
      <c r="E8" s="345" t="s">
        <v>870</v>
      </c>
      <c r="F8" s="358" t="s">
        <v>947</v>
      </c>
      <c r="G8" s="353">
        <f>IFERROR(__xludf.DUMMYFUNCTION("IMPORTRANGE(G$3,$C8)"),147.5)</f>
        <v>147.5</v>
      </c>
      <c r="H8" s="279">
        <f>IFERROR(__xludf.DUMMYFUNCTION("IMPORTRANGE(H$3,$C8)"),177.5)</f>
        <v>177.5</v>
      </c>
      <c r="I8" s="279">
        <f>IFERROR(__xludf.DUMMYFUNCTION("IMPORTRANGE(I$3,$C8)"),177.5)</f>
        <v>177.5</v>
      </c>
      <c r="J8" s="279">
        <f>IFERROR(__xludf.DUMMYFUNCTION("IMPORTRANGE(J$3,$C8)"),182.5)</f>
        <v>182.5</v>
      </c>
      <c r="K8" s="279">
        <f>IFERROR(__xludf.DUMMYFUNCTION("IMPORTRANGE(K$3,$C8)"),190.0)</f>
        <v>190</v>
      </c>
      <c r="L8" s="279">
        <f>IFERROR(__xludf.DUMMYFUNCTION("IMPORTRANGE(L$3,$C8)"),180.0)</f>
        <v>180</v>
      </c>
      <c r="M8" s="279">
        <f>IFERROR(__xludf.DUMMYFUNCTION("IMPORTRANGE(M$3,$C8)"),177.5)</f>
        <v>177.5</v>
      </c>
      <c r="N8" s="279">
        <f>IFERROR(__xludf.DUMMYFUNCTION("IMPORTRANGE(N$3,$C8)"),217.5)</f>
        <v>217.5</v>
      </c>
      <c r="O8" s="279">
        <f>IFERROR(__xludf.DUMMYFUNCTION("IMPORTRANGE(O$3,$C8)"),205.0)</f>
        <v>205</v>
      </c>
      <c r="P8" s="279">
        <f>IFERROR(__xludf.DUMMYFUNCTION("IMPORTRANGE(P$3,$C8)"),222.5)</f>
        <v>222.5</v>
      </c>
      <c r="Q8" s="279">
        <f>IFERROR(__xludf.DUMMYFUNCTION("IMPORTRANGE(Q$3,$C8)"),215.0)</f>
        <v>215</v>
      </c>
      <c r="R8" s="279">
        <f>IFERROR(__xludf.DUMMYFUNCTION("IMPORTRANGE(R$3,$C8)"),212.5)</f>
        <v>212.5</v>
      </c>
      <c r="S8" s="279">
        <f>IFERROR(__xludf.DUMMYFUNCTION("IMPORTRANGE(S$3,$C8)"),205.0)</f>
        <v>205</v>
      </c>
      <c r="T8" s="279">
        <f>IFERROR(__xludf.DUMMYFUNCTION("IMPORTRANGE(T$3,$C8)"),177.5)</f>
        <v>177.5</v>
      </c>
    </row>
    <row r="9">
      <c r="B9" s="348">
        <v>5.0</v>
      </c>
      <c r="C9" s="354" t="s">
        <v>949</v>
      </c>
      <c r="D9" s="348" t="s">
        <v>882</v>
      </c>
      <c r="E9" s="359" t="s">
        <v>950</v>
      </c>
      <c r="F9" s="355" t="s">
        <v>947</v>
      </c>
      <c r="G9" s="356">
        <f>IFERROR(__xludf.DUMMYFUNCTION("IMPORTRANGE(G$3,$C9)"),167.5)</f>
        <v>167.5</v>
      </c>
      <c r="H9" s="274">
        <f>IFERROR(__xludf.DUMMYFUNCTION("IMPORTRANGE(H$3,$C9)"),200.0)</f>
        <v>200</v>
      </c>
      <c r="I9" s="274">
        <f>IFERROR(__xludf.DUMMYFUNCTION("IMPORTRANGE(I$3,$C9)"),200.0)</f>
        <v>200</v>
      </c>
      <c r="J9" s="274">
        <f>IFERROR(__xludf.DUMMYFUNCTION("IMPORTRANGE(J$3,$C9)"),210.0)</f>
        <v>210</v>
      </c>
      <c r="K9" s="274">
        <f>IFERROR(__xludf.DUMMYFUNCTION("IMPORTRANGE(K$3,$C9)"),217.5)</f>
        <v>217.5</v>
      </c>
      <c r="L9" s="274">
        <f>IFERROR(__xludf.DUMMYFUNCTION("IMPORTRANGE(L$3,$C9)"),205.0)</f>
        <v>205</v>
      </c>
      <c r="M9" s="274">
        <f>IFERROR(__xludf.DUMMYFUNCTION("IMPORTRANGE(M$3,$C9)"),202.5)</f>
        <v>202.5</v>
      </c>
      <c r="N9" s="274">
        <f>IFERROR(__xludf.DUMMYFUNCTION("IMPORTRANGE(N$3,$C9)"),247.5)</f>
        <v>247.5</v>
      </c>
      <c r="O9" s="274">
        <f>IFERROR(__xludf.DUMMYFUNCTION("IMPORTRANGE(O$3,$C9)"),232.5)</f>
        <v>232.5</v>
      </c>
      <c r="P9" s="274">
        <f>IFERROR(__xludf.DUMMYFUNCTION("IMPORTRANGE(P$3,$C9)"),255.0)</f>
        <v>255</v>
      </c>
      <c r="Q9" s="274">
        <f>IFERROR(__xludf.DUMMYFUNCTION("IMPORTRANGE(Q$3,$C9)"),245.0)</f>
        <v>245</v>
      </c>
      <c r="R9" s="274">
        <f>IFERROR(__xludf.DUMMYFUNCTION("IMPORTRANGE(R$3,$C9)"),242.5)</f>
        <v>242.5</v>
      </c>
      <c r="S9" s="274">
        <f>IFERROR(__xludf.DUMMYFUNCTION("IMPORTRANGE(S$3,$C9)"),232.5)</f>
        <v>232.5</v>
      </c>
      <c r="T9" s="274">
        <f>IFERROR(__xludf.DUMMYFUNCTION("IMPORTRANGE(T$3,$C9)"),200.0)</f>
        <v>200</v>
      </c>
    </row>
    <row r="10">
      <c r="B10" s="345">
        <v>6.0</v>
      </c>
      <c r="C10" s="357" t="s">
        <v>951</v>
      </c>
      <c r="D10" s="345" t="s">
        <v>886</v>
      </c>
      <c r="E10" s="345"/>
      <c r="F10" s="360" t="s">
        <v>884</v>
      </c>
      <c r="G10" s="353" t="str">
        <f>IFERROR(__xludf.DUMMYFUNCTION("IMPORTRANGE(G$3,$C10)"),"")</f>
        <v/>
      </c>
      <c r="H10" s="279" t="str">
        <f>IFERROR(__xludf.DUMMYFUNCTION("IMPORTRANGE(H$3,$C10)"),"")</f>
        <v/>
      </c>
      <c r="I10" s="279" t="str">
        <f>IFERROR(__xludf.DUMMYFUNCTION("IMPORTRANGE(I$3,$C10)"),"")</f>
        <v/>
      </c>
      <c r="J10" s="279" t="str">
        <f>IFERROR(__xludf.DUMMYFUNCTION("IMPORTRANGE(J$3,$C10)"),"")</f>
        <v/>
      </c>
      <c r="K10" s="279" t="str">
        <f>IFERROR(__xludf.DUMMYFUNCTION("IMPORTRANGE(K$3,$C10)"),"")</f>
        <v/>
      </c>
      <c r="L10" s="279" t="str">
        <f>IFERROR(__xludf.DUMMYFUNCTION("IMPORTRANGE(L$3,$C10)"),"")</f>
        <v/>
      </c>
      <c r="M10" s="279" t="str">
        <f>IFERROR(__xludf.DUMMYFUNCTION("IMPORTRANGE(M$3,$C10)"),"")</f>
        <v/>
      </c>
      <c r="N10" s="279" t="str">
        <f>IFERROR(__xludf.DUMMYFUNCTION("IMPORTRANGE(N$3,$C10)"),"")</f>
        <v/>
      </c>
      <c r="O10" s="279" t="str">
        <f>IFERROR(__xludf.DUMMYFUNCTION("IMPORTRANGE(O$3,$C10)"),"")</f>
        <v/>
      </c>
      <c r="P10" s="279" t="str">
        <f>IFERROR(__xludf.DUMMYFUNCTION("IMPORTRANGE(P$3,$C10)"),"")</f>
        <v/>
      </c>
      <c r="Q10" s="279" t="str">
        <f>IFERROR(__xludf.DUMMYFUNCTION("IMPORTRANGE(Q$3,$C10)"),"")</f>
        <v/>
      </c>
      <c r="R10" s="279" t="str">
        <f>IFERROR(__xludf.DUMMYFUNCTION("IMPORTRANGE(R$3,$C10)"),"")</f>
        <v/>
      </c>
      <c r="S10" s="279" t="str">
        <f>IFERROR(__xludf.DUMMYFUNCTION("IMPORTRANGE(S$3,$C10)"),"")</f>
        <v/>
      </c>
      <c r="T10" s="279" t="str">
        <f>IFERROR(__xludf.DUMMYFUNCTION("IMPORTRANGE(T$3,$C10)"),"")</f>
        <v/>
      </c>
    </row>
    <row r="11">
      <c r="A11" s="361"/>
      <c r="B11" s="362"/>
      <c r="C11" s="362"/>
      <c r="E11" s="362"/>
      <c r="F11" s="363"/>
      <c r="G11" s="356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</row>
    <row r="12">
      <c r="A12" s="344" t="s">
        <v>889</v>
      </c>
      <c r="B12" s="345"/>
      <c r="C12" s="345"/>
      <c r="E12" s="346" t="s">
        <v>867</v>
      </c>
      <c r="F12" s="347"/>
      <c r="G12" s="364"/>
      <c r="H12" s="365"/>
      <c r="I12" s="365"/>
      <c r="J12" s="365"/>
      <c r="K12" s="365"/>
      <c r="L12" s="365"/>
      <c r="M12" s="365"/>
      <c r="N12" s="365"/>
      <c r="O12" s="365"/>
      <c r="P12" s="365"/>
      <c r="Q12" s="365"/>
      <c r="R12" s="365"/>
      <c r="S12" s="365"/>
      <c r="T12" s="365"/>
    </row>
    <row r="13">
      <c r="B13" s="348">
        <v>1.0</v>
      </c>
      <c r="C13" s="354" t="s">
        <v>952</v>
      </c>
      <c r="D13" s="348" t="s">
        <v>869</v>
      </c>
      <c r="E13" s="362" t="s">
        <v>870</v>
      </c>
      <c r="F13" s="355" t="s">
        <v>943</v>
      </c>
      <c r="G13" s="366">
        <f>IFERROR(__xludf.DUMMYFUNCTION("IMPORTRANGE(G$3,$C13)"),35.0)</f>
        <v>35</v>
      </c>
      <c r="H13" s="367">
        <f>IFERROR(__xludf.DUMMYFUNCTION("IMPORTRANGE(H$3,$C13)"),45.0)</f>
        <v>45</v>
      </c>
      <c r="I13" s="367">
        <f>IFERROR(__xludf.DUMMYFUNCTION("IMPORTRANGE(I$3,$C13)"),50.0)</f>
        <v>50</v>
      </c>
      <c r="J13" s="367">
        <f>IFERROR(__xludf.DUMMYFUNCTION("IMPORTRANGE(J$3,$C13)"),37.5)</f>
        <v>37.5</v>
      </c>
      <c r="K13" s="367">
        <f>IFERROR(__xludf.DUMMYFUNCTION("IMPORTRANGE(K$3,$C13)"),50.0)</f>
        <v>50</v>
      </c>
      <c r="L13" s="367">
        <f>IFERROR(__xludf.DUMMYFUNCTION("IMPORTRANGE(L$3,$C13)"),42.5)</f>
        <v>42.5</v>
      </c>
      <c r="M13" s="367">
        <f>IFERROR(__xludf.DUMMYFUNCTION("IMPORTRANGE(M$3,$C13)"),45.0)</f>
        <v>45</v>
      </c>
      <c r="N13" s="367">
        <f>IFERROR(__xludf.DUMMYFUNCTION("IMPORTRANGE(N$3,$C13)"),55.0)</f>
        <v>55</v>
      </c>
      <c r="O13" s="367">
        <f>IFERROR(__xludf.DUMMYFUNCTION("IMPORTRANGE(O$3,$C13)"),47.5)</f>
        <v>47.5</v>
      </c>
      <c r="P13" s="367">
        <f>IFERROR(__xludf.DUMMYFUNCTION("IMPORTRANGE(P$3,$C13)"),55.0)</f>
        <v>55</v>
      </c>
      <c r="Q13" s="367">
        <f>IFERROR(__xludf.DUMMYFUNCTION("IMPORTRANGE(Q$3,$C13)"),52.5)</f>
        <v>52.5</v>
      </c>
      <c r="R13" s="367">
        <f>IFERROR(__xludf.DUMMYFUNCTION("IMPORTRANGE(R$3,$C13)"),57.5)</f>
        <v>57.5</v>
      </c>
      <c r="S13" s="367">
        <f>IFERROR(__xludf.DUMMYFUNCTION("IMPORTRANGE(S$3,$C13)"),55.0)</f>
        <v>55</v>
      </c>
      <c r="T13" s="367">
        <f>IFERROR(__xludf.DUMMYFUNCTION("IMPORTRANGE(T$3,$C13)"),50.0)</f>
        <v>50</v>
      </c>
    </row>
    <row r="14">
      <c r="B14" s="345">
        <v>2.0</v>
      </c>
      <c r="C14" s="357" t="s">
        <v>953</v>
      </c>
      <c r="D14" s="345" t="s">
        <v>873</v>
      </c>
      <c r="E14" s="368" t="s">
        <v>870</v>
      </c>
      <c r="F14" s="358" t="s">
        <v>945</v>
      </c>
      <c r="G14" s="353">
        <f>IFERROR(__xludf.DUMMYFUNCTION("IMPORTRANGE(G$3,$C14)"),50.0)</f>
        <v>50</v>
      </c>
      <c r="H14" s="369">
        <f>IFERROR(__xludf.DUMMYFUNCTION("IMPORTRANGE(H$3,$C14)"),67.5)</f>
        <v>67.5</v>
      </c>
      <c r="I14" s="369">
        <f>IFERROR(__xludf.DUMMYFUNCTION("IMPORTRANGE(I$3,$C14)"),72.5)</f>
        <v>72.5</v>
      </c>
      <c r="J14" s="369">
        <f>IFERROR(__xludf.DUMMYFUNCTION("IMPORTRANGE(J$3,$C14)"),57.5)</f>
        <v>57.5</v>
      </c>
      <c r="K14" s="369">
        <f>IFERROR(__xludf.DUMMYFUNCTION("IMPORTRANGE(K$3,$C14)"),75.0)</f>
        <v>75</v>
      </c>
      <c r="L14" s="369">
        <f>IFERROR(__xludf.DUMMYFUNCTION("IMPORTRANGE(L$3,$C14)"),65.0)</f>
        <v>65</v>
      </c>
      <c r="M14" s="369">
        <f>IFERROR(__xludf.DUMMYFUNCTION("IMPORTRANGE(M$3,$C14)"),67.5)</f>
        <v>67.5</v>
      </c>
      <c r="N14" s="369">
        <f>IFERROR(__xludf.DUMMYFUNCTION("IMPORTRANGE(N$3,$C14)"),80.0)</f>
        <v>80</v>
      </c>
      <c r="O14" s="369">
        <f>IFERROR(__xludf.DUMMYFUNCTION("IMPORTRANGE(O$3,$C14)"),72.5)</f>
        <v>72.5</v>
      </c>
      <c r="P14" s="369">
        <f>IFERROR(__xludf.DUMMYFUNCTION("IMPORTRANGE(P$3,$C14)"),82.5)</f>
        <v>82.5</v>
      </c>
      <c r="Q14" s="369">
        <f>IFERROR(__xludf.DUMMYFUNCTION("IMPORTRANGE(Q$3,$C14)"),80.0)</f>
        <v>80</v>
      </c>
      <c r="R14" s="369">
        <f>IFERROR(__xludf.DUMMYFUNCTION("IMPORTRANGE(R$3,$C14)"),87.5)</f>
        <v>87.5</v>
      </c>
      <c r="S14" s="369">
        <f>IFERROR(__xludf.DUMMYFUNCTION("IMPORTRANGE(S$3,$C14)"),80.0)</f>
        <v>80</v>
      </c>
      <c r="T14" s="369">
        <f>IFERROR(__xludf.DUMMYFUNCTION("IMPORTRANGE(T$3,$C14)"),77.5)</f>
        <v>77.5</v>
      </c>
    </row>
    <row r="15">
      <c r="B15" s="348">
        <v>3.0</v>
      </c>
      <c r="C15" s="354" t="s">
        <v>954</v>
      </c>
      <c r="D15" s="348" t="s">
        <v>876</v>
      </c>
      <c r="E15" s="362" t="s">
        <v>870</v>
      </c>
      <c r="F15" s="355" t="s">
        <v>947</v>
      </c>
      <c r="G15" s="356">
        <f>IFERROR(__xludf.DUMMYFUNCTION("IMPORTRANGE(G$3,$C15)"),67.5)</f>
        <v>67.5</v>
      </c>
      <c r="H15" s="370">
        <f>IFERROR(__xludf.DUMMYFUNCTION("IMPORTRANGE(H$3,$C15)"),90.0)</f>
        <v>90</v>
      </c>
      <c r="I15" s="370">
        <f>IFERROR(__xludf.DUMMYFUNCTION("IMPORTRANGE(I$3,$C15)"),97.5)</f>
        <v>97.5</v>
      </c>
      <c r="J15" s="370">
        <f>IFERROR(__xludf.DUMMYFUNCTION("IMPORTRANGE(J$3,$C15)"),77.5)</f>
        <v>77.5</v>
      </c>
      <c r="K15" s="370">
        <f>IFERROR(__xludf.DUMMYFUNCTION("IMPORTRANGE(K$3,$C15)"),100.0)</f>
        <v>100</v>
      </c>
      <c r="L15" s="370">
        <f>IFERROR(__xludf.DUMMYFUNCTION("IMPORTRANGE(L$3,$C15)"),85.0)</f>
        <v>85</v>
      </c>
      <c r="M15" s="370">
        <f>IFERROR(__xludf.DUMMYFUNCTION("IMPORTRANGE(M$3,$C15)"),90.0)</f>
        <v>90</v>
      </c>
      <c r="N15" s="370">
        <f>IFERROR(__xludf.DUMMYFUNCTION("IMPORTRANGE(N$3,$C15)"),107.5)</f>
        <v>107.5</v>
      </c>
      <c r="O15" s="370">
        <f>IFERROR(__xludf.DUMMYFUNCTION("IMPORTRANGE(O$3,$C15)"),95.0)</f>
        <v>95</v>
      </c>
      <c r="P15" s="370">
        <f>IFERROR(__xludf.DUMMYFUNCTION("IMPORTRANGE(P$3,$C15)"),110.0)</f>
        <v>110</v>
      </c>
      <c r="Q15" s="370">
        <f>IFERROR(__xludf.DUMMYFUNCTION("IMPORTRANGE(Q$3,$C15)"),107.5)</f>
        <v>107.5</v>
      </c>
      <c r="R15" s="370">
        <f>IFERROR(__xludf.DUMMYFUNCTION("IMPORTRANGE(R$3,$C15)"),115.0)</f>
        <v>115</v>
      </c>
      <c r="S15" s="370">
        <f>IFERROR(__xludf.DUMMYFUNCTION("IMPORTRANGE(S$3,$C15)"),107.5)</f>
        <v>107.5</v>
      </c>
      <c r="T15" s="370">
        <f>IFERROR(__xludf.DUMMYFUNCTION("IMPORTRANGE(T$3,$C15)"),102.5)</f>
        <v>102.5</v>
      </c>
    </row>
    <row r="16">
      <c r="B16" s="345">
        <v>4.0</v>
      </c>
      <c r="C16" s="357" t="s">
        <v>955</v>
      </c>
      <c r="D16" s="345" t="s">
        <v>879</v>
      </c>
      <c r="E16" s="368" t="s">
        <v>870</v>
      </c>
      <c r="F16" s="358" t="s">
        <v>947</v>
      </c>
      <c r="G16" s="353">
        <f>IFERROR(__xludf.DUMMYFUNCTION("IMPORTRANGE(G$3,$C16)"),80.0)</f>
        <v>80</v>
      </c>
      <c r="H16" s="369">
        <f>IFERROR(__xludf.DUMMYFUNCTION("IMPORTRANGE(H$3,$C16)"),107.5)</f>
        <v>107.5</v>
      </c>
      <c r="I16" s="369">
        <f>IFERROR(__xludf.DUMMYFUNCTION("IMPORTRANGE(I$3,$C16)"),117.5)</f>
        <v>117.5</v>
      </c>
      <c r="J16" s="369">
        <f>IFERROR(__xludf.DUMMYFUNCTION("IMPORTRANGE(J$3,$C16)"),92.5)</f>
        <v>92.5</v>
      </c>
      <c r="K16" s="369">
        <f>IFERROR(__xludf.DUMMYFUNCTION("IMPORTRANGE(K$3,$C16)"),120.0)</f>
        <v>120</v>
      </c>
      <c r="L16" s="369">
        <f>IFERROR(__xludf.DUMMYFUNCTION("IMPORTRANGE(L$3,$C16)"),102.5)</f>
        <v>102.5</v>
      </c>
      <c r="M16" s="369">
        <f>IFERROR(__xludf.DUMMYFUNCTION("IMPORTRANGE(M$3,$C16)"),107.5)</f>
        <v>107.5</v>
      </c>
      <c r="N16" s="369">
        <f>IFERROR(__xludf.DUMMYFUNCTION("IMPORTRANGE(N$3,$C16)"),130.0)</f>
        <v>130</v>
      </c>
      <c r="O16" s="369">
        <f>IFERROR(__xludf.DUMMYFUNCTION("IMPORTRANGE(O$3,$C16)"),115.0)</f>
        <v>115</v>
      </c>
      <c r="P16" s="369">
        <f>IFERROR(__xludf.DUMMYFUNCTION("IMPORTRANGE(P$3,$C16)"),132.5)</f>
        <v>132.5</v>
      </c>
      <c r="Q16" s="369">
        <f>IFERROR(__xludf.DUMMYFUNCTION("IMPORTRANGE(Q$3,$C16)"),127.5)</f>
        <v>127.5</v>
      </c>
      <c r="R16" s="369">
        <f>IFERROR(__xludf.DUMMYFUNCTION("IMPORTRANGE(R$3,$C16)"),137.5)</f>
        <v>137.5</v>
      </c>
      <c r="S16" s="369">
        <f>IFERROR(__xludf.DUMMYFUNCTION("IMPORTRANGE(S$3,$C16)"),130.0)</f>
        <v>130</v>
      </c>
      <c r="T16" s="369">
        <f>IFERROR(__xludf.DUMMYFUNCTION("IMPORTRANGE(T$3,$C16)"),122.5)</f>
        <v>122.5</v>
      </c>
    </row>
    <row r="17">
      <c r="B17" s="348">
        <v>5.0</v>
      </c>
      <c r="C17" s="354" t="s">
        <v>956</v>
      </c>
      <c r="D17" s="348" t="s">
        <v>882</v>
      </c>
      <c r="E17" s="359" t="s">
        <v>957</v>
      </c>
      <c r="F17" s="355" t="s">
        <v>947</v>
      </c>
      <c r="G17" s="356">
        <f>IFERROR(__xludf.DUMMYFUNCTION("IMPORTRANGE(G$3,$C17)"),92.5)</f>
        <v>92.5</v>
      </c>
      <c r="H17" s="370">
        <f>IFERROR(__xludf.DUMMYFUNCTION("IMPORTRANGE(H$3,$C17)"),122.5)</f>
        <v>122.5</v>
      </c>
      <c r="I17" s="370">
        <f>IFERROR(__xludf.DUMMYFUNCTION("IMPORTRANGE(I$3,$C17)"),132.5)</f>
        <v>132.5</v>
      </c>
      <c r="J17" s="370">
        <f>IFERROR(__xludf.DUMMYFUNCTION("IMPORTRANGE(J$3,$C17)"),105.0)</f>
        <v>105</v>
      </c>
      <c r="K17" s="370">
        <f>IFERROR(__xludf.DUMMYFUNCTION("IMPORTRANGE(K$3,$C17)"),135.0)</f>
        <v>135</v>
      </c>
      <c r="L17" s="370">
        <f>IFERROR(__xludf.DUMMYFUNCTION("IMPORTRANGE(L$3,$C17)"),117.5)</f>
        <v>117.5</v>
      </c>
      <c r="M17" s="370">
        <f>IFERROR(__xludf.DUMMYFUNCTION("IMPORTRANGE(M$3,$C17)"),122.5)</f>
        <v>122.5</v>
      </c>
      <c r="N17" s="370">
        <f>IFERROR(__xludf.DUMMYFUNCTION("IMPORTRANGE(N$3,$C17)"),147.5)</f>
        <v>147.5</v>
      </c>
      <c r="O17" s="370">
        <f>IFERROR(__xludf.DUMMYFUNCTION("IMPORTRANGE(O$3,$C17)"),130.0)</f>
        <v>130</v>
      </c>
      <c r="P17" s="370">
        <f>IFERROR(__xludf.DUMMYFUNCTION("IMPORTRANGE(P$3,$C17)"),150.0)</f>
        <v>150</v>
      </c>
      <c r="Q17" s="370">
        <f>IFERROR(__xludf.DUMMYFUNCTION("IMPORTRANGE(Q$3,$C17)"),145.0)</f>
        <v>145</v>
      </c>
      <c r="R17" s="370">
        <f>IFERROR(__xludf.DUMMYFUNCTION("IMPORTRANGE(R$3,$C17)"),157.5)</f>
        <v>157.5</v>
      </c>
      <c r="S17" s="370">
        <f>IFERROR(__xludf.DUMMYFUNCTION("IMPORTRANGE(S$3,$C17)"),147.5)</f>
        <v>147.5</v>
      </c>
      <c r="T17" s="370">
        <f>IFERROR(__xludf.DUMMYFUNCTION("IMPORTRANGE(T$3,$C17)"),140.0)</f>
        <v>140</v>
      </c>
    </row>
    <row r="18">
      <c r="B18" s="345">
        <v>6.0</v>
      </c>
      <c r="C18" s="357" t="s">
        <v>958</v>
      </c>
      <c r="D18" s="345" t="s">
        <v>886</v>
      </c>
      <c r="E18" s="368" t="s">
        <v>898</v>
      </c>
      <c r="F18" s="360" t="s">
        <v>884</v>
      </c>
      <c r="G18" s="353" t="str">
        <f>IFERROR(__xludf.DUMMYFUNCTION("IMPORTRANGE(G$3,$C18)"),"")</f>
        <v/>
      </c>
      <c r="H18" s="369" t="str">
        <f>IFERROR(__xludf.DUMMYFUNCTION("IMPORTRANGE(H$3,$C18)"),"")</f>
        <v/>
      </c>
      <c r="I18" s="369" t="str">
        <f>IFERROR(__xludf.DUMMYFUNCTION("IMPORTRANGE(I$3,$C18)"),"")</f>
        <v/>
      </c>
      <c r="J18" s="369" t="str">
        <f>IFERROR(__xludf.DUMMYFUNCTION("IMPORTRANGE(J$3,$C18)"),"")</f>
        <v/>
      </c>
      <c r="K18" s="369" t="str">
        <f>IFERROR(__xludf.DUMMYFUNCTION("IMPORTRANGE(K$3,$C18)"),"")</f>
        <v/>
      </c>
      <c r="L18" s="369" t="str">
        <f>IFERROR(__xludf.DUMMYFUNCTION("IMPORTRANGE(L$3,$C18)"),"")</f>
        <v/>
      </c>
      <c r="M18" s="369" t="str">
        <f>IFERROR(__xludf.DUMMYFUNCTION("IMPORTRANGE(M$3,$C18)"),"")</f>
        <v/>
      </c>
      <c r="N18" s="369" t="str">
        <f>IFERROR(__xludf.DUMMYFUNCTION("IMPORTRANGE(N$3,$C18)"),"")</f>
        <v/>
      </c>
      <c r="O18" s="369" t="str">
        <f>IFERROR(__xludf.DUMMYFUNCTION("IMPORTRANGE(O$3,$C18)"),"")</f>
        <v/>
      </c>
      <c r="P18" s="369" t="str">
        <f>IFERROR(__xludf.DUMMYFUNCTION("IMPORTRANGE(P$3,$C18)"),"")</f>
        <v/>
      </c>
      <c r="Q18" s="369" t="str">
        <f>IFERROR(__xludf.DUMMYFUNCTION("IMPORTRANGE(Q$3,$C18)"),"")</f>
        <v/>
      </c>
      <c r="R18" s="369" t="str">
        <f>IFERROR(__xludf.DUMMYFUNCTION("IMPORTRANGE(R$3,$C18)"),"")</f>
        <v/>
      </c>
      <c r="S18" s="369" t="str">
        <f>IFERROR(__xludf.DUMMYFUNCTION("IMPORTRANGE(S$3,$C18)"),"")</f>
        <v/>
      </c>
      <c r="T18" s="369" t="str">
        <f>IFERROR(__xludf.DUMMYFUNCTION("IMPORTRANGE(T$3,$C18)"),"")</f>
        <v/>
      </c>
    </row>
    <row r="19">
      <c r="A19" s="361"/>
      <c r="B19" s="362"/>
      <c r="C19" s="362"/>
      <c r="E19" s="362"/>
      <c r="F19" s="363"/>
      <c r="G19" s="356"/>
      <c r="H19" s="274"/>
      <c r="I19" s="274"/>
      <c r="J19" s="274"/>
      <c r="K19" s="274"/>
      <c r="L19" s="274"/>
      <c r="M19" s="274"/>
      <c r="N19" s="274"/>
      <c r="O19" s="274"/>
      <c r="P19" s="274"/>
      <c r="Q19" s="274"/>
      <c r="R19" s="274"/>
      <c r="S19" s="274"/>
      <c r="T19" s="274"/>
    </row>
    <row r="20">
      <c r="A20" s="344" t="s">
        <v>899</v>
      </c>
      <c r="B20" s="345">
        <v>1.0</v>
      </c>
      <c r="C20" s="357" t="s">
        <v>959</v>
      </c>
      <c r="D20" s="345" t="s">
        <v>869</v>
      </c>
      <c r="E20" s="368" t="s">
        <v>870</v>
      </c>
      <c r="F20" s="358" t="s">
        <v>943</v>
      </c>
      <c r="G20" s="364">
        <f>IFERROR(__xludf.DUMMYFUNCTION("IMPORTRANGE(G$3,$C20)"),62.5)</f>
        <v>62.5</v>
      </c>
      <c r="H20" s="371">
        <f>IFERROR(__xludf.DUMMYFUNCTION("IMPORTRANGE(H$3,$C20)"),87.5)</f>
        <v>87.5</v>
      </c>
      <c r="I20" s="371">
        <f>IFERROR(__xludf.DUMMYFUNCTION("IMPORTRANGE(I$3,$C20)"),72.5)</f>
        <v>72.5</v>
      </c>
      <c r="J20" s="371">
        <f>IFERROR(__xludf.DUMMYFUNCTION("IMPORTRANGE(J$3,$C20)"),67.5)</f>
        <v>67.5</v>
      </c>
      <c r="K20" s="371">
        <f>IFERROR(__xludf.DUMMYFUNCTION("IMPORTRANGE(K$3,$C20)"),85.0)</f>
        <v>85</v>
      </c>
      <c r="L20" s="371">
        <f>IFERROR(__xludf.DUMMYFUNCTION("IMPORTRANGE(L$3,$C20)"),77.5)</f>
        <v>77.5</v>
      </c>
      <c r="M20" s="371">
        <f>IFERROR(__xludf.DUMMYFUNCTION("IMPORTRANGE(M$3,$C20)"),77.5)</f>
        <v>77.5</v>
      </c>
      <c r="N20" s="371">
        <f>IFERROR(__xludf.DUMMYFUNCTION("IMPORTRANGE(N$3,$C20)"),77.5)</f>
        <v>77.5</v>
      </c>
      <c r="O20" s="371">
        <f>IFERROR(__xludf.DUMMYFUNCTION("IMPORTRANGE(O$3,$C20)"),82.5)</f>
        <v>82.5</v>
      </c>
      <c r="P20" s="371">
        <f>IFERROR(__xludf.DUMMYFUNCTION("IMPORTRANGE(P$3,$C20)"),92.5)</f>
        <v>92.5</v>
      </c>
      <c r="Q20" s="371">
        <f>IFERROR(__xludf.DUMMYFUNCTION("IMPORTRANGE(Q$3,$C20)"),85.0)</f>
        <v>85</v>
      </c>
      <c r="R20" s="371">
        <f>IFERROR(__xludf.DUMMYFUNCTION("IMPORTRANGE(R$3,$C20)"),80.0)</f>
        <v>80</v>
      </c>
      <c r="S20" s="371">
        <f>IFERROR(__xludf.DUMMYFUNCTION("IMPORTRANGE(S$3,$C20)"),72.5)</f>
        <v>72.5</v>
      </c>
      <c r="T20" s="371">
        <f>IFERROR(__xludf.DUMMYFUNCTION("IMPORTRANGE(T$3,$C20)"),85.0)</f>
        <v>85</v>
      </c>
    </row>
    <row r="21">
      <c r="B21" s="348">
        <v>2.0</v>
      </c>
      <c r="C21" s="354" t="s">
        <v>960</v>
      </c>
      <c r="D21" s="348" t="s">
        <v>873</v>
      </c>
      <c r="E21" s="362" t="s">
        <v>870</v>
      </c>
      <c r="F21" s="355" t="s">
        <v>945</v>
      </c>
      <c r="G21" s="356">
        <f>IFERROR(__xludf.DUMMYFUNCTION("IMPORTRANGE(G$3,$C21)"),92.5)</f>
        <v>92.5</v>
      </c>
      <c r="H21" s="370">
        <f>IFERROR(__xludf.DUMMYFUNCTION("IMPORTRANGE(H$3,$C21)"),132.5)</f>
        <v>132.5</v>
      </c>
      <c r="I21" s="370">
        <f>IFERROR(__xludf.DUMMYFUNCTION("IMPORTRANGE(I$3,$C21)"),110.0)</f>
        <v>110</v>
      </c>
      <c r="J21" s="370">
        <f>IFERROR(__xludf.DUMMYFUNCTION("IMPORTRANGE(J$3,$C21)"),102.5)</f>
        <v>102.5</v>
      </c>
      <c r="K21" s="370">
        <f>IFERROR(__xludf.DUMMYFUNCTION("IMPORTRANGE(K$3,$C21)"),125.0)</f>
        <v>125</v>
      </c>
      <c r="L21" s="370">
        <f>IFERROR(__xludf.DUMMYFUNCTION("IMPORTRANGE(L$3,$C21)"),115.0)</f>
        <v>115</v>
      </c>
      <c r="M21" s="370">
        <f>IFERROR(__xludf.DUMMYFUNCTION("IMPORTRANGE(M$3,$C21)"),115.0)</f>
        <v>115</v>
      </c>
      <c r="N21" s="370">
        <f>IFERROR(__xludf.DUMMYFUNCTION("IMPORTRANGE(N$3,$C21)"),117.5)</f>
        <v>117.5</v>
      </c>
      <c r="O21" s="370">
        <f>IFERROR(__xludf.DUMMYFUNCTION("IMPORTRANGE(O$3,$C21)"),122.5)</f>
        <v>122.5</v>
      </c>
      <c r="P21" s="370">
        <f>IFERROR(__xludf.DUMMYFUNCTION("IMPORTRANGE(P$3,$C21)"),137.5)</f>
        <v>137.5</v>
      </c>
      <c r="Q21" s="370">
        <f>IFERROR(__xludf.DUMMYFUNCTION("IMPORTRANGE(Q$3,$C21)"),127.5)</f>
        <v>127.5</v>
      </c>
      <c r="R21" s="370">
        <f>IFERROR(__xludf.DUMMYFUNCTION("IMPORTRANGE(R$3,$C21)"),120.0)</f>
        <v>120</v>
      </c>
      <c r="S21" s="370">
        <f>IFERROR(__xludf.DUMMYFUNCTION("IMPORTRANGE(S$3,$C21)"),110.0)</f>
        <v>110</v>
      </c>
      <c r="T21" s="370">
        <f>IFERROR(__xludf.DUMMYFUNCTION("IMPORTRANGE(T$3,$C21)"),125.0)</f>
        <v>125</v>
      </c>
    </row>
    <row r="22">
      <c r="B22" s="345">
        <v>3.0</v>
      </c>
      <c r="C22" s="357" t="s">
        <v>961</v>
      </c>
      <c r="D22" s="345" t="s">
        <v>876</v>
      </c>
      <c r="E22" s="368" t="s">
        <v>870</v>
      </c>
      <c r="F22" s="358" t="s">
        <v>947</v>
      </c>
      <c r="G22" s="353">
        <f>IFERROR(__xludf.DUMMYFUNCTION("IMPORTRANGE(G$3,$C22)"),122.5)</f>
        <v>122.5</v>
      </c>
      <c r="H22" s="369">
        <f>IFERROR(__xludf.DUMMYFUNCTION("IMPORTRANGE(H$3,$C22)"),177.5)</f>
        <v>177.5</v>
      </c>
      <c r="I22" s="369">
        <f>IFERROR(__xludf.DUMMYFUNCTION("IMPORTRANGE(I$3,$C22)"),145.0)</f>
        <v>145</v>
      </c>
      <c r="J22" s="369">
        <f>IFERROR(__xludf.DUMMYFUNCTION("IMPORTRANGE(J$3,$C22)"),137.5)</f>
        <v>137.5</v>
      </c>
      <c r="K22" s="369">
        <f>IFERROR(__xludf.DUMMYFUNCTION("IMPORTRANGE(K$3,$C22)"),167.5)</f>
        <v>167.5</v>
      </c>
      <c r="L22" s="369">
        <f>IFERROR(__xludf.DUMMYFUNCTION("IMPORTRANGE(L$3,$C22)"),152.5)</f>
        <v>152.5</v>
      </c>
      <c r="M22" s="369">
        <f>IFERROR(__xludf.DUMMYFUNCTION("IMPORTRANGE(M$3,$C22)"),152.5)</f>
        <v>152.5</v>
      </c>
      <c r="N22" s="369">
        <f>IFERROR(__xludf.DUMMYFUNCTION("IMPORTRANGE(N$3,$C22)"),155.0)</f>
        <v>155</v>
      </c>
      <c r="O22" s="369">
        <f>IFERROR(__xludf.DUMMYFUNCTION("IMPORTRANGE(O$3,$C22)"),162.5)</f>
        <v>162.5</v>
      </c>
      <c r="P22" s="369">
        <f>IFERROR(__xludf.DUMMYFUNCTION("IMPORTRANGE(P$3,$C22)"),185.0)</f>
        <v>185</v>
      </c>
      <c r="Q22" s="369">
        <f>IFERROR(__xludf.DUMMYFUNCTION("IMPORTRANGE(Q$3,$C22)"),170.0)</f>
        <v>170</v>
      </c>
      <c r="R22" s="369">
        <f>IFERROR(__xludf.DUMMYFUNCTION("IMPORTRANGE(R$3,$C22)"),160.0)</f>
        <v>160</v>
      </c>
      <c r="S22" s="369">
        <f>IFERROR(__xludf.DUMMYFUNCTION("IMPORTRANGE(S$3,$C22)"),145.0)</f>
        <v>145</v>
      </c>
      <c r="T22" s="369">
        <f>IFERROR(__xludf.DUMMYFUNCTION("IMPORTRANGE(T$3,$C22)"),167.5)</f>
        <v>167.5</v>
      </c>
    </row>
    <row r="23">
      <c r="B23" s="348">
        <v>4.0</v>
      </c>
      <c r="C23" s="354" t="s">
        <v>962</v>
      </c>
      <c r="D23" s="348" t="s">
        <v>879</v>
      </c>
      <c r="E23" s="359" t="s">
        <v>870</v>
      </c>
      <c r="F23" s="355" t="s">
        <v>947</v>
      </c>
      <c r="G23" s="356">
        <f>IFERROR(__xludf.DUMMYFUNCTION("IMPORTRANGE(G$3,$C23)"),147.5)</f>
        <v>147.5</v>
      </c>
      <c r="H23" s="370">
        <f>IFERROR(__xludf.DUMMYFUNCTION("IMPORTRANGE(H$3,$C23)"),212.5)</f>
        <v>212.5</v>
      </c>
      <c r="I23" s="370">
        <f>IFERROR(__xludf.DUMMYFUNCTION("IMPORTRANGE(I$3,$C23)"),175.0)</f>
        <v>175</v>
      </c>
      <c r="J23" s="370">
        <f>IFERROR(__xludf.DUMMYFUNCTION("IMPORTRANGE(J$3,$C23)"),165.0)</f>
        <v>165</v>
      </c>
      <c r="K23" s="370">
        <f>IFERROR(__xludf.DUMMYFUNCTION("IMPORTRANGE(K$3,$C23)"),202.5)</f>
        <v>202.5</v>
      </c>
      <c r="L23" s="370">
        <f>IFERROR(__xludf.DUMMYFUNCTION("IMPORTRANGE(L$3,$C23)"),182.5)</f>
        <v>182.5</v>
      </c>
      <c r="M23" s="370">
        <f>IFERROR(__xludf.DUMMYFUNCTION("IMPORTRANGE(M$3,$C23)"),182.5)</f>
        <v>182.5</v>
      </c>
      <c r="N23" s="370">
        <f>IFERROR(__xludf.DUMMYFUNCTION("IMPORTRANGE(N$3,$C23)"),187.5)</f>
        <v>187.5</v>
      </c>
      <c r="O23" s="370">
        <f>IFERROR(__xludf.DUMMYFUNCTION("IMPORTRANGE(O$3,$C23)"),195.0)</f>
        <v>195</v>
      </c>
      <c r="P23" s="370">
        <f>IFERROR(__xludf.DUMMYFUNCTION("IMPORTRANGE(P$3,$C23)"),222.5)</f>
        <v>222.5</v>
      </c>
      <c r="Q23" s="370">
        <f>IFERROR(__xludf.DUMMYFUNCTION("IMPORTRANGE(Q$3,$C23)"),205.0)</f>
        <v>205</v>
      </c>
      <c r="R23" s="370">
        <f>IFERROR(__xludf.DUMMYFUNCTION("IMPORTRANGE(R$3,$C23)"),190.0)</f>
        <v>190</v>
      </c>
      <c r="S23" s="370">
        <f>IFERROR(__xludf.DUMMYFUNCTION("IMPORTRANGE(S$3,$C23)"),175.0)</f>
        <v>175</v>
      </c>
      <c r="T23" s="370">
        <f>IFERROR(__xludf.DUMMYFUNCTION("IMPORTRANGE(T$3,$C23)"),202.5)</f>
        <v>202.5</v>
      </c>
    </row>
    <row r="24">
      <c r="B24" s="345">
        <v>5.0</v>
      </c>
      <c r="C24" s="357" t="s">
        <v>963</v>
      </c>
      <c r="D24" s="345" t="s">
        <v>882</v>
      </c>
      <c r="E24" s="372" t="s">
        <v>950</v>
      </c>
      <c r="F24" s="358" t="s">
        <v>947</v>
      </c>
      <c r="G24" s="353">
        <f>IFERROR(__xludf.DUMMYFUNCTION("IMPORTRANGE(G$3,$C24)"),167.5)</f>
        <v>167.5</v>
      </c>
      <c r="H24" s="369">
        <f>IFERROR(__xludf.DUMMYFUNCTION("IMPORTRANGE(H$3,$C24)"),242.5)</f>
        <v>242.5</v>
      </c>
      <c r="I24" s="369">
        <f>IFERROR(__xludf.DUMMYFUNCTION("IMPORTRANGE(I$3,$C24)"),200.0)</f>
        <v>200</v>
      </c>
      <c r="J24" s="369">
        <f>IFERROR(__xludf.DUMMYFUNCTION("IMPORTRANGE(J$3,$C24)"),187.5)</f>
        <v>187.5</v>
      </c>
      <c r="K24" s="369">
        <f>IFERROR(__xludf.DUMMYFUNCTION("IMPORTRANGE(K$3,$C24)"),230.0)</f>
        <v>230</v>
      </c>
      <c r="L24" s="369">
        <f>IFERROR(__xludf.DUMMYFUNCTION("IMPORTRANGE(L$3,$C24)"),210.0)</f>
        <v>210</v>
      </c>
      <c r="M24" s="369">
        <f>IFERROR(__xludf.DUMMYFUNCTION("IMPORTRANGE(M$3,$C24)"),210.0)</f>
        <v>210</v>
      </c>
      <c r="N24" s="369">
        <f>IFERROR(__xludf.DUMMYFUNCTION("IMPORTRANGE(N$3,$C24)"),212.5)</f>
        <v>212.5</v>
      </c>
      <c r="O24" s="369">
        <f>IFERROR(__xludf.DUMMYFUNCTION("IMPORTRANGE(O$3,$C24)"),222.5)</f>
        <v>222.5</v>
      </c>
      <c r="P24" s="369">
        <f>IFERROR(__xludf.DUMMYFUNCTION("IMPORTRANGE(P$3,$C24)"),252.5)</f>
        <v>252.5</v>
      </c>
      <c r="Q24" s="369">
        <f>IFERROR(__xludf.DUMMYFUNCTION("IMPORTRANGE(Q$3,$C24)"),232.5)</f>
        <v>232.5</v>
      </c>
      <c r="R24" s="369">
        <f>IFERROR(__xludf.DUMMYFUNCTION("IMPORTRANGE(R$3,$C24)"),217.5)</f>
        <v>217.5</v>
      </c>
      <c r="S24" s="369">
        <f>IFERROR(__xludf.DUMMYFUNCTION("IMPORTRANGE(S$3,$C24)"),200.0)</f>
        <v>200</v>
      </c>
      <c r="T24" s="369">
        <f>IFERROR(__xludf.DUMMYFUNCTION("IMPORTRANGE(T$3,$C24)"),230.0)</f>
        <v>230</v>
      </c>
    </row>
    <row r="25">
      <c r="B25" s="348">
        <v>6.0</v>
      </c>
      <c r="C25" s="354" t="s">
        <v>964</v>
      </c>
      <c r="D25" s="348" t="s">
        <v>886</v>
      </c>
      <c r="E25" s="359" t="s">
        <v>950</v>
      </c>
      <c r="F25" s="373" t="s">
        <v>884</v>
      </c>
      <c r="G25" s="356" t="str">
        <f>IFERROR(__xludf.DUMMYFUNCTION("IMPORTRANGE(G$3,$C25)"),"")</f>
        <v/>
      </c>
      <c r="H25" s="370" t="str">
        <f>IFERROR(__xludf.DUMMYFUNCTION("IMPORTRANGE(H$3,$C25)"),"")</f>
        <v/>
      </c>
      <c r="I25" s="370" t="str">
        <f>IFERROR(__xludf.DUMMYFUNCTION("IMPORTRANGE(I$3,$C25)"),"")</f>
        <v/>
      </c>
      <c r="J25" s="370" t="str">
        <f>IFERROR(__xludf.DUMMYFUNCTION("IMPORTRANGE(J$3,$C25)"),"")</f>
        <v/>
      </c>
      <c r="K25" s="370" t="str">
        <f>IFERROR(__xludf.DUMMYFUNCTION("IMPORTRANGE(K$3,$C25)"),"")</f>
        <v/>
      </c>
      <c r="L25" s="370" t="str">
        <f>IFERROR(__xludf.DUMMYFUNCTION("IMPORTRANGE(L$3,$C25)"),"")</f>
        <v/>
      </c>
      <c r="M25" s="370" t="str">
        <f>IFERROR(__xludf.DUMMYFUNCTION("IMPORTRANGE(M$3,$C25)"),"")</f>
        <v/>
      </c>
      <c r="N25" s="370" t="str">
        <f>IFERROR(__xludf.DUMMYFUNCTION("IMPORTRANGE(N$3,$C25)"),"")</f>
        <v/>
      </c>
      <c r="O25" s="370" t="str">
        <f>IFERROR(__xludf.DUMMYFUNCTION("IMPORTRANGE(O$3,$C25)"),"")</f>
        <v/>
      </c>
      <c r="P25" s="370" t="str">
        <f>IFERROR(__xludf.DUMMYFUNCTION("IMPORTRANGE(P$3,$C25)"),"")</f>
        <v/>
      </c>
      <c r="Q25" s="370" t="str">
        <f>IFERROR(__xludf.DUMMYFUNCTION("IMPORTRANGE(Q$3,$C25)"),"")</f>
        <v/>
      </c>
      <c r="R25" s="370" t="str">
        <f>IFERROR(__xludf.DUMMYFUNCTION("IMPORTRANGE(R$3,$C25)"),"")</f>
        <v/>
      </c>
      <c r="S25" s="370" t="str">
        <f>IFERROR(__xludf.DUMMYFUNCTION("IMPORTRANGE(S$3,$C25)"),"")</f>
        <v/>
      </c>
      <c r="T25" s="370" t="str">
        <f>IFERROR(__xludf.DUMMYFUNCTION("IMPORTRANGE(T$3,$C25)"),"")</f>
        <v/>
      </c>
    </row>
    <row r="26">
      <c r="A26" s="374"/>
      <c r="B26" s="375"/>
      <c r="C26" s="375"/>
      <c r="D26" s="376"/>
      <c r="E26" s="377"/>
      <c r="F26" s="377"/>
      <c r="G26" s="378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79"/>
      <c r="S26" s="379"/>
      <c r="T26" s="379"/>
    </row>
  </sheetData>
  <mergeCells count="6">
    <mergeCell ref="E2:F2"/>
    <mergeCell ref="A4:A10"/>
    <mergeCell ref="E4:F4"/>
    <mergeCell ref="A12:A18"/>
    <mergeCell ref="E12:F12"/>
    <mergeCell ref="A20:A25"/>
  </mergeCells>
  <hyperlinks>
    <hyperlink r:id="rId2" ref="G3"/>
    <hyperlink r:id="rId3" ref="H3"/>
    <hyperlink r:id="rId4" ref="I3"/>
    <hyperlink r:id="rId5" ref="J3"/>
    <hyperlink r:id="rId6" ref="K3"/>
    <hyperlink r:id="rId7" ref="L3"/>
    <hyperlink r:id="rId8" ref="M3"/>
    <hyperlink r:id="rId9" ref="N3"/>
    <hyperlink r:id="rId10" ref="O3"/>
    <hyperlink r:id="rId11" location="gid=101494087" ref="P3"/>
    <hyperlink r:id="rId12" ref="Q3"/>
    <hyperlink r:id="rId13" ref="R3"/>
    <hyperlink r:id="rId14" ref="S3"/>
    <hyperlink r:id="rId15" ref="T3"/>
  </hyperlinks>
  <drawing r:id="rId16"/>
  <legacyDrawing r:id="rId1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75"/>
    <col customWidth="1" hidden="1" min="2" max="14" width="6.63"/>
    <col customWidth="1" min="15" max="18" width="6.63"/>
    <col customWidth="1" hidden="1" min="19" max="45" width="9.25"/>
  </cols>
  <sheetData>
    <row r="1">
      <c r="A1" s="380" t="s">
        <v>192</v>
      </c>
      <c r="B1" s="381" t="s">
        <v>834</v>
      </c>
      <c r="C1" s="380" t="s">
        <v>836</v>
      </c>
      <c r="D1" s="380" t="s">
        <v>838</v>
      </c>
      <c r="E1" s="382" t="s">
        <v>965</v>
      </c>
      <c r="F1" s="381" t="s">
        <v>849</v>
      </c>
      <c r="G1" s="380" t="s">
        <v>851</v>
      </c>
      <c r="H1" s="380" t="s">
        <v>853</v>
      </c>
      <c r="I1" s="382" t="s">
        <v>965</v>
      </c>
      <c r="J1" s="380" t="s">
        <v>966</v>
      </c>
      <c r="K1" s="383" t="s">
        <v>967</v>
      </c>
      <c r="L1" s="384" t="s">
        <v>968</v>
      </c>
      <c r="M1" s="384" t="s">
        <v>969</v>
      </c>
      <c r="N1" s="382" t="s">
        <v>965</v>
      </c>
      <c r="O1" s="384" t="s">
        <v>29</v>
      </c>
      <c r="P1" s="380" t="s">
        <v>83</v>
      </c>
      <c r="Q1" s="380" t="s">
        <v>970</v>
      </c>
      <c r="R1" s="384" t="s">
        <v>971</v>
      </c>
      <c r="S1" s="381" t="s">
        <v>972</v>
      </c>
      <c r="T1" s="380" t="s">
        <v>973</v>
      </c>
      <c r="U1" s="385" t="s">
        <v>974</v>
      </c>
      <c r="V1" s="381" t="s">
        <v>975</v>
      </c>
      <c r="W1" s="380" t="s">
        <v>976</v>
      </c>
      <c r="X1" s="385" t="s">
        <v>977</v>
      </c>
      <c r="Y1" s="381" t="s">
        <v>978</v>
      </c>
      <c r="Z1" s="380" t="s">
        <v>979</v>
      </c>
      <c r="AA1" s="385" t="s">
        <v>980</v>
      </c>
      <c r="AB1" s="381" t="s">
        <v>981</v>
      </c>
      <c r="AC1" s="380" t="s">
        <v>982</v>
      </c>
      <c r="AD1" s="385" t="s">
        <v>983</v>
      </c>
      <c r="AE1" s="381" t="s">
        <v>984</v>
      </c>
      <c r="AF1" s="380" t="s">
        <v>985</v>
      </c>
      <c r="AG1" s="385" t="s">
        <v>986</v>
      </c>
      <c r="AH1" s="381" t="s">
        <v>987</v>
      </c>
      <c r="AI1" s="380" t="s">
        <v>988</v>
      </c>
      <c r="AJ1" s="385" t="s">
        <v>989</v>
      </c>
      <c r="AK1" s="381" t="s">
        <v>990</v>
      </c>
      <c r="AL1" s="380" t="s">
        <v>991</v>
      </c>
      <c r="AM1" s="385" t="s">
        <v>992</v>
      </c>
      <c r="AN1" s="381" t="s">
        <v>993</v>
      </c>
      <c r="AO1" s="380" t="s">
        <v>994</v>
      </c>
      <c r="AP1" s="385" t="s">
        <v>995</v>
      </c>
      <c r="AQ1" s="381" t="s">
        <v>996</v>
      </c>
      <c r="AR1" s="380" t="s">
        <v>997</v>
      </c>
      <c r="AS1" s="385" t="s">
        <v>998</v>
      </c>
    </row>
    <row r="2">
      <c r="A2" s="55" t="s">
        <v>244</v>
      </c>
      <c r="B2" s="386">
        <v>130.0</v>
      </c>
      <c r="C2" s="387">
        <v>137.5</v>
      </c>
      <c r="D2" s="387">
        <v>-142.5</v>
      </c>
      <c r="E2" s="388">
        <v>137.5</v>
      </c>
      <c r="F2" s="386">
        <v>65.0</v>
      </c>
      <c r="G2" s="387">
        <v>70.0</v>
      </c>
      <c r="H2" s="387">
        <v>75.0</v>
      </c>
      <c r="I2" s="388">
        <v>75.0</v>
      </c>
      <c r="J2" s="387">
        <v>212.5</v>
      </c>
      <c r="K2" s="386">
        <v>122.5</v>
      </c>
      <c r="L2" s="387">
        <v>132.5</v>
      </c>
      <c r="M2" s="387">
        <v>-137.5</v>
      </c>
      <c r="N2" s="388">
        <v>132.5</v>
      </c>
      <c r="O2" s="389">
        <v>52.0</v>
      </c>
      <c r="P2" s="387">
        <v>345.0</v>
      </c>
      <c r="Q2" s="387">
        <v>6.0</v>
      </c>
      <c r="R2" s="387" t="str">
        <f t="shared" ref="R2:R37" si="1">INDEX(Sheet18!$A$1:$B$36,MATCH($A2,Sheet18!$B$1:$B$36,0),1)</f>
        <v>#REF!</v>
      </c>
      <c r="S2" s="390" t="s">
        <v>999</v>
      </c>
      <c r="T2" s="55" t="s">
        <v>1000</v>
      </c>
      <c r="U2" s="391" t="s">
        <v>1000</v>
      </c>
      <c r="V2" s="390" t="s">
        <v>1000</v>
      </c>
      <c r="W2" s="55" t="s">
        <v>1000</v>
      </c>
      <c r="X2" s="391" t="s">
        <v>1001</v>
      </c>
      <c r="Y2" s="390" t="s">
        <v>1000</v>
      </c>
      <c r="Z2" s="55" t="s">
        <v>1000</v>
      </c>
      <c r="AA2" s="391" t="s">
        <v>1000</v>
      </c>
      <c r="AB2" s="390" t="s">
        <v>1000</v>
      </c>
      <c r="AC2" s="55" t="s">
        <v>1000</v>
      </c>
      <c r="AD2" s="391" t="s">
        <v>1000</v>
      </c>
      <c r="AE2" s="390" t="s">
        <v>1000</v>
      </c>
      <c r="AF2" s="55" t="s">
        <v>1000</v>
      </c>
      <c r="AG2" s="391" t="s">
        <v>1000</v>
      </c>
      <c r="AH2" s="390" t="s">
        <v>1000</v>
      </c>
      <c r="AI2" s="55" t="s">
        <v>1000</v>
      </c>
      <c r="AJ2" s="391" t="s">
        <v>1000</v>
      </c>
      <c r="AK2" s="390" t="s">
        <v>1000</v>
      </c>
      <c r="AL2" s="55" t="s">
        <v>1000</v>
      </c>
      <c r="AM2" s="391" t="s">
        <v>1000</v>
      </c>
      <c r="AN2" s="390" t="s">
        <v>1000</v>
      </c>
      <c r="AO2" s="55" t="s">
        <v>1000</v>
      </c>
      <c r="AP2" s="391" t="s">
        <v>1000</v>
      </c>
      <c r="AQ2" s="390" t="s">
        <v>1000</v>
      </c>
      <c r="AR2" s="55" t="s">
        <v>1000</v>
      </c>
      <c r="AS2" s="391" t="s">
        <v>1000</v>
      </c>
    </row>
    <row r="3">
      <c r="A3" s="55" t="s">
        <v>1002</v>
      </c>
      <c r="B3" s="386">
        <v>120.0</v>
      </c>
      <c r="C3" s="387">
        <v>125.0</v>
      </c>
      <c r="D3" s="387">
        <v>-127.5</v>
      </c>
      <c r="E3" s="388">
        <v>125.0</v>
      </c>
      <c r="F3" s="386">
        <v>62.5</v>
      </c>
      <c r="G3" s="387">
        <v>67.5</v>
      </c>
      <c r="H3" s="387">
        <v>70.0</v>
      </c>
      <c r="I3" s="388">
        <v>70.0</v>
      </c>
      <c r="J3" s="387">
        <v>195.0</v>
      </c>
      <c r="K3" s="386">
        <v>112.5</v>
      </c>
      <c r="L3" s="387">
        <v>120.0</v>
      </c>
      <c r="M3" s="387">
        <v>-125.0</v>
      </c>
      <c r="N3" s="388">
        <v>120.0</v>
      </c>
      <c r="O3" s="389">
        <v>52.0</v>
      </c>
      <c r="P3" s="387">
        <v>315.0</v>
      </c>
      <c r="Q3" s="387">
        <v>11.0</v>
      </c>
      <c r="R3" s="387" t="str">
        <f t="shared" si="1"/>
        <v>#REF!</v>
      </c>
      <c r="S3" s="390" t="s">
        <v>1001</v>
      </c>
      <c r="T3" s="55" t="s">
        <v>1000</v>
      </c>
      <c r="U3" s="391" t="s">
        <v>1000</v>
      </c>
      <c r="V3" s="390" t="s">
        <v>1001</v>
      </c>
      <c r="W3" s="55" t="s">
        <v>1000</v>
      </c>
      <c r="X3" s="391" t="s">
        <v>1001</v>
      </c>
      <c r="Y3" s="390" t="s">
        <v>1003</v>
      </c>
      <c r="Z3" s="55" t="s">
        <v>1003</v>
      </c>
      <c r="AA3" s="391" t="s">
        <v>1003</v>
      </c>
      <c r="AB3" s="390" t="s">
        <v>1000</v>
      </c>
      <c r="AC3" s="55" t="s">
        <v>1000</v>
      </c>
      <c r="AD3" s="391" t="s">
        <v>1000</v>
      </c>
      <c r="AE3" s="390" t="s">
        <v>1000</v>
      </c>
      <c r="AF3" s="55" t="s">
        <v>1000</v>
      </c>
      <c r="AG3" s="391" t="s">
        <v>1000</v>
      </c>
      <c r="AH3" s="390" t="s">
        <v>1000</v>
      </c>
      <c r="AI3" s="55" t="s">
        <v>1000</v>
      </c>
      <c r="AJ3" s="391" t="s">
        <v>1000</v>
      </c>
      <c r="AK3" s="390" t="s">
        <v>1000</v>
      </c>
      <c r="AL3" s="55" t="s">
        <v>1000</v>
      </c>
      <c r="AM3" s="391" t="s">
        <v>1000</v>
      </c>
      <c r="AN3" s="390" t="s">
        <v>1000</v>
      </c>
      <c r="AO3" s="55" t="s">
        <v>1000</v>
      </c>
      <c r="AP3" s="391" t="s">
        <v>1000</v>
      </c>
      <c r="AQ3" s="390" t="s">
        <v>1000</v>
      </c>
      <c r="AR3" s="55" t="s">
        <v>1000</v>
      </c>
      <c r="AS3" s="391" t="s">
        <v>1000</v>
      </c>
    </row>
    <row r="4">
      <c r="A4" s="55" t="s">
        <v>199</v>
      </c>
      <c r="B4" s="386">
        <v>135.0</v>
      </c>
      <c r="C4" s="387">
        <v>-142.5</v>
      </c>
      <c r="D4" s="387">
        <v>-145.0</v>
      </c>
      <c r="E4" s="388">
        <v>135.0</v>
      </c>
      <c r="F4" s="386">
        <v>70.0</v>
      </c>
      <c r="G4" s="387">
        <v>75.0</v>
      </c>
      <c r="H4" s="387">
        <v>77.5</v>
      </c>
      <c r="I4" s="388">
        <v>77.5</v>
      </c>
      <c r="J4" s="387">
        <v>212.5</v>
      </c>
      <c r="K4" s="386">
        <v>127.5</v>
      </c>
      <c r="L4" s="387">
        <v>132.5</v>
      </c>
      <c r="M4" s="387">
        <v>135.0</v>
      </c>
      <c r="N4" s="388">
        <v>135.0</v>
      </c>
      <c r="O4" s="389">
        <v>60.0</v>
      </c>
      <c r="P4" s="387">
        <v>347.5</v>
      </c>
      <c r="Q4" s="387">
        <v>11.0</v>
      </c>
      <c r="R4" s="387" t="str">
        <f t="shared" si="1"/>
        <v>#REF!</v>
      </c>
      <c r="S4" s="390" t="s">
        <v>1000</v>
      </c>
      <c r="T4" s="55" t="s">
        <v>1000</v>
      </c>
      <c r="U4" s="391" t="s">
        <v>1000</v>
      </c>
      <c r="V4" s="390" t="s">
        <v>1003</v>
      </c>
      <c r="W4" s="55" t="s">
        <v>1003</v>
      </c>
      <c r="X4" s="391" t="s">
        <v>1003</v>
      </c>
      <c r="Y4" s="390" t="s">
        <v>1003</v>
      </c>
      <c r="Z4" s="55" t="s">
        <v>1003</v>
      </c>
      <c r="AA4" s="391" t="s">
        <v>1003</v>
      </c>
      <c r="AB4" s="390" t="s">
        <v>1000</v>
      </c>
      <c r="AC4" s="55" t="s">
        <v>1000</v>
      </c>
      <c r="AD4" s="391" t="s">
        <v>1000</v>
      </c>
      <c r="AE4" s="390" t="s">
        <v>1003</v>
      </c>
      <c r="AF4" s="55" t="s">
        <v>1003</v>
      </c>
      <c r="AG4" s="391" t="s">
        <v>1003</v>
      </c>
      <c r="AH4" s="390" t="s">
        <v>1003</v>
      </c>
      <c r="AI4" s="55" t="s">
        <v>1000</v>
      </c>
      <c r="AJ4" s="391" t="s">
        <v>1003</v>
      </c>
      <c r="AK4" s="390" t="s">
        <v>1000</v>
      </c>
      <c r="AL4" s="55" t="s">
        <v>1000</v>
      </c>
      <c r="AM4" s="391" t="s">
        <v>1000</v>
      </c>
      <c r="AN4" s="390" t="s">
        <v>1000</v>
      </c>
      <c r="AO4" s="55" t="s">
        <v>1000</v>
      </c>
      <c r="AP4" s="391" t="s">
        <v>1000</v>
      </c>
      <c r="AQ4" s="390" t="s">
        <v>1000</v>
      </c>
      <c r="AR4" s="55" t="s">
        <v>1000</v>
      </c>
      <c r="AS4" s="391" t="s">
        <v>1000</v>
      </c>
    </row>
    <row r="5">
      <c r="A5" s="55" t="s">
        <v>1004</v>
      </c>
      <c r="B5" s="386">
        <v>117.5</v>
      </c>
      <c r="C5" s="387">
        <v>-125.0</v>
      </c>
      <c r="D5" s="387">
        <v>-125.0</v>
      </c>
      <c r="E5" s="388">
        <v>117.5</v>
      </c>
      <c r="F5" s="386">
        <v>75.0</v>
      </c>
      <c r="G5" s="387">
        <v>-77.5</v>
      </c>
      <c r="H5" s="387">
        <v>-77.5</v>
      </c>
      <c r="I5" s="388">
        <v>75.0</v>
      </c>
      <c r="J5" s="387">
        <v>192.5</v>
      </c>
      <c r="K5" s="386">
        <v>120.0</v>
      </c>
      <c r="L5" s="387">
        <v>125.0</v>
      </c>
      <c r="M5" s="387">
        <v>130.0</v>
      </c>
      <c r="N5" s="388">
        <v>130.0</v>
      </c>
      <c r="O5" s="389">
        <v>60.0</v>
      </c>
      <c r="P5" s="387">
        <v>322.5</v>
      </c>
      <c r="Q5" s="387">
        <v>14.0</v>
      </c>
      <c r="R5" s="387" t="str">
        <f t="shared" si="1"/>
        <v>#REF!</v>
      </c>
      <c r="S5" s="390" t="s">
        <v>1000</v>
      </c>
      <c r="T5" s="55" t="s">
        <v>1000</v>
      </c>
      <c r="U5" s="391" t="s">
        <v>1000</v>
      </c>
      <c r="V5" s="390" t="s">
        <v>1000</v>
      </c>
      <c r="W5" s="55" t="s">
        <v>1000</v>
      </c>
      <c r="X5" s="391" t="s">
        <v>1000</v>
      </c>
      <c r="Y5" s="390" t="s">
        <v>1003</v>
      </c>
      <c r="Z5" s="55" t="s">
        <v>1003</v>
      </c>
      <c r="AA5" s="391" t="s">
        <v>1003</v>
      </c>
      <c r="AB5" s="390" t="s">
        <v>1000</v>
      </c>
      <c r="AC5" s="55" t="s">
        <v>1000</v>
      </c>
      <c r="AD5" s="391" t="s">
        <v>1000</v>
      </c>
      <c r="AE5" s="390" t="s">
        <v>1000</v>
      </c>
      <c r="AF5" s="55" t="s">
        <v>1000</v>
      </c>
      <c r="AG5" s="391" t="s">
        <v>1000</v>
      </c>
      <c r="AH5" s="390" t="s">
        <v>1000</v>
      </c>
      <c r="AI5" s="55" t="s">
        <v>1000</v>
      </c>
      <c r="AJ5" s="391" t="s">
        <v>1000</v>
      </c>
      <c r="AK5" s="390" t="s">
        <v>1000</v>
      </c>
      <c r="AL5" s="55" t="s">
        <v>1000</v>
      </c>
      <c r="AM5" s="391" t="s">
        <v>1000</v>
      </c>
      <c r="AN5" s="390" t="s">
        <v>1000</v>
      </c>
      <c r="AO5" s="55" t="s">
        <v>1000</v>
      </c>
      <c r="AP5" s="391" t="s">
        <v>1000</v>
      </c>
      <c r="AQ5" s="390" t="s">
        <v>1003</v>
      </c>
      <c r="AR5" s="55" t="s">
        <v>1003</v>
      </c>
      <c r="AS5" s="391" t="s">
        <v>1003</v>
      </c>
    </row>
    <row r="6">
      <c r="A6" s="55" t="s">
        <v>1005</v>
      </c>
      <c r="B6" s="386">
        <v>197.5</v>
      </c>
      <c r="C6" s="387">
        <v>-202.5</v>
      </c>
      <c r="D6" s="387">
        <v>-202.5</v>
      </c>
      <c r="E6" s="388">
        <v>197.5</v>
      </c>
      <c r="F6" s="386">
        <v>100.0</v>
      </c>
      <c r="G6" s="387">
        <v>102.5</v>
      </c>
      <c r="H6" s="387">
        <v>105.0</v>
      </c>
      <c r="I6" s="388">
        <v>105.0</v>
      </c>
      <c r="J6" s="387">
        <v>302.5</v>
      </c>
      <c r="K6" s="386">
        <v>180.0</v>
      </c>
      <c r="L6" s="387">
        <v>185.0</v>
      </c>
      <c r="M6" s="387">
        <v>-190.0</v>
      </c>
      <c r="N6" s="388">
        <v>185.0</v>
      </c>
      <c r="O6" s="389">
        <v>60.0</v>
      </c>
      <c r="P6" s="387">
        <v>487.5</v>
      </c>
      <c r="Q6" s="387">
        <v>2.0</v>
      </c>
      <c r="R6" s="387" t="str">
        <f t="shared" si="1"/>
        <v>#REF!</v>
      </c>
      <c r="S6" s="390" t="s">
        <v>1000</v>
      </c>
      <c r="T6" s="55" t="s">
        <v>1000</v>
      </c>
      <c r="U6" s="391" t="s">
        <v>1000</v>
      </c>
      <c r="V6" s="390" t="s">
        <v>1000</v>
      </c>
      <c r="W6" s="55" t="s">
        <v>1000</v>
      </c>
      <c r="X6" s="391" t="s">
        <v>1000</v>
      </c>
      <c r="Y6" s="390" t="s">
        <v>1001</v>
      </c>
      <c r="Z6" s="55" t="s">
        <v>1001</v>
      </c>
      <c r="AA6" s="391" t="s">
        <v>1000</v>
      </c>
      <c r="AB6" s="390" t="s">
        <v>1000</v>
      </c>
      <c r="AC6" s="55" t="s">
        <v>1000</v>
      </c>
      <c r="AD6" s="391" t="s">
        <v>1000</v>
      </c>
      <c r="AE6" s="390" t="s">
        <v>1000</v>
      </c>
      <c r="AF6" s="55" t="s">
        <v>1000</v>
      </c>
      <c r="AG6" s="391" t="s">
        <v>1000</v>
      </c>
      <c r="AH6" s="390" t="s">
        <v>1000</v>
      </c>
      <c r="AI6" s="55" t="s">
        <v>1000</v>
      </c>
      <c r="AJ6" s="391" t="s">
        <v>999</v>
      </c>
      <c r="AK6" s="390" t="s">
        <v>1000</v>
      </c>
      <c r="AL6" s="55" t="s">
        <v>1000</v>
      </c>
      <c r="AM6" s="391" t="s">
        <v>1000</v>
      </c>
      <c r="AN6" s="390" t="s">
        <v>1000</v>
      </c>
      <c r="AO6" s="55" t="s">
        <v>1000</v>
      </c>
      <c r="AP6" s="391" t="s">
        <v>1000</v>
      </c>
      <c r="AQ6" s="390" t="s">
        <v>999</v>
      </c>
      <c r="AR6" s="55" t="s">
        <v>1000</v>
      </c>
      <c r="AS6" s="391" t="s">
        <v>1001</v>
      </c>
    </row>
    <row r="7">
      <c r="A7" s="55" t="s">
        <v>196</v>
      </c>
      <c r="B7" s="386">
        <v>142.5</v>
      </c>
      <c r="C7" s="387">
        <v>147.5</v>
      </c>
      <c r="D7" s="387">
        <v>152.5</v>
      </c>
      <c r="E7" s="388">
        <v>152.5</v>
      </c>
      <c r="F7" s="386">
        <v>77.5</v>
      </c>
      <c r="G7" s="387">
        <v>80.0</v>
      </c>
      <c r="H7" s="387">
        <v>82.5</v>
      </c>
      <c r="I7" s="388">
        <v>82.5</v>
      </c>
      <c r="J7" s="387">
        <v>235.0</v>
      </c>
      <c r="K7" s="386">
        <v>122.5</v>
      </c>
      <c r="L7" s="387">
        <v>130.0</v>
      </c>
      <c r="M7" s="387">
        <v>-135.0</v>
      </c>
      <c r="N7" s="388">
        <v>130.0</v>
      </c>
      <c r="O7" s="389">
        <v>60.0</v>
      </c>
      <c r="P7" s="387">
        <v>365.0</v>
      </c>
      <c r="Q7" s="387">
        <v>9.0</v>
      </c>
      <c r="R7" s="387" t="str">
        <f t="shared" si="1"/>
        <v>#REF!</v>
      </c>
      <c r="S7" s="390" t="s">
        <v>1001</v>
      </c>
      <c r="T7" s="55" t="s">
        <v>1000</v>
      </c>
      <c r="U7" s="391" t="s">
        <v>1000</v>
      </c>
      <c r="V7" s="390" t="s">
        <v>1001</v>
      </c>
      <c r="W7" s="55" t="s">
        <v>1000</v>
      </c>
      <c r="X7" s="391" t="s">
        <v>1001</v>
      </c>
      <c r="Y7" s="390" t="s">
        <v>999</v>
      </c>
      <c r="Z7" s="55" t="s">
        <v>999</v>
      </c>
      <c r="AA7" s="391" t="s">
        <v>999</v>
      </c>
      <c r="AB7" s="390" t="s">
        <v>1000</v>
      </c>
      <c r="AC7" s="55" t="s">
        <v>1000</v>
      </c>
      <c r="AD7" s="391" t="s">
        <v>999</v>
      </c>
      <c r="AE7" s="390" t="s">
        <v>999</v>
      </c>
      <c r="AF7" s="55" t="s">
        <v>1000</v>
      </c>
      <c r="AG7" s="391" t="s">
        <v>1000</v>
      </c>
      <c r="AH7" s="390" t="s">
        <v>1000</v>
      </c>
      <c r="AI7" s="55" t="s">
        <v>1000</v>
      </c>
      <c r="AJ7" s="391" t="s">
        <v>1000</v>
      </c>
      <c r="AK7" s="390" t="s">
        <v>1000</v>
      </c>
      <c r="AL7" s="55" t="s">
        <v>1000</v>
      </c>
      <c r="AM7" s="391" t="s">
        <v>1000</v>
      </c>
      <c r="AN7" s="390" t="s">
        <v>1000</v>
      </c>
      <c r="AO7" s="55" t="s">
        <v>1000</v>
      </c>
      <c r="AP7" s="391" t="s">
        <v>1000</v>
      </c>
      <c r="AQ7" s="390" t="s">
        <v>1003</v>
      </c>
      <c r="AR7" s="55" t="s">
        <v>1003</v>
      </c>
      <c r="AS7" s="391" t="s">
        <v>1003</v>
      </c>
    </row>
    <row r="8">
      <c r="A8" s="55" t="s">
        <v>235</v>
      </c>
      <c r="B8" s="386">
        <v>135.0</v>
      </c>
      <c r="C8" s="387">
        <v>137.5</v>
      </c>
      <c r="D8" s="387">
        <v>142.5</v>
      </c>
      <c r="E8" s="388">
        <v>142.5</v>
      </c>
      <c r="F8" s="386">
        <v>80.0</v>
      </c>
      <c r="G8" s="387">
        <v>85.0</v>
      </c>
      <c r="H8" s="387">
        <v>87.5</v>
      </c>
      <c r="I8" s="388">
        <v>87.5</v>
      </c>
      <c r="J8" s="387">
        <v>230.0</v>
      </c>
      <c r="K8" s="386">
        <v>127.5</v>
      </c>
      <c r="L8" s="387">
        <v>135.0</v>
      </c>
      <c r="M8" s="387">
        <v>137.5</v>
      </c>
      <c r="N8" s="388">
        <v>137.5</v>
      </c>
      <c r="O8" s="389">
        <v>60.0</v>
      </c>
      <c r="P8" s="387">
        <v>367.5</v>
      </c>
      <c r="Q8" s="387">
        <v>8.0</v>
      </c>
      <c r="R8" s="387" t="str">
        <f t="shared" si="1"/>
        <v>#REF!</v>
      </c>
      <c r="S8" s="390" t="s">
        <v>1000</v>
      </c>
      <c r="T8" s="55" t="s">
        <v>1000</v>
      </c>
      <c r="U8" s="391" t="s">
        <v>1000</v>
      </c>
      <c r="V8" s="390" t="s">
        <v>1000</v>
      </c>
      <c r="W8" s="55" t="s">
        <v>1000</v>
      </c>
      <c r="X8" s="391" t="s">
        <v>1000</v>
      </c>
      <c r="Y8" s="390" t="s">
        <v>1000</v>
      </c>
      <c r="Z8" s="55" t="s">
        <v>1000</v>
      </c>
      <c r="AA8" s="391" t="s">
        <v>1000</v>
      </c>
      <c r="AB8" s="390" t="s">
        <v>1000</v>
      </c>
      <c r="AC8" s="55" t="s">
        <v>1000</v>
      </c>
      <c r="AD8" s="391" t="s">
        <v>1000</v>
      </c>
      <c r="AE8" s="390" t="s">
        <v>1000</v>
      </c>
      <c r="AF8" s="55" t="s">
        <v>1000</v>
      </c>
      <c r="AG8" s="391" t="s">
        <v>1000</v>
      </c>
      <c r="AH8" s="390" t="s">
        <v>1000</v>
      </c>
      <c r="AI8" s="55" t="s">
        <v>1000</v>
      </c>
      <c r="AJ8" s="391" t="s">
        <v>1000</v>
      </c>
      <c r="AK8" s="390" t="s">
        <v>1000</v>
      </c>
      <c r="AL8" s="55" t="s">
        <v>1000</v>
      </c>
      <c r="AM8" s="391" t="s">
        <v>1000</v>
      </c>
      <c r="AN8" s="390" t="s">
        <v>1000</v>
      </c>
      <c r="AO8" s="55" t="s">
        <v>1000</v>
      </c>
      <c r="AP8" s="391" t="s">
        <v>1000</v>
      </c>
      <c r="AQ8" s="390" t="s">
        <v>1003</v>
      </c>
      <c r="AR8" s="55" t="s">
        <v>1003</v>
      </c>
      <c r="AS8" s="391" t="s">
        <v>1003</v>
      </c>
    </row>
    <row r="9">
      <c r="A9" s="55" t="s">
        <v>1006</v>
      </c>
      <c r="B9" s="386">
        <v>165.0</v>
      </c>
      <c r="C9" s="387">
        <v>170.0</v>
      </c>
      <c r="D9" s="387">
        <v>-172.5</v>
      </c>
      <c r="E9" s="388">
        <v>170.0</v>
      </c>
      <c r="F9" s="386">
        <v>122.5</v>
      </c>
      <c r="G9" s="387">
        <v>-125.5</v>
      </c>
      <c r="H9" s="387">
        <v>125.5</v>
      </c>
      <c r="I9" s="388">
        <v>125.5</v>
      </c>
      <c r="J9" s="387">
        <v>295.5</v>
      </c>
      <c r="K9" s="386">
        <v>140.0</v>
      </c>
      <c r="L9" s="387">
        <v>147.5</v>
      </c>
      <c r="M9" s="387">
        <v>-152.5</v>
      </c>
      <c r="N9" s="388">
        <v>147.5</v>
      </c>
      <c r="O9" s="389">
        <v>67.5</v>
      </c>
      <c r="P9" s="387">
        <v>443.0</v>
      </c>
      <c r="Q9" s="387">
        <v>2.0</v>
      </c>
      <c r="R9" s="387" t="str">
        <f t="shared" si="1"/>
        <v>#REF!</v>
      </c>
      <c r="S9" s="390" t="s">
        <v>1000</v>
      </c>
      <c r="T9" s="55" t="s">
        <v>1000</v>
      </c>
      <c r="U9" s="391" t="s">
        <v>1000</v>
      </c>
      <c r="V9" s="390" t="s">
        <v>1000</v>
      </c>
      <c r="W9" s="55" t="s">
        <v>1000</v>
      </c>
      <c r="X9" s="391" t="s">
        <v>1000</v>
      </c>
      <c r="Y9" s="390" t="s">
        <v>1007</v>
      </c>
      <c r="Z9" s="55" t="s">
        <v>1000</v>
      </c>
      <c r="AA9" s="391" t="s">
        <v>999</v>
      </c>
      <c r="AB9" s="390" t="s">
        <v>1000</v>
      </c>
      <c r="AC9" s="55" t="s">
        <v>1000</v>
      </c>
      <c r="AD9" s="391" t="s">
        <v>1000</v>
      </c>
      <c r="AE9" s="390" t="s">
        <v>1003</v>
      </c>
      <c r="AF9" s="55" t="s">
        <v>1003</v>
      </c>
      <c r="AG9" s="391" t="s">
        <v>1003</v>
      </c>
      <c r="AH9" s="390" t="s">
        <v>1000</v>
      </c>
      <c r="AI9" s="55" t="s">
        <v>1003</v>
      </c>
      <c r="AJ9" s="391" t="s">
        <v>1000</v>
      </c>
      <c r="AK9" s="390" t="s">
        <v>1000</v>
      </c>
      <c r="AL9" s="55" t="s">
        <v>1000</v>
      </c>
      <c r="AM9" s="391" t="s">
        <v>1000</v>
      </c>
      <c r="AN9" s="390" t="s">
        <v>1000</v>
      </c>
      <c r="AO9" s="55" t="s">
        <v>1000</v>
      </c>
      <c r="AP9" s="391" t="s">
        <v>1000</v>
      </c>
      <c r="AQ9" s="390" t="s">
        <v>1003</v>
      </c>
      <c r="AR9" s="55" t="s">
        <v>1003</v>
      </c>
      <c r="AS9" s="391" t="s">
        <v>1003</v>
      </c>
    </row>
    <row r="10">
      <c r="A10" s="55" t="s">
        <v>1008</v>
      </c>
      <c r="B10" s="386">
        <v>145.0</v>
      </c>
      <c r="C10" s="387">
        <v>150.0</v>
      </c>
      <c r="D10" s="387">
        <v>157.5</v>
      </c>
      <c r="E10" s="388">
        <v>157.5</v>
      </c>
      <c r="F10" s="386">
        <v>-95.0</v>
      </c>
      <c r="G10" s="387">
        <v>95.0</v>
      </c>
      <c r="H10" s="387">
        <v>100.0</v>
      </c>
      <c r="I10" s="388">
        <v>100.0</v>
      </c>
      <c r="J10" s="387">
        <v>257.5</v>
      </c>
      <c r="K10" s="386">
        <v>140.0</v>
      </c>
      <c r="L10" s="387">
        <v>147.5</v>
      </c>
      <c r="M10" s="387">
        <v>-152.5</v>
      </c>
      <c r="N10" s="388">
        <v>147.5</v>
      </c>
      <c r="O10" s="389">
        <v>67.5</v>
      </c>
      <c r="P10" s="387">
        <v>405.0</v>
      </c>
      <c r="Q10" s="387">
        <v>7.0</v>
      </c>
      <c r="R10" s="387" t="str">
        <f t="shared" si="1"/>
        <v>#REF!</v>
      </c>
      <c r="S10" s="390" t="s">
        <v>1000</v>
      </c>
      <c r="T10" s="55" t="s">
        <v>1000</v>
      </c>
      <c r="U10" s="391" t="s">
        <v>1000</v>
      </c>
      <c r="V10" s="390" t="s">
        <v>1000</v>
      </c>
      <c r="W10" s="55" t="s">
        <v>1000</v>
      </c>
      <c r="X10" s="391" t="s">
        <v>1000</v>
      </c>
      <c r="Y10" s="390" t="s">
        <v>1000</v>
      </c>
      <c r="Z10" s="55" t="s">
        <v>1000</v>
      </c>
      <c r="AA10" s="391" t="s">
        <v>1001</v>
      </c>
      <c r="AB10" s="390" t="s">
        <v>999</v>
      </c>
      <c r="AC10" s="55" t="s">
        <v>999</v>
      </c>
      <c r="AD10" s="391" t="s">
        <v>999</v>
      </c>
      <c r="AE10" s="390" t="s">
        <v>1000</v>
      </c>
      <c r="AF10" s="55" t="s">
        <v>1000</v>
      </c>
      <c r="AG10" s="391" t="s">
        <v>1000</v>
      </c>
      <c r="AH10" s="390" t="s">
        <v>1000</v>
      </c>
      <c r="AI10" s="55" t="s">
        <v>1000</v>
      </c>
      <c r="AJ10" s="391" t="s">
        <v>1000</v>
      </c>
      <c r="AK10" s="390" t="s">
        <v>1000</v>
      </c>
      <c r="AL10" s="55" t="s">
        <v>1000</v>
      </c>
      <c r="AM10" s="391" t="s">
        <v>1000</v>
      </c>
      <c r="AN10" s="390" t="s">
        <v>1000</v>
      </c>
      <c r="AO10" s="55" t="s">
        <v>1000</v>
      </c>
      <c r="AP10" s="391" t="s">
        <v>1000</v>
      </c>
      <c r="AQ10" s="390" t="s">
        <v>1003</v>
      </c>
      <c r="AR10" s="55" t="s">
        <v>1003</v>
      </c>
      <c r="AS10" s="391" t="s">
        <v>1003</v>
      </c>
    </row>
    <row r="11">
      <c r="A11" s="55" t="s">
        <v>1009</v>
      </c>
      <c r="B11" s="386">
        <v>-145.0</v>
      </c>
      <c r="C11" s="387">
        <v>145.0</v>
      </c>
      <c r="D11" s="387">
        <v>150.0</v>
      </c>
      <c r="E11" s="388">
        <v>150.0</v>
      </c>
      <c r="F11" s="386">
        <v>87.5</v>
      </c>
      <c r="G11" s="387">
        <v>92.5</v>
      </c>
      <c r="H11" s="387">
        <v>97.5</v>
      </c>
      <c r="I11" s="388">
        <v>97.5</v>
      </c>
      <c r="J11" s="387">
        <v>247.5</v>
      </c>
      <c r="K11" s="386">
        <v>142.5</v>
      </c>
      <c r="L11" s="387">
        <v>147.5</v>
      </c>
      <c r="M11" s="387">
        <v>155.0</v>
      </c>
      <c r="N11" s="388">
        <v>155.0</v>
      </c>
      <c r="O11" s="389">
        <v>67.5</v>
      </c>
      <c r="P11" s="387">
        <v>402.5</v>
      </c>
      <c r="Q11" s="387">
        <v>8.0</v>
      </c>
      <c r="R11" s="387" t="str">
        <f t="shared" si="1"/>
        <v>#REF!</v>
      </c>
      <c r="S11" s="390" t="s">
        <v>1000</v>
      </c>
      <c r="T11" s="55" t="s">
        <v>1000</v>
      </c>
      <c r="U11" s="391" t="s">
        <v>1000</v>
      </c>
      <c r="V11" s="390" t="s">
        <v>1003</v>
      </c>
      <c r="W11" s="55" t="s">
        <v>1003</v>
      </c>
      <c r="X11" s="391" t="s">
        <v>1003</v>
      </c>
      <c r="Y11" s="390" t="s">
        <v>1000</v>
      </c>
      <c r="Z11" s="55" t="s">
        <v>1000</v>
      </c>
      <c r="AA11" s="391" t="s">
        <v>1000</v>
      </c>
      <c r="AB11" s="390" t="s">
        <v>1000</v>
      </c>
      <c r="AC11" s="55" t="s">
        <v>1000</v>
      </c>
      <c r="AD11" s="391" t="s">
        <v>1000</v>
      </c>
      <c r="AE11" s="390" t="s">
        <v>1000</v>
      </c>
      <c r="AF11" s="55" t="s">
        <v>1000</v>
      </c>
      <c r="AG11" s="391" t="s">
        <v>1003</v>
      </c>
      <c r="AH11" s="390" t="s">
        <v>1000</v>
      </c>
      <c r="AI11" s="55" t="s">
        <v>1000</v>
      </c>
      <c r="AJ11" s="391" t="s">
        <v>1000</v>
      </c>
      <c r="AK11" s="390" t="s">
        <v>1000</v>
      </c>
      <c r="AL11" s="55" t="s">
        <v>1000</v>
      </c>
      <c r="AM11" s="391" t="s">
        <v>1000</v>
      </c>
      <c r="AN11" s="390" t="s">
        <v>1000</v>
      </c>
      <c r="AO11" s="55" t="s">
        <v>1000</v>
      </c>
      <c r="AP11" s="391" t="s">
        <v>999</v>
      </c>
      <c r="AQ11" s="390" t="s">
        <v>1000</v>
      </c>
      <c r="AR11" s="55" t="s">
        <v>1000</v>
      </c>
      <c r="AS11" s="391" t="s">
        <v>1000</v>
      </c>
    </row>
    <row r="12">
      <c r="A12" s="55" t="s">
        <v>205</v>
      </c>
      <c r="B12" s="386">
        <v>150.0</v>
      </c>
      <c r="C12" s="387">
        <v>157.5</v>
      </c>
      <c r="D12" s="387">
        <v>-162.5</v>
      </c>
      <c r="E12" s="388">
        <v>157.5</v>
      </c>
      <c r="F12" s="386">
        <v>-97.5</v>
      </c>
      <c r="G12" s="387">
        <v>97.5</v>
      </c>
      <c r="H12" s="387">
        <v>102.5</v>
      </c>
      <c r="I12" s="388">
        <v>102.5</v>
      </c>
      <c r="J12" s="387">
        <v>260.0</v>
      </c>
      <c r="K12" s="386">
        <v>125.0</v>
      </c>
      <c r="L12" s="387">
        <v>132.5</v>
      </c>
      <c r="M12" s="387">
        <v>-142.5</v>
      </c>
      <c r="N12" s="388">
        <v>132.5</v>
      </c>
      <c r="O12" s="389">
        <v>67.5</v>
      </c>
      <c r="P12" s="387">
        <v>392.5</v>
      </c>
      <c r="Q12" s="387">
        <v>12.0</v>
      </c>
      <c r="R12" s="387" t="str">
        <f t="shared" si="1"/>
        <v>#REF!</v>
      </c>
      <c r="S12" s="390" t="s">
        <v>1000</v>
      </c>
      <c r="T12" s="55" t="s">
        <v>1000</v>
      </c>
      <c r="U12" s="391" t="s">
        <v>1000</v>
      </c>
      <c r="V12" s="390" t="s">
        <v>1000</v>
      </c>
      <c r="W12" s="55" t="s">
        <v>1000</v>
      </c>
      <c r="X12" s="391" t="s">
        <v>1000</v>
      </c>
      <c r="Y12" s="390" t="s">
        <v>1000</v>
      </c>
      <c r="Z12" s="55" t="s">
        <v>1000</v>
      </c>
      <c r="AA12" s="391" t="s">
        <v>1000</v>
      </c>
      <c r="AB12" s="390" t="s">
        <v>1000</v>
      </c>
      <c r="AC12" s="55" t="s">
        <v>1000</v>
      </c>
      <c r="AD12" s="391" t="s">
        <v>1000</v>
      </c>
      <c r="AE12" s="390" t="s">
        <v>1000</v>
      </c>
      <c r="AF12" s="55" t="s">
        <v>1000</v>
      </c>
      <c r="AG12" s="391" t="s">
        <v>1000</v>
      </c>
      <c r="AH12" s="390" t="s">
        <v>1000</v>
      </c>
      <c r="AI12" s="55" t="s">
        <v>1000</v>
      </c>
      <c r="AJ12" s="391" t="s">
        <v>1000</v>
      </c>
      <c r="AK12" s="390" t="s">
        <v>1000</v>
      </c>
      <c r="AL12" s="55" t="s">
        <v>1000</v>
      </c>
      <c r="AM12" s="391" t="s">
        <v>1000</v>
      </c>
      <c r="AN12" s="390" t="s">
        <v>1000</v>
      </c>
      <c r="AO12" s="55" t="s">
        <v>1000</v>
      </c>
      <c r="AP12" s="391" t="s">
        <v>1000</v>
      </c>
      <c r="AQ12" s="390" t="s">
        <v>1000</v>
      </c>
      <c r="AR12" s="55" t="s">
        <v>1000</v>
      </c>
      <c r="AS12" s="391" t="s">
        <v>1000</v>
      </c>
    </row>
    <row r="13">
      <c r="A13" s="55" t="s">
        <v>1010</v>
      </c>
      <c r="B13" s="386">
        <v>185.0</v>
      </c>
      <c r="C13" s="387">
        <v>197.5</v>
      </c>
      <c r="D13" s="387">
        <v>202.5</v>
      </c>
      <c r="E13" s="388">
        <v>202.5</v>
      </c>
      <c r="F13" s="386">
        <v>102.5</v>
      </c>
      <c r="G13" s="387">
        <v>-110.0</v>
      </c>
      <c r="H13" s="387">
        <v>-110.0</v>
      </c>
      <c r="I13" s="388">
        <v>102.5</v>
      </c>
      <c r="J13" s="387">
        <v>305.0</v>
      </c>
      <c r="K13" s="386">
        <v>185.0</v>
      </c>
      <c r="L13" s="387">
        <v>-195.0</v>
      </c>
      <c r="M13" s="387">
        <v>-195.0</v>
      </c>
      <c r="N13" s="388">
        <v>185.0</v>
      </c>
      <c r="O13" s="389">
        <v>67.5</v>
      </c>
      <c r="P13" s="387">
        <v>490.0</v>
      </c>
      <c r="Q13" s="387">
        <v>12.0</v>
      </c>
      <c r="R13" s="387" t="str">
        <f t="shared" si="1"/>
        <v>#REF!</v>
      </c>
      <c r="S13" s="390" t="s">
        <v>1000</v>
      </c>
      <c r="T13" s="55" t="s">
        <v>1000</v>
      </c>
      <c r="U13" s="391" t="s">
        <v>1000</v>
      </c>
      <c r="V13" s="390" t="s">
        <v>1000</v>
      </c>
      <c r="W13" s="55" t="s">
        <v>1000</v>
      </c>
      <c r="X13" s="391" t="s">
        <v>1000</v>
      </c>
      <c r="Y13" s="390" t="s">
        <v>1000</v>
      </c>
      <c r="Z13" s="55" t="s">
        <v>1000</v>
      </c>
      <c r="AA13" s="391" t="s">
        <v>1000</v>
      </c>
      <c r="AB13" s="390" t="s">
        <v>1000</v>
      </c>
      <c r="AC13" s="55" t="s">
        <v>999</v>
      </c>
      <c r="AD13" s="391" t="s">
        <v>1000</v>
      </c>
      <c r="AE13" s="390" t="s">
        <v>1000</v>
      </c>
      <c r="AF13" s="55" t="s">
        <v>1000</v>
      </c>
      <c r="AG13" s="391" t="s">
        <v>1000</v>
      </c>
      <c r="AH13" s="390" t="s">
        <v>999</v>
      </c>
      <c r="AI13" s="55" t="s">
        <v>1003</v>
      </c>
      <c r="AJ13" s="391" t="s">
        <v>1003</v>
      </c>
      <c r="AK13" s="390" t="s">
        <v>1000</v>
      </c>
      <c r="AL13" s="55" t="s">
        <v>1000</v>
      </c>
      <c r="AM13" s="391" t="s">
        <v>1000</v>
      </c>
      <c r="AN13" s="390" t="s">
        <v>1000</v>
      </c>
      <c r="AO13" s="55" t="s">
        <v>1000</v>
      </c>
      <c r="AP13" s="391" t="s">
        <v>1000</v>
      </c>
      <c r="AQ13" s="390" t="s">
        <v>999</v>
      </c>
      <c r="AR13" s="55" t="s">
        <v>999</v>
      </c>
      <c r="AS13" s="391" t="s">
        <v>999</v>
      </c>
    </row>
    <row r="14">
      <c r="A14" s="55" t="s">
        <v>220</v>
      </c>
      <c r="B14" s="386">
        <v>120.0</v>
      </c>
      <c r="C14" s="387">
        <v>125.0</v>
      </c>
      <c r="D14" s="387">
        <v>127.5</v>
      </c>
      <c r="E14" s="388">
        <v>127.5</v>
      </c>
      <c r="F14" s="386">
        <v>62.5</v>
      </c>
      <c r="G14" s="387">
        <v>67.5</v>
      </c>
      <c r="H14" s="387">
        <v>70.0</v>
      </c>
      <c r="I14" s="388">
        <v>70.0</v>
      </c>
      <c r="J14" s="387">
        <v>197.5</v>
      </c>
      <c r="K14" s="386">
        <v>105.0</v>
      </c>
      <c r="L14" s="387">
        <v>112.5</v>
      </c>
      <c r="M14" s="387">
        <v>117.5</v>
      </c>
      <c r="N14" s="388">
        <v>117.5</v>
      </c>
      <c r="O14" s="389">
        <v>67.5</v>
      </c>
      <c r="P14" s="387">
        <v>315.0</v>
      </c>
      <c r="Q14" s="387">
        <v>19.0</v>
      </c>
      <c r="R14" s="387" t="str">
        <f t="shared" si="1"/>
        <v>#REF!</v>
      </c>
      <c r="S14" s="390" t="s">
        <v>1001</v>
      </c>
      <c r="T14" s="55" t="s">
        <v>1001</v>
      </c>
      <c r="U14" s="391" t="s">
        <v>1001</v>
      </c>
      <c r="V14" s="390" t="s">
        <v>1000</v>
      </c>
      <c r="W14" s="55" t="s">
        <v>1000</v>
      </c>
      <c r="X14" s="391" t="s">
        <v>1000</v>
      </c>
      <c r="Y14" s="390" t="s">
        <v>1000</v>
      </c>
      <c r="Z14" s="55" t="s">
        <v>1000</v>
      </c>
      <c r="AA14" s="391" t="s">
        <v>1000</v>
      </c>
      <c r="AB14" s="390" t="s">
        <v>1000</v>
      </c>
      <c r="AC14" s="55" t="s">
        <v>1000</v>
      </c>
      <c r="AD14" s="391" t="s">
        <v>1000</v>
      </c>
      <c r="AE14" s="390" t="s">
        <v>1000</v>
      </c>
      <c r="AF14" s="55" t="s">
        <v>1000</v>
      </c>
      <c r="AG14" s="391" t="s">
        <v>1000</v>
      </c>
      <c r="AH14" s="390" t="s">
        <v>1000</v>
      </c>
      <c r="AI14" s="55" t="s">
        <v>1000</v>
      </c>
      <c r="AJ14" s="391" t="s">
        <v>1000</v>
      </c>
      <c r="AK14" s="390" t="s">
        <v>1007</v>
      </c>
      <c r="AL14" s="55" t="s">
        <v>1000</v>
      </c>
      <c r="AM14" s="391" t="s">
        <v>1000</v>
      </c>
      <c r="AN14" s="390" t="s">
        <v>1000</v>
      </c>
      <c r="AO14" s="55" t="s">
        <v>1000</v>
      </c>
      <c r="AP14" s="391" t="s">
        <v>1000</v>
      </c>
      <c r="AQ14" s="390" t="s">
        <v>1001</v>
      </c>
      <c r="AR14" s="55" t="s">
        <v>1000</v>
      </c>
      <c r="AS14" s="391" t="s">
        <v>1000</v>
      </c>
    </row>
    <row r="15">
      <c r="A15" s="55" t="s">
        <v>208</v>
      </c>
      <c r="B15" s="386">
        <v>172.5</v>
      </c>
      <c r="C15" s="387">
        <v>-180.0</v>
      </c>
      <c r="D15" s="387">
        <v>180.0</v>
      </c>
      <c r="E15" s="388">
        <v>180.0</v>
      </c>
      <c r="F15" s="386">
        <v>97.5</v>
      </c>
      <c r="G15" s="387">
        <v>105.0</v>
      </c>
      <c r="H15" s="387">
        <v>110.0</v>
      </c>
      <c r="I15" s="388">
        <v>110.0</v>
      </c>
      <c r="J15" s="387">
        <v>290.0</v>
      </c>
      <c r="K15" s="386">
        <v>140.0</v>
      </c>
      <c r="L15" s="387">
        <v>147.5</v>
      </c>
      <c r="M15" s="387">
        <v>155.0</v>
      </c>
      <c r="N15" s="388">
        <v>155.0</v>
      </c>
      <c r="O15" s="389">
        <v>75.0</v>
      </c>
      <c r="P15" s="387">
        <v>445.0</v>
      </c>
      <c r="Q15" s="387">
        <v>7.0</v>
      </c>
      <c r="R15" s="387" t="str">
        <f t="shared" si="1"/>
        <v>#REF!</v>
      </c>
      <c r="S15" s="390" t="s">
        <v>1000</v>
      </c>
      <c r="T15" s="55" t="s">
        <v>1000</v>
      </c>
      <c r="U15" s="391" t="s">
        <v>1001</v>
      </c>
      <c r="V15" s="390" t="s">
        <v>1001</v>
      </c>
      <c r="W15" s="55" t="s">
        <v>1000</v>
      </c>
      <c r="X15" s="391" t="s">
        <v>1000</v>
      </c>
      <c r="Y15" s="390" t="s">
        <v>1000</v>
      </c>
      <c r="Z15" s="55" t="s">
        <v>1000</v>
      </c>
      <c r="AA15" s="391" t="s">
        <v>1000</v>
      </c>
      <c r="AB15" s="390" t="s">
        <v>1000</v>
      </c>
      <c r="AC15" s="55" t="s">
        <v>1000</v>
      </c>
      <c r="AD15" s="391" t="s">
        <v>1000</v>
      </c>
      <c r="AE15" s="390" t="s">
        <v>1003</v>
      </c>
      <c r="AF15" s="55" t="s">
        <v>999</v>
      </c>
      <c r="AG15" s="391" t="s">
        <v>1011</v>
      </c>
      <c r="AH15" s="390" t="s">
        <v>1000</v>
      </c>
      <c r="AI15" s="55" t="s">
        <v>1000</v>
      </c>
      <c r="AJ15" s="391" t="s">
        <v>1000</v>
      </c>
      <c r="AK15" s="390" t="s">
        <v>1000</v>
      </c>
      <c r="AL15" s="55" t="s">
        <v>1000</v>
      </c>
      <c r="AM15" s="391" t="s">
        <v>1000</v>
      </c>
      <c r="AN15" s="390" t="s">
        <v>1000</v>
      </c>
      <c r="AO15" s="55" t="s">
        <v>1000</v>
      </c>
      <c r="AP15" s="391" t="s">
        <v>1000</v>
      </c>
      <c r="AQ15" s="390" t="s">
        <v>1001</v>
      </c>
      <c r="AR15" s="55" t="s">
        <v>1001</v>
      </c>
      <c r="AS15" s="391" t="s">
        <v>1000</v>
      </c>
    </row>
    <row r="16">
      <c r="A16" s="55" t="s">
        <v>238</v>
      </c>
      <c r="B16" s="386">
        <v>180.0</v>
      </c>
      <c r="C16" s="387">
        <v>190.0</v>
      </c>
      <c r="D16" s="387">
        <v>200.0</v>
      </c>
      <c r="E16" s="388">
        <v>200.0</v>
      </c>
      <c r="F16" s="386">
        <v>100.0</v>
      </c>
      <c r="G16" s="387">
        <v>110.0</v>
      </c>
      <c r="H16" s="387">
        <v>115.0</v>
      </c>
      <c r="I16" s="388">
        <v>115.0</v>
      </c>
      <c r="J16" s="387">
        <v>315.0</v>
      </c>
      <c r="K16" s="386">
        <v>185.0</v>
      </c>
      <c r="L16" s="387">
        <v>195.0</v>
      </c>
      <c r="M16" s="387">
        <v>205.0</v>
      </c>
      <c r="N16" s="388">
        <v>205.0</v>
      </c>
      <c r="O16" s="389">
        <v>75.0</v>
      </c>
      <c r="P16" s="387">
        <v>520.0</v>
      </c>
      <c r="Q16" s="387">
        <v>3.0</v>
      </c>
      <c r="R16" s="387" t="str">
        <f t="shared" si="1"/>
        <v>#REF!</v>
      </c>
      <c r="S16" s="390" t="s">
        <v>1000</v>
      </c>
      <c r="T16" s="55" t="s">
        <v>1000</v>
      </c>
      <c r="U16" s="391" t="s">
        <v>1000</v>
      </c>
      <c r="V16" s="390" t="s">
        <v>1001</v>
      </c>
      <c r="W16" s="55" t="s">
        <v>1000</v>
      </c>
      <c r="X16" s="391" t="s">
        <v>1000</v>
      </c>
      <c r="Y16" s="390" t="s">
        <v>1003</v>
      </c>
      <c r="Z16" s="55" t="s">
        <v>1003</v>
      </c>
      <c r="AA16" s="391" t="s">
        <v>1003</v>
      </c>
      <c r="AB16" s="390" t="s">
        <v>999</v>
      </c>
      <c r="AC16" s="55" t="s">
        <v>999</v>
      </c>
      <c r="AD16" s="391" t="s">
        <v>999</v>
      </c>
      <c r="AE16" s="390" t="s">
        <v>1000</v>
      </c>
      <c r="AF16" s="55" t="s">
        <v>1000</v>
      </c>
      <c r="AG16" s="391" t="s">
        <v>1000</v>
      </c>
      <c r="AH16" s="390" t="s">
        <v>1000</v>
      </c>
      <c r="AI16" s="55" t="s">
        <v>1000</v>
      </c>
      <c r="AJ16" s="391" t="s">
        <v>1000</v>
      </c>
      <c r="AK16" s="390" t="s">
        <v>1000</v>
      </c>
      <c r="AL16" s="55" t="s">
        <v>1000</v>
      </c>
      <c r="AM16" s="391" t="s">
        <v>1000</v>
      </c>
      <c r="AN16" s="390" t="s">
        <v>1000</v>
      </c>
      <c r="AO16" s="55" t="s">
        <v>1000</v>
      </c>
      <c r="AP16" s="391" t="s">
        <v>1000</v>
      </c>
      <c r="AQ16" s="390" t="s">
        <v>999</v>
      </c>
      <c r="AR16" s="55" t="s">
        <v>1003</v>
      </c>
      <c r="AS16" s="391" t="s">
        <v>1011</v>
      </c>
    </row>
    <row r="17">
      <c r="A17" s="55" t="s">
        <v>1012</v>
      </c>
      <c r="B17" s="386">
        <v>157.5</v>
      </c>
      <c r="C17" s="387">
        <v>-165.0</v>
      </c>
      <c r="D17" s="387">
        <v>165.0</v>
      </c>
      <c r="E17" s="388">
        <v>165.0</v>
      </c>
      <c r="F17" s="386">
        <v>-97.5</v>
      </c>
      <c r="G17" s="387">
        <v>97.5</v>
      </c>
      <c r="H17" s="387">
        <v>-102.5</v>
      </c>
      <c r="I17" s="388">
        <v>97.5</v>
      </c>
      <c r="J17" s="387">
        <v>262.5</v>
      </c>
      <c r="K17" s="386">
        <v>147.5</v>
      </c>
      <c r="L17" s="387">
        <v>152.5</v>
      </c>
      <c r="M17" s="387">
        <v>155.0</v>
      </c>
      <c r="N17" s="388">
        <v>155.0</v>
      </c>
      <c r="O17" s="389">
        <v>75.0</v>
      </c>
      <c r="P17" s="387">
        <v>417.5</v>
      </c>
      <c r="Q17" s="387">
        <v>12.0</v>
      </c>
      <c r="R17" s="387" t="str">
        <f t="shared" si="1"/>
        <v>#REF!</v>
      </c>
      <c r="S17" s="390" t="s">
        <v>1001</v>
      </c>
      <c r="T17" s="55" t="s">
        <v>1000</v>
      </c>
      <c r="U17" s="391" t="s">
        <v>1000</v>
      </c>
      <c r="V17" s="390" t="s">
        <v>1000</v>
      </c>
      <c r="W17" s="55" t="s">
        <v>1000</v>
      </c>
      <c r="X17" s="391" t="s">
        <v>1000</v>
      </c>
      <c r="Y17" s="390" t="s">
        <v>1000</v>
      </c>
      <c r="Z17" s="55" t="s">
        <v>1000</v>
      </c>
      <c r="AA17" s="391" t="s">
        <v>1000</v>
      </c>
      <c r="AB17" s="390" t="s">
        <v>1003</v>
      </c>
      <c r="AC17" s="55" t="s">
        <v>1003</v>
      </c>
      <c r="AD17" s="391" t="s">
        <v>1000</v>
      </c>
      <c r="AE17" s="390" t="s">
        <v>1003</v>
      </c>
      <c r="AF17" s="55" t="s">
        <v>1003</v>
      </c>
      <c r="AG17" s="391" t="s">
        <v>1003</v>
      </c>
      <c r="AH17" s="390" t="s">
        <v>1003</v>
      </c>
      <c r="AI17" s="55" t="s">
        <v>1003</v>
      </c>
      <c r="AJ17" s="391" t="s">
        <v>1003</v>
      </c>
      <c r="AK17" s="390" t="s">
        <v>1000</v>
      </c>
      <c r="AL17" s="55" t="s">
        <v>1000</v>
      </c>
      <c r="AM17" s="391" t="s">
        <v>1000</v>
      </c>
      <c r="AN17" s="390" t="s">
        <v>1000</v>
      </c>
      <c r="AO17" s="55" t="s">
        <v>1000</v>
      </c>
      <c r="AP17" s="391" t="s">
        <v>1000</v>
      </c>
      <c r="AQ17" s="390" t="s">
        <v>999</v>
      </c>
      <c r="AR17" s="55" t="s">
        <v>999</v>
      </c>
      <c r="AS17" s="391" t="s">
        <v>1001</v>
      </c>
    </row>
    <row r="18">
      <c r="A18" s="55" t="s">
        <v>232</v>
      </c>
      <c r="B18" s="386">
        <v>130.0</v>
      </c>
      <c r="C18" s="387">
        <v>137.5</v>
      </c>
      <c r="D18" s="387">
        <v>142.5</v>
      </c>
      <c r="E18" s="388">
        <v>142.5</v>
      </c>
      <c r="F18" s="386">
        <v>105.0</v>
      </c>
      <c r="G18" s="387">
        <v>110.0</v>
      </c>
      <c r="H18" s="387">
        <v>112.5</v>
      </c>
      <c r="I18" s="388">
        <v>112.5</v>
      </c>
      <c r="J18" s="387">
        <v>255.0</v>
      </c>
      <c r="K18" s="386">
        <v>110.0</v>
      </c>
      <c r="L18" s="387">
        <v>117.5</v>
      </c>
      <c r="M18" s="387">
        <v>125.0</v>
      </c>
      <c r="N18" s="388">
        <v>125.0</v>
      </c>
      <c r="O18" s="389">
        <v>75.0</v>
      </c>
      <c r="P18" s="387">
        <v>380.0</v>
      </c>
      <c r="Q18" s="387">
        <v>15.0</v>
      </c>
      <c r="R18" s="387" t="str">
        <f t="shared" si="1"/>
        <v>#REF!</v>
      </c>
      <c r="S18" s="390" t="s">
        <v>1000</v>
      </c>
      <c r="T18" s="55" t="s">
        <v>1000</v>
      </c>
      <c r="U18" s="391" t="s">
        <v>1000</v>
      </c>
      <c r="V18" s="390" t="s">
        <v>1000</v>
      </c>
      <c r="W18" s="55" t="s">
        <v>1000</v>
      </c>
      <c r="X18" s="391" t="s">
        <v>1000</v>
      </c>
      <c r="Y18" s="390" t="s">
        <v>1000</v>
      </c>
      <c r="Z18" s="55" t="s">
        <v>1000</v>
      </c>
      <c r="AA18" s="391" t="s">
        <v>1000</v>
      </c>
      <c r="AB18" s="390" t="s">
        <v>1000</v>
      </c>
      <c r="AC18" s="55" t="s">
        <v>1000</v>
      </c>
      <c r="AD18" s="391" t="s">
        <v>1000</v>
      </c>
      <c r="AE18" s="390" t="s">
        <v>1003</v>
      </c>
      <c r="AF18" s="55" t="s">
        <v>1003</v>
      </c>
      <c r="AG18" s="391" t="s">
        <v>1003</v>
      </c>
      <c r="AH18" s="390" t="s">
        <v>1003</v>
      </c>
      <c r="AI18" s="55" t="s">
        <v>1003</v>
      </c>
      <c r="AJ18" s="391" t="s">
        <v>1003</v>
      </c>
      <c r="AK18" s="390" t="s">
        <v>1000</v>
      </c>
      <c r="AL18" s="55" t="s">
        <v>1000</v>
      </c>
      <c r="AM18" s="391" t="s">
        <v>1000</v>
      </c>
      <c r="AN18" s="390" t="s">
        <v>1003</v>
      </c>
      <c r="AO18" s="55" t="s">
        <v>1003</v>
      </c>
      <c r="AP18" s="391" t="s">
        <v>1003</v>
      </c>
      <c r="AQ18" s="390" t="s">
        <v>999</v>
      </c>
      <c r="AR18" s="55" t="s">
        <v>1000</v>
      </c>
      <c r="AS18" s="391" t="s">
        <v>999</v>
      </c>
    </row>
    <row r="19">
      <c r="A19" s="55" t="s">
        <v>1013</v>
      </c>
      <c r="B19" s="386">
        <v>-135.0</v>
      </c>
      <c r="C19" s="387">
        <v>-135.0</v>
      </c>
      <c r="D19" s="387">
        <v>135.0</v>
      </c>
      <c r="E19" s="388">
        <v>135.0</v>
      </c>
      <c r="F19" s="386">
        <v>80.0</v>
      </c>
      <c r="G19" s="387">
        <v>82.5</v>
      </c>
      <c r="H19" s="387">
        <v>85.0</v>
      </c>
      <c r="I19" s="388">
        <v>85.0</v>
      </c>
      <c r="J19" s="387">
        <v>220.0</v>
      </c>
      <c r="K19" s="386">
        <v>125.0</v>
      </c>
      <c r="L19" s="387">
        <v>132.5</v>
      </c>
      <c r="M19" s="387">
        <v>-137.5</v>
      </c>
      <c r="N19" s="388">
        <v>132.5</v>
      </c>
      <c r="O19" s="389">
        <v>75.0</v>
      </c>
      <c r="P19" s="387">
        <v>352.5</v>
      </c>
      <c r="Q19" s="387">
        <v>16.0</v>
      </c>
      <c r="R19" s="387" t="str">
        <f t="shared" si="1"/>
        <v>#REF!</v>
      </c>
      <c r="S19" s="390" t="s">
        <v>1001</v>
      </c>
      <c r="T19" s="55" t="s">
        <v>1001</v>
      </c>
      <c r="U19" s="391" t="s">
        <v>1001</v>
      </c>
      <c r="V19" s="390" t="s">
        <v>1000</v>
      </c>
      <c r="W19" s="55" t="s">
        <v>1000</v>
      </c>
      <c r="X19" s="391" t="s">
        <v>1000</v>
      </c>
      <c r="Y19" s="390" t="s">
        <v>1003</v>
      </c>
      <c r="Z19" s="55" t="s">
        <v>1003</v>
      </c>
      <c r="AA19" s="391" t="s">
        <v>1003</v>
      </c>
      <c r="AB19" s="390" t="s">
        <v>1000</v>
      </c>
      <c r="AC19" s="55" t="s">
        <v>1000</v>
      </c>
      <c r="AD19" s="391" t="s">
        <v>1000</v>
      </c>
      <c r="AE19" s="390" t="s">
        <v>1000</v>
      </c>
      <c r="AF19" s="55" t="s">
        <v>1000</v>
      </c>
      <c r="AG19" s="391" t="s">
        <v>1000</v>
      </c>
      <c r="AH19" s="390" t="s">
        <v>1000</v>
      </c>
      <c r="AI19" s="55" t="s">
        <v>1000</v>
      </c>
      <c r="AJ19" s="391" t="s">
        <v>1003</v>
      </c>
      <c r="AK19" s="390" t="s">
        <v>1000</v>
      </c>
      <c r="AL19" s="55" t="s">
        <v>1000</v>
      </c>
      <c r="AM19" s="391" t="s">
        <v>1000</v>
      </c>
      <c r="AN19" s="390" t="s">
        <v>1000</v>
      </c>
      <c r="AO19" s="55" t="s">
        <v>1000</v>
      </c>
      <c r="AP19" s="391" t="s">
        <v>1000</v>
      </c>
      <c r="AQ19" s="390" t="s">
        <v>1003</v>
      </c>
      <c r="AR19" s="55" t="s">
        <v>1003</v>
      </c>
      <c r="AS19" s="391" t="s">
        <v>1003</v>
      </c>
    </row>
    <row r="20">
      <c r="A20" s="55" t="s">
        <v>1014</v>
      </c>
      <c r="B20" s="386">
        <v>120.0</v>
      </c>
      <c r="C20" s="387">
        <v>125.0</v>
      </c>
      <c r="D20" s="387">
        <v>-130.0</v>
      </c>
      <c r="E20" s="388">
        <v>125.0</v>
      </c>
      <c r="F20" s="386">
        <v>70.0</v>
      </c>
      <c r="G20" s="387">
        <v>72.5</v>
      </c>
      <c r="H20" s="387">
        <v>75.0</v>
      </c>
      <c r="I20" s="388">
        <v>75.0</v>
      </c>
      <c r="J20" s="387">
        <v>200.0</v>
      </c>
      <c r="K20" s="386">
        <v>110.0</v>
      </c>
      <c r="L20" s="387">
        <v>-117.5</v>
      </c>
      <c r="M20" s="387">
        <v>117.5</v>
      </c>
      <c r="N20" s="388">
        <v>117.5</v>
      </c>
      <c r="O20" s="389">
        <v>75.0</v>
      </c>
      <c r="P20" s="387">
        <v>317.5</v>
      </c>
      <c r="Q20" s="387">
        <v>17.0</v>
      </c>
      <c r="R20" s="387" t="str">
        <f t="shared" si="1"/>
        <v>#REF!</v>
      </c>
      <c r="S20" s="390" t="s">
        <v>1000</v>
      </c>
      <c r="T20" s="55" t="s">
        <v>1000</v>
      </c>
      <c r="U20" s="391" t="s">
        <v>999</v>
      </c>
      <c r="V20" s="390" t="s">
        <v>1001</v>
      </c>
      <c r="W20" s="55" t="s">
        <v>1000</v>
      </c>
      <c r="X20" s="391" t="s">
        <v>1001</v>
      </c>
      <c r="Y20" s="390" t="s">
        <v>1000</v>
      </c>
      <c r="Z20" s="55" t="s">
        <v>1000</v>
      </c>
      <c r="AA20" s="391" t="s">
        <v>1000</v>
      </c>
      <c r="AB20" s="390" t="s">
        <v>1000</v>
      </c>
      <c r="AC20" s="55" t="s">
        <v>1000</v>
      </c>
      <c r="AD20" s="391" t="s">
        <v>1000</v>
      </c>
      <c r="AE20" s="390" t="s">
        <v>1003</v>
      </c>
      <c r="AF20" s="55" t="s">
        <v>1003</v>
      </c>
      <c r="AG20" s="391" t="s">
        <v>1003</v>
      </c>
      <c r="AH20" s="390" t="s">
        <v>1000</v>
      </c>
      <c r="AI20" s="55" t="s">
        <v>1000</v>
      </c>
      <c r="AJ20" s="391" t="s">
        <v>1000</v>
      </c>
      <c r="AK20" s="390" t="s">
        <v>1000</v>
      </c>
      <c r="AL20" s="55" t="s">
        <v>1000</v>
      </c>
      <c r="AM20" s="391" t="s">
        <v>1000</v>
      </c>
      <c r="AN20" s="390" t="s">
        <v>1000</v>
      </c>
      <c r="AO20" s="55" t="s">
        <v>1000</v>
      </c>
      <c r="AP20" s="391" t="s">
        <v>1000</v>
      </c>
      <c r="AQ20" s="390" t="s">
        <v>1003</v>
      </c>
      <c r="AR20" s="55" t="s">
        <v>1003</v>
      </c>
      <c r="AS20" s="391" t="s">
        <v>1003</v>
      </c>
    </row>
    <row r="21">
      <c r="A21" s="55" t="s">
        <v>1015</v>
      </c>
      <c r="B21" s="386">
        <v>-220.0</v>
      </c>
      <c r="C21" s="387">
        <v>220.0</v>
      </c>
      <c r="D21" s="387">
        <v>-235.0</v>
      </c>
      <c r="E21" s="388">
        <v>220.0</v>
      </c>
      <c r="F21" s="386">
        <v>140.0</v>
      </c>
      <c r="G21" s="387">
        <v>145.0</v>
      </c>
      <c r="H21" s="387">
        <v>150.0</v>
      </c>
      <c r="I21" s="388">
        <v>150.0</v>
      </c>
      <c r="J21" s="387">
        <v>370.0</v>
      </c>
      <c r="K21" s="386">
        <v>265.0</v>
      </c>
      <c r="L21" s="387">
        <v>277.5</v>
      </c>
      <c r="M21" s="387">
        <v>-282.5</v>
      </c>
      <c r="N21" s="388">
        <v>277.5</v>
      </c>
      <c r="O21" s="389">
        <v>82.5</v>
      </c>
      <c r="P21" s="387">
        <v>647.5</v>
      </c>
      <c r="Q21" s="387">
        <v>9.0</v>
      </c>
      <c r="R21" s="387" t="str">
        <f t="shared" si="1"/>
        <v>#REF!</v>
      </c>
      <c r="S21" s="390" t="s">
        <v>1001</v>
      </c>
      <c r="T21" s="55" t="s">
        <v>1000</v>
      </c>
      <c r="U21" s="391" t="s">
        <v>1000</v>
      </c>
      <c r="V21" s="390" t="s">
        <v>1000</v>
      </c>
      <c r="W21" s="55" t="s">
        <v>1000</v>
      </c>
      <c r="X21" s="391" t="s">
        <v>1000</v>
      </c>
      <c r="Y21" s="390" t="s">
        <v>1001</v>
      </c>
      <c r="Z21" s="55" t="s">
        <v>1000</v>
      </c>
      <c r="AA21" s="391" t="s">
        <v>1001</v>
      </c>
      <c r="AB21" s="390" t="s">
        <v>1000</v>
      </c>
      <c r="AC21" s="55" t="s">
        <v>1000</v>
      </c>
      <c r="AD21" s="391" t="s">
        <v>1000</v>
      </c>
      <c r="AE21" s="390" t="s">
        <v>1000</v>
      </c>
      <c r="AF21" s="55" t="s">
        <v>1000</v>
      </c>
      <c r="AG21" s="391" t="s">
        <v>1000</v>
      </c>
      <c r="AH21" s="390" t="s">
        <v>1000</v>
      </c>
      <c r="AI21" s="55" t="s">
        <v>1000</v>
      </c>
      <c r="AJ21" s="391" t="s">
        <v>1000</v>
      </c>
      <c r="AK21" s="390" t="s">
        <v>1000</v>
      </c>
      <c r="AL21" s="55" t="s">
        <v>1000</v>
      </c>
      <c r="AM21" s="391" t="s">
        <v>1000</v>
      </c>
      <c r="AN21" s="390" t="s">
        <v>1000</v>
      </c>
      <c r="AO21" s="55" t="s">
        <v>1000</v>
      </c>
      <c r="AP21" s="391" t="s">
        <v>1000</v>
      </c>
      <c r="AQ21" s="390" t="s">
        <v>1003</v>
      </c>
      <c r="AR21" s="55" t="s">
        <v>1003</v>
      </c>
      <c r="AS21" s="391" t="s">
        <v>1003</v>
      </c>
    </row>
    <row r="22">
      <c r="A22" s="55" t="s">
        <v>1016</v>
      </c>
      <c r="B22" s="386">
        <v>225.0</v>
      </c>
      <c r="C22" s="387">
        <v>-235.0</v>
      </c>
      <c r="D22" s="387">
        <v>240.0</v>
      </c>
      <c r="E22" s="388">
        <v>240.0</v>
      </c>
      <c r="F22" s="386">
        <v>155.0</v>
      </c>
      <c r="G22" s="387">
        <v>-165.0</v>
      </c>
      <c r="H22" s="387">
        <v>165.0</v>
      </c>
      <c r="I22" s="388">
        <v>165.0</v>
      </c>
      <c r="J22" s="387">
        <v>405.0</v>
      </c>
      <c r="K22" s="386">
        <v>220.0</v>
      </c>
      <c r="L22" s="387">
        <v>227.5</v>
      </c>
      <c r="M22" s="387">
        <v>-235.0</v>
      </c>
      <c r="N22" s="388">
        <v>227.5</v>
      </c>
      <c r="O22" s="389">
        <v>82.5</v>
      </c>
      <c r="P22" s="387">
        <v>632.5</v>
      </c>
      <c r="Q22" s="387">
        <v>10.0</v>
      </c>
      <c r="R22" s="387" t="str">
        <f t="shared" si="1"/>
        <v>#REF!</v>
      </c>
      <c r="S22" s="390" t="s">
        <v>1000</v>
      </c>
      <c r="T22" s="55" t="s">
        <v>1000</v>
      </c>
      <c r="U22" s="391" t="s">
        <v>1000</v>
      </c>
      <c r="V22" s="390" t="s">
        <v>1000</v>
      </c>
      <c r="W22" s="55" t="s">
        <v>1000</v>
      </c>
      <c r="X22" s="391" t="s">
        <v>1000</v>
      </c>
      <c r="Y22" s="390" t="s">
        <v>1000</v>
      </c>
      <c r="Z22" s="55" t="s">
        <v>1000</v>
      </c>
      <c r="AA22" s="391" t="s">
        <v>1000</v>
      </c>
      <c r="AB22" s="390" t="s">
        <v>1000</v>
      </c>
      <c r="AC22" s="55" t="s">
        <v>1000</v>
      </c>
      <c r="AD22" s="391" t="s">
        <v>1000</v>
      </c>
      <c r="AE22" s="390" t="s">
        <v>1000</v>
      </c>
      <c r="AF22" s="55" t="s">
        <v>1000</v>
      </c>
      <c r="AG22" s="391" t="s">
        <v>1000</v>
      </c>
      <c r="AH22" s="390" t="s">
        <v>1000</v>
      </c>
      <c r="AI22" s="55" t="s">
        <v>1000</v>
      </c>
      <c r="AJ22" s="391" t="s">
        <v>1000</v>
      </c>
      <c r="AK22" s="390" t="s">
        <v>1003</v>
      </c>
      <c r="AL22" s="55" t="s">
        <v>1003</v>
      </c>
      <c r="AM22" s="391" t="s">
        <v>999</v>
      </c>
      <c r="AN22" s="390" t="s">
        <v>1000</v>
      </c>
      <c r="AO22" s="55" t="s">
        <v>1000</v>
      </c>
      <c r="AP22" s="391" t="s">
        <v>1000</v>
      </c>
      <c r="AQ22" s="390" t="s">
        <v>1000</v>
      </c>
      <c r="AR22" s="55" t="s">
        <v>1000</v>
      </c>
      <c r="AS22" s="391" t="s">
        <v>1000</v>
      </c>
    </row>
    <row r="23">
      <c r="A23" s="55" t="s">
        <v>1017</v>
      </c>
      <c r="B23" s="386">
        <v>230.0</v>
      </c>
      <c r="C23" s="387">
        <v>-237.5</v>
      </c>
      <c r="D23" s="387">
        <v>237.5</v>
      </c>
      <c r="E23" s="388">
        <v>237.5</v>
      </c>
      <c r="F23" s="386">
        <v>115.0</v>
      </c>
      <c r="G23" s="387">
        <v>122.5</v>
      </c>
      <c r="H23" s="387">
        <v>-127.5</v>
      </c>
      <c r="I23" s="388">
        <v>122.5</v>
      </c>
      <c r="J23" s="387">
        <v>360.0</v>
      </c>
      <c r="K23" s="386">
        <v>200.0</v>
      </c>
      <c r="L23" s="387">
        <v>215.0</v>
      </c>
      <c r="M23" s="387">
        <v>227.5</v>
      </c>
      <c r="N23" s="388">
        <v>227.5</v>
      </c>
      <c r="O23" s="389">
        <v>82.5</v>
      </c>
      <c r="P23" s="387">
        <v>587.5</v>
      </c>
      <c r="Q23" s="387">
        <v>16.0</v>
      </c>
      <c r="R23" s="387" t="str">
        <f t="shared" si="1"/>
        <v>#REF!</v>
      </c>
      <c r="S23" s="390" t="s">
        <v>1000</v>
      </c>
      <c r="T23" s="55" t="s">
        <v>999</v>
      </c>
      <c r="U23" s="391" t="s">
        <v>1000</v>
      </c>
      <c r="V23" s="390" t="s">
        <v>1000</v>
      </c>
      <c r="W23" s="55" t="s">
        <v>1000</v>
      </c>
      <c r="X23" s="391" t="s">
        <v>1000</v>
      </c>
      <c r="Y23" s="390" t="s">
        <v>1000</v>
      </c>
      <c r="Z23" s="55" t="s">
        <v>1000</v>
      </c>
      <c r="AA23" s="391" t="s">
        <v>1000</v>
      </c>
      <c r="AB23" s="390" t="s">
        <v>1000</v>
      </c>
      <c r="AC23" s="55" t="s">
        <v>1000</v>
      </c>
      <c r="AD23" s="391" t="s">
        <v>1000</v>
      </c>
      <c r="AE23" s="390" t="s">
        <v>1000</v>
      </c>
      <c r="AF23" s="55" t="s">
        <v>1003</v>
      </c>
      <c r="AG23" s="391" t="s">
        <v>1000</v>
      </c>
      <c r="AH23" s="390" t="s">
        <v>1000</v>
      </c>
      <c r="AI23" s="55" t="s">
        <v>1003</v>
      </c>
      <c r="AJ23" s="391" t="s">
        <v>1000</v>
      </c>
      <c r="AK23" s="390" t="s">
        <v>1000</v>
      </c>
      <c r="AL23" s="55" t="s">
        <v>1000</v>
      </c>
      <c r="AM23" s="391" t="s">
        <v>1000</v>
      </c>
      <c r="AN23" s="390" t="s">
        <v>1000</v>
      </c>
      <c r="AO23" s="55" t="s">
        <v>1000</v>
      </c>
      <c r="AP23" s="391" t="s">
        <v>1000</v>
      </c>
      <c r="AQ23" s="390" t="s">
        <v>1000</v>
      </c>
      <c r="AR23" s="55" t="s">
        <v>1000</v>
      </c>
      <c r="AS23" s="391" t="s">
        <v>1000</v>
      </c>
    </row>
    <row r="24">
      <c r="A24" s="55" t="s">
        <v>202</v>
      </c>
      <c r="B24" s="386">
        <v>170.0</v>
      </c>
      <c r="C24" s="387">
        <v>177.5</v>
      </c>
      <c r="D24" s="387">
        <v>185.0</v>
      </c>
      <c r="E24" s="388">
        <v>185.0</v>
      </c>
      <c r="F24" s="386">
        <v>87.5</v>
      </c>
      <c r="G24" s="387">
        <v>92.5</v>
      </c>
      <c r="H24" s="387">
        <v>-97.5</v>
      </c>
      <c r="I24" s="388">
        <v>92.5</v>
      </c>
      <c r="J24" s="387">
        <v>277.5</v>
      </c>
      <c r="K24" s="386">
        <v>152.5</v>
      </c>
      <c r="L24" s="387">
        <v>162.5</v>
      </c>
      <c r="M24" s="387">
        <v>-175.0</v>
      </c>
      <c r="N24" s="388">
        <v>162.5</v>
      </c>
      <c r="O24" s="389">
        <v>90.0</v>
      </c>
      <c r="P24" s="387">
        <v>440.0</v>
      </c>
      <c r="Q24" s="387">
        <v>3.0</v>
      </c>
      <c r="R24" s="387" t="str">
        <f t="shared" si="1"/>
        <v>#REF!</v>
      </c>
      <c r="S24" s="390" t="s">
        <v>1000</v>
      </c>
      <c r="T24" s="55" t="s">
        <v>1000</v>
      </c>
      <c r="U24" s="391" t="s">
        <v>1000</v>
      </c>
      <c r="V24" s="390" t="s">
        <v>1000</v>
      </c>
      <c r="W24" s="55" t="s">
        <v>1000</v>
      </c>
      <c r="X24" s="391" t="s">
        <v>1000</v>
      </c>
      <c r="Y24" s="390" t="s">
        <v>1000</v>
      </c>
      <c r="Z24" s="55" t="s">
        <v>1000</v>
      </c>
      <c r="AA24" s="391" t="s">
        <v>1000</v>
      </c>
      <c r="AB24" s="390" t="s">
        <v>1003</v>
      </c>
      <c r="AC24" s="55" t="s">
        <v>1003</v>
      </c>
      <c r="AD24" s="391" t="s">
        <v>1003</v>
      </c>
      <c r="AE24" s="390" t="s">
        <v>1000</v>
      </c>
      <c r="AF24" s="55" t="s">
        <v>1000</v>
      </c>
      <c r="AG24" s="391" t="s">
        <v>1000</v>
      </c>
      <c r="AH24" s="390" t="s">
        <v>1003</v>
      </c>
      <c r="AI24" s="55" t="s">
        <v>1003</v>
      </c>
      <c r="AJ24" s="391" t="s">
        <v>1003</v>
      </c>
      <c r="AK24" s="390" t="s">
        <v>1000</v>
      </c>
      <c r="AL24" s="55" t="s">
        <v>1000</v>
      </c>
      <c r="AM24" s="391" t="s">
        <v>1000</v>
      </c>
      <c r="AN24" s="390" t="s">
        <v>1000</v>
      </c>
      <c r="AO24" s="55" t="s">
        <v>1000</v>
      </c>
      <c r="AP24" s="391" t="s">
        <v>1000</v>
      </c>
      <c r="AQ24" s="390" t="s">
        <v>1000</v>
      </c>
      <c r="AR24" s="55" t="s">
        <v>1001</v>
      </c>
      <c r="AS24" s="391" t="s">
        <v>1000</v>
      </c>
    </row>
    <row r="25">
      <c r="A25" s="55" t="s">
        <v>1018</v>
      </c>
      <c r="B25" s="386">
        <v>175.0</v>
      </c>
      <c r="C25" s="387">
        <v>177.5</v>
      </c>
      <c r="D25" s="387">
        <v>182.5</v>
      </c>
      <c r="E25" s="388">
        <v>182.5</v>
      </c>
      <c r="F25" s="386">
        <v>75.0</v>
      </c>
      <c r="G25" s="387">
        <v>-80.0</v>
      </c>
      <c r="H25" s="387">
        <v>80.0</v>
      </c>
      <c r="I25" s="388">
        <v>80.0</v>
      </c>
      <c r="J25" s="387">
        <v>262.5</v>
      </c>
      <c r="K25" s="386">
        <v>145.0</v>
      </c>
      <c r="L25" s="387">
        <v>155.0</v>
      </c>
      <c r="M25" s="387">
        <v>-162.5</v>
      </c>
      <c r="N25" s="388">
        <v>155.0</v>
      </c>
      <c r="O25" s="389">
        <v>90.0</v>
      </c>
      <c r="P25" s="387">
        <v>417.5</v>
      </c>
      <c r="Q25" s="387">
        <v>4.0</v>
      </c>
      <c r="R25" s="387" t="str">
        <f t="shared" si="1"/>
        <v>#REF!</v>
      </c>
      <c r="S25" s="390" t="s">
        <v>1000</v>
      </c>
      <c r="T25" s="55" t="s">
        <v>1000</v>
      </c>
      <c r="U25" s="391" t="s">
        <v>1000</v>
      </c>
      <c r="V25" s="390" t="s">
        <v>1001</v>
      </c>
      <c r="W25" s="55" t="s">
        <v>1001</v>
      </c>
      <c r="X25" s="391" t="s">
        <v>1000</v>
      </c>
      <c r="Y25" s="390" t="s">
        <v>1000</v>
      </c>
      <c r="Z25" s="55" t="s">
        <v>1000</v>
      </c>
      <c r="AA25" s="391" t="s">
        <v>1000</v>
      </c>
      <c r="AB25" s="390" t="s">
        <v>1003</v>
      </c>
      <c r="AC25" s="55" t="s">
        <v>1000</v>
      </c>
      <c r="AD25" s="391" t="s">
        <v>1000</v>
      </c>
      <c r="AE25" s="390" t="s">
        <v>1000</v>
      </c>
      <c r="AF25" s="55" t="s">
        <v>1000</v>
      </c>
      <c r="AG25" s="391" t="s">
        <v>999</v>
      </c>
      <c r="AH25" s="390" t="s">
        <v>1003</v>
      </c>
      <c r="AI25" s="55" t="s">
        <v>1003</v>
      </c>
      <c r="AJ25" s="391" t="s">
        <v>1003</v>
      </c>
      <c r="AK25" s="390" t="s">
        <v>1003</v>
      </c>
      <c r="AL25" s="55" t="s">
        <v>1003</v>
      </c>
      <c r="AM25" s="391" t="s">
        <v>1003</v>
      </c>
      <c r="AN25" s="390" t="s">
        <v>1000</v>
      </c>
      <c r="AO25" s="55" t="s">
        <v>999</v>
      </c>
      <c r="AP25" s="391" t="s">
        <v>999</v>
      </c>
      <c r="AQ25" s="390" t="s">
        <v>1000</v>
      </c>
      <c r="AR25" s="55" t="s">
        <v>1000</v>
      </c>
      <c r="AS25" s="391" t="s">
        <v>1000</v>
      </c>
    </row>
    <row r="26">
      <c r="A26" s="55" t="s">
        <v>1019</v>
      </c>
      <c r="B26" s="386">
        <v>237.5</v>
      </c>
      <c r="C26" s="387">
        <v>250.0</v>
      </c>
      <c r="D26" s="387">
        <v>-260.0</v>
      </c>
      <c r="E26" s="388">
        <v>250.0</v>
      </c>
      <c r="F26" s="386">
        <v>147.5</v>
      </c>
      <c r="G26" s="387">
        <v>152.5</v>
      </c>
      <c r="H26" s="387">
        <v>155.0</v>
      </c>
      <c r="I26" s="388">
        <v>155.0</v>
      </c>
      <c r="J26" s="387">
        <v>405.0</v>
      </c>
      <c r="K26" s="386">
        <v>252.5</v>
      </c>
      <c r="L26" s="387">
        <v>267.5</v>
      </c>
      <c r="M26" s="387">
        <v>-280.0</v>
      </c>
      <c r="N26" s="388">
        <v>267.5</v>
      </c>
      <c r="O26" s="389">
        <v>90.0</v>
      </c>
      <c r="P26" s="387">
        <v>672.5</v>
      </c>
      <c r="Q26" s="387">
        <v>8.0</v>
      </c>
      <c r="R26" s="387" t="str">
        <f t="shared" si="1"/>
        <v>#REF!</v>
      </c>
      <c r="S26" s="390" t="s">
        <v>1001</v>
      </c>
      <c r="T26" s="55" t="s">
        <v>1001</v>
      </c>
      <c r="U26" s="391" t="s">
        <v>1001</v>
      </c>
      <c r="V26" s="390" t="s">
        <v>1000</v>
      </c>
      <c r="W26" s="55" t="s">
        <v>1000</v>
      </c>
      <c r="X26" s="391" t="s">
        <v>1000</v>
      </c>
      <c r="Y26" s="390" t="s">
        <v>1000</v>
      </c>
      <c r="Z26" s="55" t="s">
        <v>1000</v>
      </c>
      <c r="AA26" s="391" t="s">
        <v>1001</v>
      </c>
      <c r="AB26" s="390" t="s">
        <v>1000</v>
      </c>
      <c r="AC26" s="55" t="s">
        <v>1000</v>
      </c>
      <c r="AD26" s="391" t="s">
        <v>1000</v>
      </c>
      <c r="AE26" s="390" t="s">
        <v>1000</v>
      </c>
      <c r="AF26" s="55" t="s">
        <v>1000</v>
      </c>
      <c r="AG26" s="391" t="s">
        <v>1000</v>
      </c>
      <c r="AH26" s="390" t="s">
        <v>1003</v>
      </c>
      <c r="AI26" s="55" t="s">
        <v>1003</v>
      </c>
      <c r="AJ26" s="391" t="s">
        <v>1003</v>
      </c>
      <c r="AK26" s="390" t="s">
        <v>1000</v>
      </c>
      <c r="AL26" s="55" t="s">
        <v>1000</v>
      </c>
      <c r="AM26" s="391" t="s">
        <v>1000</v>
      </c>
      <c r="AN26" s="390" t="s">
        <v>1000</v>
      </c>
      <c r="AO26" s="55" t="s">
        <v>1000</v>
      </c>
      <c r="AP26" s="391" t="s">
        <v>1000</v>
      </c>
      <c r="AQ26" s="390" t="s">
        <v>1000</v>
      </c>
      <c r="AR26" s="55" t="s">
        <v>1000</v>
      </c>
      <c r="AS26" s="391" t="s">
        <v>1000</v>
      </c>
    </row>
    <row r="27">
      <c r="A27" s="55" t="s">
        <v>1020</v>
      </c>
      <c r="B27" s="386">
        <v>225.0</v>
      </c>
      <c r="C27" s="387">
        <v>232.5</v>
      </c>
      <c r="D27" s="387">
        <v>240.0</v>
      </c>
      <c r="E27" s="388">
        <v>240.0</v>
      </c>
      <c r="F27" s="386">
        <v>135.0</v>
      </c>
      <c r="G27" s="387">
        <v>145.0</v>
      </c>
      <c r="H27" s="387">
        <v>152.5</v>
      </c>
      <c r="I27" s="388">
        <v>152.5</v>
      </c>
      <c r="J27" s="387">
        <v>392.5</v>
      </c>
      <c r="K27" s="386">
        <v>-230.0</v>
      </c>
      <c r="L27" s="387">
        <v>230.0</v>
      </c>
      <c r="M27" s="387">
        <v>242.5</v>
      </c>
      <c r="N27" s="388">
        <v>242.5</v>
      </c>
      <c r="O27" s="389">
        <v>90.0</v>
      </c>
      <c r="P27" s="387">
        <v>635.0</v>
      </c>
      <c r="Q27" s="387">
        <v>13.0</v>
      </c>
      <c r="R27" s="387" t="str">
        <f t="shared" si="1"/>
        <v>#REF!</v>
      </c>
      <c r="S27" s="390" t="s">
        <v>1000</v>
      </c>
      <c r="T27" s="55" t="s">
        <v>1000</v>
      </c>
      <c r="U27" s="391" t="s">
        <v>1000</v>
      </c>
      <c r="V27" s="390" t="s">
        <v>1003</v>
      </c>
      <c r="W27" s="55" t="s">
        <v>1003</v>
      </c>
      <c r="X27" s="391" t="s">
        <v>1003</v>
      </c>
      <c r="Y27" s="390" t="s">
        <v>1003</v>
      </c>
      <c r="Z27" s="55" t="s">
        <v>1003</v>
      </c>
      <c r="AA27" s="391" t="s">
        <v>1003</v>
      </c>
      <c r="AB27" s="390" t="s">
        <v>1000</v>
      </c>
      <c r="AC27" s="55" t="s">
        <v>1000</v>
      </c>
      <c r="AD27" s="391" t="s">
        <v>1000</v>
      </c>
      <c r="AE27" s="390" t="s">
        <v>1000</v>
      </c>
      <c r="AF27" s="55" t="s">
        <v>1000</v>
      </c>
      <c r="AG27" s="391" t="s">
        <v>1000</v>
      </c>
      <c r="AH27" s="390" t="s">
        <v>1000</v>
      </c>
      <c r="AI27" s="55" t="s">
        <v>1000</v>
      </c>
      <c r="AJ27" s="391" t="s">
        <v>1000</v>
      </c>
      <c r="AK27" s="390" t="s">
        <v>1000</v>
      </c>
      <c r="AL27" s="55" t="s">
        <v>1000</v>
      </c>
      <c r="AM27" s="391" t="s">
        <v>1000</v>
      </c>
      <c r="AN27" s="390" t="s">
        <v>1003</v>
      </c>
      <c r="AO27" s="55" t="s">
        <v>1003</v>
      </c>
      <c r="AP27" s="391" t="s">
        <v>1003</v>
      </c>
      <c r="AQ27" s="390" t="s">
        <v>1003</v>
      </c>
      <c r="AR27" s="55" t="s">
        <v>1003</v>
      </c>
      <c r="AS27" s="391" t="s">
        <v>1003</v>
      </c>
    </row>
    <row r="28">
      <c r="A28" s="55" t="s">
        <v>1021</v>
      </c>
      <c r="B28" s="386">
        <v>225.0</v>
      </c>
      <c r="C28" s="387">
        <v>232.5</v>
      </c>
      <c r="D28" s="387">
        <v>242.5</v>
      </c>
      <c r="E28" s="388">
        <v>242.5</v>
      </c>
      <c r="F28" s="386">
        <v>-125.0</v>
      </c>
      <c r="G28" s="387">
        <v>125.0</v>
      </c>
      <c r="H28" s="387">
        <v>-135.0</v>
      </c>
      <c r="I28" s="388">
        <v>125.0</v>
      </c>
      <c r="J28" s="387">
        <v>367.5</v>
      </c>
      <c r="K28" s="386">
        <v>227.5</v>
      </c>
      <c r="L28" s="387">
        <v>237.5</v>
      </c>
      <c r="M28" s="387">
        <v>247.5</v>
      </c>
      <c r="N28" s="388">
        <v>247.5</v>
      </c>
      <c r="O28" s="389">
        <v>90.0</v>
      </c>
      <c r="P28" s="387">
        <v>615.0</v>
      </c>
      <c r="Q28" s="387">
        <v>19.0</v>
      </c>
      <c r="R28" s="387" t="str">
        <f t="shared" si="1"/>
        <v>#REF!</v>
      </c>
      <c r="S28" s="390" t="s">
        <v>1000</v>
      </c>
      <c r="T28" s="55" t="s">
        <v>1000</v>
      </c>
      <c r="U28" s="391" t="s">
        <v>1000</v>
      </c>
      <c r="V28" s="390" t="s">
        <v>1000</v>
      </c>
      <c r="W28" s="55" t="s">
        <v>1000</v>
      </c>
      <c r="X28" s="391" t="s">
        <v>1000</v>
      </c>
      <c r="Y28" s="390" t="s">
        <v>1003</v>
      </c>
      <c r="Z28" s="55" t="s">
        <v>1003</v>
      </c>
      <c r="AA28" s="391" t="s">
        <v>1003</v>
      </c>
      <c r="AB28" s="390" t="s">
        <v>1000</v>
      </c>
      <c r="AC28" s="55" t="s">
        <v>1000</v>
      </c>
      <c r="AD28" s="391" t="s">
        <v>1000</v>
      </c>
      <c r="AE28" s="390" t="s">
        <v>1000</v>
      </c>
      <c r="AF28" s="55" t="s">
        <v>1000</v>
      </c>
      <c r="AG28" s="391" t="s">
        <v>1000</v>
      </c>
      <c r="AH28" s="390" t="s">
        <v>1000</v>
      </c>
      <c r="AI28" s="55" t="s">
        <v>1000</v>
      </c>
      <c r="AJ28" s="391" t="s">
        <v>1000</v>
      </c>
      <c r="AK28" s="390" t="s">
        <v>1000</v>
      </c>
      <c r="AL28" s="55" t="s">
        <v>1000</v>
      </c>
      <c r="AM28" s="391" t="s">
        <v>1000</v>
      </c>
      <c r="AN28" s="390" t="s">
        <v>1000</v>
      </c>
      <c r="AO28" s="55" t="s">
        <v>1000</v>
      </c>
      <c r="AP28" s="391" t="s">
        <v>1000</v>
      </c>
      <c r="AQ28" s="390" t="s">
        <v>1000</v>
      </c>
      <c r="AR28" s="55" t="s">
        <v>1000</v>
      </c>
      <c r="AS28" s="391" t="s">
        <v>1000</v>
      </c>
    </row>
    <row r="29">
      <c r="A29" s="55" t="s">
        <v>1022</v>
      </c>
      <c r="B29" s="386">
        <v>150.0</v>
      </c>
      <c r="C29" s="387">
        <v>157.5</v>
      </c>
      <c r="D29" s="387">
        <v>162.5</v>
      </c>
      <c r="E29" s="388">
        <v>162.5</v>
      </c>
      <c r="F29" s="386">
        <v>-95.0</v>
      </c>
      <c r="G29" s="387">
        <v>-97.5</v>
      </c>
      <c r="H29" s="387">
        <v>-97.5</v>
      </c>
      <c r="I29" s="391"/>
      <c r="J29" s="55"/>
      <c r="K29" s="386">
        <v>130.0</v>
      </c>
      <c r="L29" s="387">
        <v>137.5</v>
      </c>
      <c r="M29" s="387">
        <v>-140.0</v>
      </c>
      <c r="N29" s="388">
        <v>137.5</v>
      </c>
      <c r="O29" s="389">
        <v>100.0</v>
      </c>
      <c r="P29" s="387">
        <v>0.0</v>
      </c>
      <c r="Q29" s="55"/>
      <c r="R29" s="387" t="str">
        <f t="shared" si="1"/>
        <v>#REF!</v>
      </c>
      <c r="S29" s="390" t="s">
        <v>1000</v>
      </c>
      <c r="T29" s="55" t="s">
        <v>1000</v>
      </c>
      <c r="U29" s="391" t="s">
        <v>1001</v>
      </c>
      <c r="V29" s="390" t="s">
        <v>1001</v>
      </c>
      <c r="W29" s="55" t="s">
        <v>1000</v>
      </c>
      <c r="X29" s="391" t="s">
        <v>1001</v>
      </c>
      <c r="Y29" s="390" t="s">
        <v>1000</v>
      </c>
      <c r="Z29" s="55" t="s">
        <v>1000</v>
      </c>
      <c r="AA29" s="391" t="s">
        <v>1000</v>
      </c>
      <c r="AB29" s="390" t="s">
        <v>1003</v>
      </c>
      <c r="AC29" s="55" t="s">
        <v>1003</v>
      </c>
      <c r="AD29" s="391" t="s">
        <v>1011</v>
      </c>
      <c r="AE29" s="390" t="s">
        <v>1003</v>
      </c>
      <c r="AF29" s="55" t="s">
        <v>1000</v>
      </c>
      <c r="AG29" s="391" t="s">
        <v>1000</v>
      </c>
      <c r="AH29" s="390" t="s">
        <v>1003</v>
      </c>
      <c r="AI29" s="55" t="s">
        <v>1003</v>
      </c>
      <c r="AJ29" s="391" t="s">
        <v>1003</v>
      </c>
      <c r="AK29" s="390" t="s">
        <v>1000</v>
      </c>
      <c r="AL29" s="55" t="s">
        <v>1000</v>
      </c>
      <c r="AM29" s="391" t="s">
        <v>1000</v>
      </c>
      <c r="AN29" s="390" t="s">
        <v>1000</v>
      </c>
      <c r="AO29" s="55" t="s">
        <v>1000</v>
      </c>
      <c r="AP29" s="391" t="s">
        <v>1000</v>
      </c>
      <c r="AQ29" s="390" t="s">
        <v>999</v>
      </c>
      <c r="AR29" s="55" t="s">
        <v>1000</v>
      </c>
      <c r="AS29" s="391" t="s">
        <v>1000</v>
      </c>
    </row>
    <row r="30">
      <c r="A30" s="55" t="s">
        <v>1023</v>
      </c>
      <c r="B30" s="386">
        <v>280.0</v>
      </c>
      <c r="C30" s="387">
        <v>292.5</v>
      </c>
      <c r="D30" s="387">
        <v>300.0</v>
      </c>
      <c r="E30" s="388">
        <v>300.0</v>
      </c>
      <c r="F30" s="386">
        <v>-170.0</v>
      </c>
      <c r="G30" s="387">
        <v>170.0</v>
      </c>
      <c r="H30" s="387">
        <v>-172.5</v>
      </c>
      <c r="I30" s="388">
        <v>170.0</v>
      </c>
      <c r="J30" s="387">
        <v>470.0</v>
      </c>
      <c r="K30" s="386">
        <v>270.0</v>
      </c>
      <c r="L30" s="387">
        <v>280.0</v>
      </c>
      <c r="M30" s="387">
        <v>287.5</v>
      </c>
      <c r="N30" s="388">
        <v>287.5</v>
      </c>
      <c r="O30" s="389">
        <v>100.0</v>
      </c>
      <c r="P30" s="387">
        <v>757.5</v>
      </c>
      <c r="Q30" s="387">
        <v>3.0</v>
      </c>
      <c r="R30" s="387" t="str">
        <f t="shared" si="1"/>
        <v>#REF!</v>
      </c>
      <c r="S30" s="390" t="s">
        <v>1000</v>
      </c>
      <c r="T30" s="55" t="s">
        <v>1000</v>
      </c>
      <c r="U30" s="391" t="s">
        <v>1000</v>
      </c>
      <c r="V30" s="390" t="s">
        <v>1000</v>
      </c>
      <c r="W30" s="55" t="s">
        <v>1000</v>
      </c>
      <c r="X30" s="391" t="s">
        <v>1000</v>
      </c>
      <c r="Y30" s="390" t="s">
        <v>1000</v>
      </c>
      <c r="Z30" s="55" t="s">
        <v>1000</v>
      </c>
      <c r="AA30" s="391" t="s">
        <v>1000</v>
      </c>
      <c r="AB30" s="390" t="s">
        <v>1000</v>
      </c>
      <c r="AC30" s="55" t="s">
        <v>1000</v>
      </c>
      <c r="AD30" s="391" t="s">
        <v>1000</v>
      </c>
      <c r="AE30" s="390" t="s">
        <v>1000</v>
      </c>
      <c r="AF30" s="55" t="s">
        <v>1000</v>
      </c>
      <c r="AG30" s="391" t="s">
        <v>1000</v>
      </c>
      <c r="AH30" s="390" t="s">
        <v>1000</v>
      </c>
      <c r="AI30" s="55" t="s">
        <v>1000</v>
      </c>
      <c r="AJ30" s="391" t="s">
        <v>1000</v>
      </c>
      <c r="AK30" s="390" t="s">
        <v>1000</v>
      </c>
      <c r="AL30" s="55" t="s">
        <v>1000</v>
      </c>
      <c r="AM30" s="391" t="s">
        <v>1000</v>
      </c>
      <c r="AN30" s="390" t="s">
        <v>1000</v>
      </c>
      <c r="AO30" s="55" t="s">
        <v>1000</v>
      </c>
      <c r="AP30" s="391" t="s">
        <v>1000</v>
      </c>
      <c r="AQ30" s="390" t="s">
        <v>1000</v>
      </c>
      <c r="AR30" s="55" t="s">
        <v>1000</v>
      </c>
      <c r="AS30" s="391" t="s">
        <v>1000</v>
      </c>
    </row>
    <row r="31">
      <c r="A31" s="55" t="s">
        <v>1024</v>
      </c>
      <c r="B31" s="386">
        <v>272.5</v>
      </c>
      <c r="C31" s="387">
        <v>-285.0</v>
      </c>
      <c r="D31" s="387">
        <v>285.0</v>
      </c>
      <c r="E31" s="388">
        <v>285.0</v>
      </c>
      <c r="F31" s="386">
        <v>167.5</v>
      </c>
      <c r="G31" s="387">
        <v>175.0</v>
      </c>
      <c r="H31" s="387">
        <v>-177.5</v>
      </c>
      <c r="I31" s="388">
        <v>175.0</v>
      </c>
      <c r="J31" s="387">
        <v>460.0</v>
      </c>
      <c r="K31" s="386">
        <v>-235.0</v>
      </c>
      <c r="L31" s="387">
        <v>-242.5</v>
      </c>
      <c r="M31" s="387">
        <v>242.5</v>
      </c>
      <c r="N31" s="388">
        <v>242.5</v>
      </c>
      <c r="O31" s="389">
        <v>100.0</v>
      </c>
      <c r="P31" s="387">
        <v>702.5</v>
      </c>
      <c r="Q31" s="387">
        <v>6.0</v>
      </c>
      <c r="R31" s="387" t="str">
        <f t="shared" si="1"/>
        <v>#REF!</v>
      </c>
      <c r="S31" s="390" t="s">
        <v>1003</v>
      </c>
      <c r="T31" s="55" t="s">
        <v>1003</v>
      </c>
      <c r="U31" s="391" t="s">
        <v>1003</v>
      </c>
      <c r="V31" s="390" t="s">
        <v>1001</v>
      </c>
      <c r="W31" s="55" t="s">
        <v>1003</v>
      </c>
      <c r="X31" s="391" t="s">
        <v>1003</v>
      </c>
      <c r="Y31" s="390" t="s">
        <v>1000</v>
      </c>
      <c r="Z31" s="55" t="s">
        <v>1000</v>
      </c>
      <c r="AA31" s="391" t="s">
        <v>1003</v>
      </c>
      <c r="AB31" s="390" t="s">
        <v>1000</v>
      </c>
      <c r="AC31" s="55" t="s">
        <v>1000</v>
      </c>
      <c r="AD31" s="391" t="s">
        <v>1000</v>
      </c>
      <c r="AE31" s="390" t="s">
        <v>1000</v>
      </c>
      <c r="AF31" s="55" t="s">
        <v>1000</v>
      </c>
      <c r="AG31" s="391" t="s">
        <v>1000</v>
      </c>
      <c r="AH31" s="390" t="s">
        <v>1000</v>
      </c>
      <c r="AI31" s="55" t="s">
        <v>1000</v>
      </c>
      <c r="AJ31" s="391" t="s">
        <v>1000</v>
      </c>
      <c r="AK31" s="390" t="s">
        <v>1000</v>
      </c>
      <c r="AL31" s="55" t="s">
        <v>1000</v>
      </c>
      <c r="AM31" s="391" t="s">
        <v>1000</v>
      </c>
      <c r="AN31" s="390" t="s">
        <v>999</v>
      </c>
      <c r="AO31" s="55" t="s">
        <v>1000</v>
      </c>
      <c r="AP31" s="391" t="s">
        <v>1000</v>
      </c>
      <c r="AQ31" s="390" t="s">
        <v>999</v>
      </c>
      <c r="AR31" s="55" t="s">
        <v>999</v>
      </c>
      <c r="AS31" s="391" t="s">
        <v>999</v>
      </c>
    </row>
    <row r="32">
      <c r="A32" s="55" t="s">
        <v>1025</v>
      </c>
      <c r="B32" s="386">
        <v>-255.0</v>
      </c>
      <c r="C32" s="387">
        <v>255.0</v>
      </c>
      <c r="D32" s="387">
        <v>265.0</v>
      </c>
      <c r="E32" s="388">
        <v>265.0</v>
      </c>
      <c r="F32" s="386">
        <v>145.0</v>
      </c>
      <c r="G32" s="387">
        <v>-155.0</v>
      </c>
      <c r="H32" s="387">
        <v>160.0</v>
      </c>
      <c r="I32" s="388">
        <v>160.0</v>
      </c>
      <c r="J32" s="387">
        <v>425.0</v>
      </c>
      <c r="K32" s="386">
        <v>-240.0</v>
      </c>
      <c r="L32" s="387">
        <v>245.0</v>
      </c>
      <c r="M32" s="387">
        <v>247.5</v>
      </c>
      <c r="N32" s="388">
        <v>247.5</v>
      </c>
      <c r="O32" s="389">
        <v>100.0</v>
      </c>
      <c r="P32" s="387">
        <v>672.5</v>
      </c>
      <c r="Q32" s="387">
        <v>8.0</v>
      </c>
      <c r="R32" s="387" t="str">
        <f t="shared" si="1"/>
        <v>#REF!</v>
      </c>
      <c r="S32" s="390" t="s">
        <v>1000</v>
      </c>
      <c r="T32" s="55" t="s">
        <v>1000</v>
      </c>
      <c r="U32" s="391" t="s">
        <v>1000</v>
      </c>
      <c r="V32" s="390" t="s">
        <v>1000</v>
      </c>
      <c r="W32" s="55" t="s">
        <v>1000</v>
      </c>
      <c r="X32" s="391" t="s">
        <v>1000</v>
      </c>
      <c r="Y32" s="390" t="s">
        <v>1000</v>
      </c>
      <c r="Z32" s="55" t="s">
        <v>1001</v>
      </c>
      <c r="AA32" s="391" t="s">
        <v>999</v>
      </c>
      <c r="AB32" s="390" t="s">
        <v>1000</v>
      </c>
      <c r="AC32" s="55" t="s">
        <v>1000</v>
      </c>
      <c r="AD32" s="391" t="s">
        <v>1000</v>
      </c>
      <c r="AE32" s="390" t="s">
        <v>1000</v>
      </c>
      <c r="AF32" s="55" t="s">
        <v>1000</v>
      </c>
      <c r="AG32" s="391" t="s">
        <v>1000</v>
      </c>
      <c r="AH32" s="390" t="s">
        <v>1000</v>
      </c>
      <c r="AI32" s="55" t="s">
        <v>1000</v>
      </c>
      <c r="AJ32" s="391" t="s">
        <v>1000</v>
      </c>
      <c r="AK32" s="390" t="s">
        <v>1000</v>
      </c>
      <c r="AL32" s="55" t="s">
        <v>1000</v>
      </c>
      <c r="AM32" s="391" t="s">
        <v>1000</v>
      </c>
      <c r="AN32" s="390" t="s">
        <v>999</v>
      </c>
      <c r="AO32" s="55" t="s">
        <v>999</v>
      </c>
      <c r="AP32" s="391" t="s">
        <v>1000</v>
      </c>
      <c r="AQ32" s="390" t="s">
        <v>1000</v>
      </c>
      <c r="AR32" s="55" t="s">
        <v>1000</v>
      </c>
      <c r="AS32" s="391" t="s">
        <v>1000</v>
      </c>
    </row>
    <row r="33">
      <c r="A33" s="55" t="s">
        <v>211</v>
      </c>
      <c r="B33" s="386">
        <v>107.5</v>
      </c>
      <c r="C33" s="387">
        <v>112.5</v>
      </c>
      <c r="D33" s="387">
        <v>117.5</v>
      </c>
      <c r="E33" s="388">
        <v>117.5</v>
      </c>
      <c r="F33" s="386">
        <v>-82.5</v>
      </c>
      <c r="G33" s="387">
        <v>82.5</v>
      </c>
      <c r="H33" s="387">
        <v>87.5</v>
      </c>
      <c r="I33" s="388">
        <v>87.5</v>
      </c>
      <c r="J33" s="387">
        <v>205.0</v>
      </c>
      <c r="K33" s="386">
        <v>127.5</v>
      </c>
      <c r="L33" s="387">
        <v>137.5</v>
      </c>
      <c r="M33" s="387">
        <v>147.5</v>
      </c>
      <c r="N33" s="388">
        <v>147.5</v>
      </c>
      <c r="O33" s="389">
        <v>100.0</v>
      </c>
      <c r="P33" s="387">
        <v>352.5</v>
      </c>
      <c r="Q33" s="387">
        <v>4.0</v>
      </c>
      <c r="R33" s="387" t="str">
        <f t="shared" si="1"/>
        <v>#REF!</v>
      </c>
      <c r="S33" s="390" t="s">
        <v>1000</v>
      </c>
      <c r="T33" s="55" t="s">
        <v>999</v>
      </c>
      <c r="U33" s="391" t="s">
        <v>1000</v>
      </c>
      <c r="V33" s="390" t="s">
        <v>1001</v>
      </c>
      <c r="W33" s="55" t="s">
        <v>999</v>
      </c>
      <c r="X33" s="391" t="s">
        <v>1000</v>
      </c>
      <c r="Y33" s="390" t="s">
        <v>999</v>
      </c>
      <c r="Z33" s="55" t="s">
        <v>1000</v>
      </c>
      <c r="AA33" s="391" t="s">
        <v>1000</v>
      </c>
      <c r="AB33" s="390" t="s">
        <v>1000</v>
      </c>
      <c r="AC33" s="55" t="s">
        <v>1000</v>
      </c>
      <c r="AD33" s="391" t="s">
        <v>1000</v>
      </c>
      <c r="AE33" s="390" t="s">
        <v>1000</v>
      </c>
      <c r="AF33" s="55" t="s">
        <v>1000</v>
      </c>
      <c r="AG33" s="391" t="s">
        <v>1000</v>
      </c>
      <c r="AH33" s="390" t="s">
        <v>1003</v>
      </c>
      <c r="AI33" s="55" t="s">
        <v>1003</v>
      </c>
      <c r="AJ33" s="391" t="s">
        <v>1003</v>
      </c>
      <c r="AK33" s="390" t="s">
        <v>1000</v>
      </c>
      <c r="AL33" s="55" t="s">
        <v>1000</v>
      </c>
      <c r="AM33" s="391" t="s">
        <v>999</v>
      </c>
      <c r="AN33" s="390" t="s">
        <v>1000</v>
      </c>
      <c r="AO33" s="55" t="s">
        <v>1000</v>
      </c>
      <c r="AP33" s="391" t="s">
        <v>1000</v>
      </c>
      <c r="AQ33" s="390" t="s">
        <v>1000</v>
      </c>
      <c r="AR33" s="55" t="s">
        <v>1000</v>
      </c>
      <c r="AS33" s="391" t="s">
        <v>1000</v>
      </c>
    </row>
    <row r="34">
      <c r="A34" s="55" t="s">
        <v>1026</v>
      </c>
      <c r="B34" s="386">
        <v>-272.5</v>
      </c>
      <c r="C34" s="387">
        <v>272.5</v>
      </c>
      <c r="D34" s="387">
        <v>280.0</v>
      </c>
      <c r="E34" s="388">
        <v>280.0</v>
      </c>
      <c r="F34" s="386">
        <v>175.0</v>
      </c>
      <c r="G34" s="387">
        <v>185.0</v>
      </c>
      <c r="H34" s="387">
        <v>-192.5</v>
      </c>
      <c r="I34" s="388">
        <v>185.0</v>
      </c>
      <c r="J34" s="387">
        <v>465.0</v>
      </c>
      <c r="K34" s="386">
        <v>220.0</v>
      </c>
      <c r="L34" s="387">
        <v>230.0</v>
      </c>
      <c r="M34" s="387">
        <v>240.0</v>
      </c>
      <c r="N34" s="388">
        <v>240.0</v>
      </c>
      <c r="O34" s="389">
        <v>110.0</v>
      </c>
      <c r="P34" s="387">
        <v>705.0</v>
      </c>
      <c r="Q34" s="387">
        <v>8.0</v>
      </c>
      <c r="R34" s="387" t="str">
        <f t="shared" si="1"/>
        <v>#REF!</v>
      </c>
      <c r="S34" s="390" t="s">
        <v>1000</v>
      </c>
      <c r="T34" s="55" t="s">
        <v>1000</v>
      </c>
      <c r="U34" s="391" t="s">
        <v>1000</v>
      </c>
      <c r="V34" s="390" t="s">
        <v>1000</v>
      </c>
      <c r="W34" s="55" t="s">
        <v>1000</v>
      </c>
      <c r="X34" s="391" t="s">
        <v>1000</v>
      </c>
      <c r="Y34" s="390" t="s">
        <v>1000</v>
      </c>
      <c r="Z34" s="55" t="s">
        <v>1000</v>
      </c>
      <c r="AA34" s="391" t="s">
        <v>1000</v>
      </c>
      <c r="AB34" s="390" t="s">
        <v>999</v>
      </c>
      <c r="AC34" s="55" t="s">
        <v>999</v>
      </c>
      <c r="AD34" s="391" t="s">
        <v>1000</v>
      </c>
      <c r="AE34" s="390" t="s">
        <v>1000</v>
      </c>
      <c r="AF34" s="55" t="s">
        <v>1000</v>
      </c>
      <c r="AG34" s="391" t="s">
        <v>1000</v>
      </c>
      <c r="AH34" s="390" t="s">
        <v>1003</v>
      </c>
      <c r="AI34" s="55" t="s">
        <v>999</v>
      </c>
      <c r="AJ34" s="391" t="s">
        <v>999</v>
      </c>
      <c r="AK34" s="390" t="s">
        <v>1000</v>
      </c>
      <c r="AL34" s="55" t="s">
        <v>1000</v>
      </c>
      <c r="AM34" s="391" t="s">
        <v>1000</v>
      </c>
      <c r="AN34" s="390" t="s">
        <v>1000</v>
      </c>
      <c r="AO34" s="55" t="s">
        <v>1000</v>
      </c>
      <c r="AP34" s="391" t="s">
        <v>1000</v>
      </c>
      <c r="AQ34" s="390" t="s">
        <v>1000</v>
      </c>
      <c r="AR34" s="55" t="s">
        <v>1000</v>
      </c>
      <c r="AS34" s="391" t="s">
        <v>1000</v>
      </c>
    </row>
    <row r="35">
      <c r="A35" s="55" t="s">
        <v>1027</v>
      </c>
      <c r="B35" s="386">
        <v>272.5</v>
      </c>
      <c r="C35" s="387">
        <v>-277.5</v>
      </c>
      <c r="D35" s="387">
        <v>-277.5</v>
      </c>
      <c r="E35" s="388">
        <v>272.5</v>
      </c>
      <c r="F35" s="386">
        <v>165.0</v>
      </c>
      <c r="G35" s="387">
        <v>172.5</v>
      </c>
      <c r="H35" s="387">
        <v>175.0</v>
      </c>
      <c r="I35" s="388">
        <v>175.0</v>
      </c>
      <c r="J35" s="387">
        <v>447.5</v>
      </c>
      <c r="K35" s="386">
        <v>257.5</v>
      </c>
      <c r="L35" s="387">
        <v>-262.5</v>
      </c>
      <c r="M35" s="387">
        <v>-262.5</v>
      </c>
      <c r="N35" s="388">
        <v>257.5</v>
      </c>
      <c r="O35" s="389">
        <v>110.0</v>
      </c>
      <c r="P35" s="387">
        <v>705.0</v>
      </c>
      <c r="Q35" s="387">
        <v>9.0</v>
      </c>
      <c r="R35" s="387" t="str">
        <f t="shared" si="1"/>
        <v>#REF!</v>
      </c>
      <c r="S35" s="390" t="s">
        <v>1003</v>
      </c>
      <c r="T35" s="55" t="s">
        <v>1003</v>
      </c>
      <c r="U35" s="391" t="s">
        <v>1003</v>
      </c>
      <c r="V35" s="390" t="s">
        <v>1000</v>
      </c>
      <c r="W35" s="55" t="s">
        <v>1000</v>
      </c>
      <c r="X35" s="391" t="s">
        <v>1000</v>
      </c>
      <c r="Y35" s="390" t="s">
        <v>1001</v>
      </c>
      <c r="Z35" s="55" t="s">
        <v>1000</v>
      </c>
      <c r="AA35" s="391" t="s">
        <v>1000</v>
      </c>
      <c r="AB35" s="390" t="s">
        <v>1000</v>
      </c>
      <c r="AC35" s="55" t="s">
        <v>1000</v>
      </c>
      <c r="AD35" s="391" t="s">
        <v>1000</v>
      </c>
      <c r="AE35" s="390" t="s">
        <v>999</v>
      </c>
      <c r="AF35" s="55" t="s">
        <v>1003</v>
      </c>
      <c r="AG35" s="391" t="s">
        <v>1000</v>
      </c>
      <c r="AH35" s="390" t="s">
        <v>1000</v>
      </c>
      <c r="AI35" s="55" t="s">
        <v>1003</v>
      </c>
      <c r="AJ35" s="391" t="s">
        <v>1000</v>
      </c>
      <c r="AK35" s="390" t="s">
        <v>999</v>
      </c>
      <c r="AL35" s="55" t="s">
        <v>999</v>
      </c>
      <c r="AM35" s="391" t="s">
        <v>999</v>
      </c>
      <c r="AN35" s="390" t="s">
        <v>1000</v>
      </c>
      <c r="AO35" s="55" t="s">
        <v>1000</v>
      </c>
      <c r="AP35" s="391" t="s">
        <v>1000</v>
      </c>
      <c r="AQ35" s="390" t="s">
        <v>1000</v>
      </c>
      <c r="AR35" s="55" t="s">
        <v>1000</v>
      </c>
      <c r="AS35" s="391" t="s">
        <v>1000</v>
      </c>
    </row>
    <row r="36">
      <c r="A36" s="55" t="s">
        <v>1028</v>
      </c>
      <c r="B36" s="386">
        <v>230.0</v>
      </c>
      <c r="C36" s="387">
        <v>235.0</v>
      </c>
      <c r="D36" s="387">
        <v>240.0</v>
      </c>
      <c r="E36" s="388">
        <v>240.0</v>
      </c>
      <c r="F36" s="386">
        <v>-165.0</v>
      </c>
      <c r="G36" s="387">
        <v>-165.0</v>
      </c>
      <c r="H36" s="387">
        <v>-165.0</v>
      </c>
      <c r="I36" s="391"/>
      <c r="J36" s="55"/>
      <c r="K36" s="386">
        <v>-215.0</v>
      </c>
      <c r="L36" s="55"/>
      <c r="M36" s="55"/>
      <c r="N36" s="391"/>
      <c r="O36" s="389">
        <v>110.0</v>
      </c>
      <c r="P36" s="387">
        <v>0.0</v>
      </c>
      <c r="Q36" s="55"/>
      <c r="R36" s="387" t="str">
        <f t="shared" si="1"/>
        <v>#REF!</v>
      </c>
      <c r="S36" s="390" t="s">
        <v>1000</v>
      </c>
      <c r="T36" s="55" t="s">
        <v>1000</v>
      </c>
      <c r="U36" s="391" t="s">
        <v>1000</v>
      </c>
      <c r="V36" s="390" t="s">
        <v>1000</v>
      </c>
      <c r="W36" s="55" t="s">
        <v>1000</v>
      </c>
      <c r="X36" s="391" t="s">
        <v>1000</v>
      </c>
      <c r="Y36" s="390" t="s">
        <v>1000</v>
      </c>
      <c r="Z36" s="55" t="s">
        <v>1001</v>
      </c>
      <c r="AA36" s="391" t="s">
        <v>1000</v>
      </c>
      <c r="AB36" s="390" t="s">
        <v>1003</v>
      </c>
      <c r="AC36" s="55" t="s">
        <v>1003</v>
      </c>
      <c r="AD36" s="391" t="s">
        <v>1003</v>
      </c>
      <c r="AE36" s="390" t="s">
        <v>1000</v>
      </c>
      <c r="AF36" s="55" t="s">
        <v>1000</v>
      </c>
      <c r="AG36" s="391" t="s">
        <v>1000</v>
      </c>
      <c r="AH36" s="390" t="s">
        <v>1000</v>
      </c>
      <c r="AI36" s="55" t="s">
        <v>1000</v>
      </c>
      <c r="AJ36" s="391" t="s">
        <v>1000</v>
      </c>
      <c r="AK36" s="390" t="s">
        <v>1000</v>
      </c>
      <c r="AL36" s="55" t="s">
        <v>1000</v>
      </c>
      <c r="AM36" s="391" t="s">
        <v>1000</v>
      </c>
      <c r="AN36" s="390" t="s">
        <v>1000</v>
      </c>
      <c r="AO36" s="55" t="s">
        <v>1000</v>
      </c>
      <c r="AP36" s="391" t="s">
        <v>1000</v>
      </c>
      <c r="AQ36" s="390" t="s">
        <v>1000</v>
      </c>
      <c r="AR36" s="55" t="s">
        <v>1000</v>
      </c>
      <c r="AS36" s="391" t="s">
        <v>1000</v>
      </c>
    </row>
    <row r="37">
      <c r="A37" s="55" t="s">
        <v>1029</v>
      </c>
      <c r="B37" s="386">
        <v>225.0</v>
      </c>
      <c r="C37" s="387">
        <v>235.0</v>
      </c>
      <c r="D37" s="387">
        <v>-250.0</v>
      </c>
      <c r="E37" s="388">
        <v>235.0</v>
      </c>
      <c r="F37" s="386">
        <v>155.0</v>
      </c>
      <c r="G37" s="387">
        <v>165.0</v>
      </c>
      <c r="H37" s="387">
        <v>172.5</v>
      </c>
      <c r="I37" s="388">
        <v>172.5</v>
      </c>
      <c r="J37" s="387">
        <v>407.5</v>
      </c>
      <c r="K37" s="386">
        <v>255.0</v>
      </c>
      <c r="L37" s="387">
        <v>265.0</v>
      </c>
      <c r="M37" s="387">
        <v>272.5</v>
      </c>
      <c r="N37" s="388">
        <v>272.5</v>
      </c>
      <c r="O37" s="389">
        <v>125.0</v>
      </c>
      <c r="P37" s="387">
        <v>680.0</v>
      </c>
      <c r="Q37" s="387">
        <v>10.0</v>
      </c>
      <c r="R37" s="387" t="str">
        <f t="shared" si="1"/>
        <v>#REF!</v>
      </c>
      <c r="S37" s="390" t="s">
        <v>1000</v>
      </c>
      <c r="T37" s="55" t="s">
        <v>1000</v>
      </c>
      <c r="U37" s="391" t="s">
        <v>1000</v>
      </c>
      <c r="V37" s="390" t="s">
        <v>1000</v>
      </c>
      <c r="W37" s="55" t="s">
        <v>1000</v>
      </c>
      <c r="X37" s="391" t="s">
        <v>1000</v>
      </c>
      <c r="Y37" s="390" t="s">
        <v>1000</v>
      </c>
      <c r="Z37" s="55" t="s">
        <v>1000</v>
      </c>
      <c r="AA37" s="391" t="s">
        <v>1000</v>
      </c>
      <c r="AB37" s="390" t="s">
        <v>1003</v>
      </c>
      <c r="AC37" s="55" t="s">
        <v>1003</v>
      </c>
      <c r="AD37" s="391" t="s">
        <v>1003</v>
      </c>
      <c r="AE37" s="390" t="s">
        <v>1003</v>
      </c>
      <c r="AF37" s="55" t="s">
        <v>1003</v>
      </c>
      <c r="AG37" s="391" t="s">
        <v>1003</v>
      </c>
      <c r="AH37" s="390" t="s">
        <v>1003</v>
      </c>
      <c r="AI37" s="55" t="s">
        <v>1003</v>
      </c>
      <c r="AJ37" s="391" t="s">
        <v>1003</v>
      </c>
      <c r="AK37" s="390" t="s">
        <v>1003</v>
      </c>
      <c r="AL37" s="55" t="s">
        <v>1003</v>
      </c>
      <c r="AM37" s="391" t="s">
        <v>1003</v>
      </c>
      <c r="AN37" s="390"/>
      <c r="AO37" s="55"/>
      <c r="AP37" s="391"/>
      <c r="AQ37" s="390"/>
      <c r="AR37" s="55"/>
      <c r="AS37" s="391"/>
    </row>
    <row r="38">
      <c r="A38" s="67"/>
      <c r="B38" s="120"/>
      <c r="C38" s="67"/>
      <c r="D38" s="67"/>
      <c r="E38" s="121"/>
      <c r="F38" s="120"/>
      <c r="G38" s="67"/>
      <c r="H38" s="67"/>
      <c r="I38" s="121"/>
      <c r="J38" s="67"/>
      <c r="K38" s="120"/>
      <c r="L38" s="67"/>
      <c r="M38" s="67"/>
      <c r="N38" s="121"/>
      <c r="O38" s="67"/>
      <c r="P38" s="67"/>
      <c r="Q38" s="67"/>
      <c r="R38" s="67"/>
      <c r="S38" s="120"/>
      <c r="T38" s="67"/>
      <c r="U38" s="121"/>
      <c r="V38" s="120"/>
      <c r="W38" s="67"/>
      <c r="X38" s="121"/>
      <c r="Y38" s="120"/>
      <c r="Z38" s="67"/>
      <c r="AA38" s="121"/>
      <c r="AB38" s="120"/>
      <c r="AC38" s="67"/>
      <c r="AD38" s="121"/>
      <c r="AE38" s="120"/>
      <c r="AF38" s="67"/>
      <c r="AG38" s="121"/>
      <c r="AH38" s="120"/>
      <c r="AI38" s="67"/>
      <c r="AJ38" s="121"/>
      <c r="AK38" s="120"/>
      <c r="AL38" s="67"/>
      <c r="AM38" s="121"/>
      <c r="AN38" s="120"/>
      <c r="AO38" s="67"/>
      <c r="AP38" s="121"/>
      <c r="AQ38" s="120"/>
      <c r="AR38" s="67"/>
      <c r="AS38" s="121"/>
    </row>
    <row r="39">
      <c r="A39" s="67"/>
      <c r="B39" s="120"/>
      <c r="C39" s="67"/>
      <c r="D39" s="67"/>
      <c r="E39" s="121"/>
      <c r="F39" s="120"/>
      <c r="G39" s="67"/>
      <c r="H39" s="67"/>
      <c r="I39" s="121"/>
      <c r="J39" s="67"/>
      <c r="K39" s="120"/>
      <c r="L39" s="67"/>
      <c r="M39" s="67"/>
      <c r="N39" s="121"/>
      <c r="O39" s="67"/>
      <c r="P39" s="67"/>
      <c r="Q39" s="67"/>
      <c r="R39" s="67"/>
      <c r="S39" s="120"/>
      <c r="T39" s="67"/>
      <c r="U39" s="121"/>
      <c r="V39" s="120"/>
      <c r="W39" s="67"/>
      <c r="X39" s="121"/>
      <c r="Y39" s="120"/>
      <c r="Z39" s="67"/>
      <c r="AA39" s="121"/>
      <c r="AB39" s="120"/>
      <c r="AC39" s="67"/>
      <c r="AD39" s="121"/>
      <c r="AE39" s="120"/>
      <c r="AF39" s="67"/>
      <c r="AG39" s="121"/>
      <c r="AH39" s="120"/>
      <c r="AI39" s="67"/>
      <c r="AJ39" s="121"/>
      <c r="AK39" s="120"/>
      <c r="AL39" s="67"/>
      <c r="AM39" s="121"/>
      <c r="AN39" s="120"/>
      <c r="AO39" s="67"/>
      <c r="AP39" s="121"/>
      <c r="AQ39" s="120"/>
      <c r="AR39" s="67"/>
      <c r="AS39" s="121"/>
    </row>
    <row r="40">
      <c r="A40" s="67"/>
      <c r="B40" s="120"/>
      <c r="C40" s="67"/>
      <c r="D40" s="67"/>
      <c r="E40" s="121"/>
      <c r="F40" s="120"/>
      <c r="G40" s="67"/>
      <c r="H40" s="67"/>
      <c r="I40" s="121"/>
      <c r="J40" s="67"/>
      <c r="K40" s="120"/>
      <c r="L40" s="67"/>
      <c r="M40" s="67"/>
      <c r="N40" s="121"/>
      <c r="O40" s="67"/>
      <c r="P40" s="67"/>
      <c r="Q40" s="67"/>
      <c r="R40" s="67"/>
      <c r="S40" s="120"/>
      <c r="T40" s="67"/>
      <c r="U40" s="121"/>
      <c r="V40" s="120"/>
      <c r="W40" s="67"/>
      <c r="X40" s="121"/>
      <c r="Y40" s="120"/>
      <c r="Z40" s="67"/>
      <c r="AA40" s="121"/>
      <c r="AB40" s="120"/>
      <c r="AC40" s="67"/>
      <c r="AD40" s="121"/>
      <c r="AE40" s="120"/>
      <c r="AF40" s="67"/>
      <c r="AG40" s="121"/>
      <c r="AH40" s="120"/>
      <c r="AI40" s="67"/>
      <c r="AJ40" s="121"/>
      <c r="AK40" s="120"/>
      <c r="AL40" s="67"/>
      <c r="AM40" s="121"/>
      <c r="AN40" s="120"/>
      <c r="AO40" s="67"/>
      <c r="AP40" s="121"/>
      <c r="AQ40" s="120"/>
      <c r="AR40" s="67"/>
      <c r="AS40" s="121"/>
    </row>
  </sheetData>
  <autoFilter ref="$A$1:$R$37">
    <sortState ref="A1:R37">
      <sortCondition ref="O1:O37"/>
    </sortState>
  </autoFilter>
  <conditionalFormatting sqref="B1:P40">
    <cfRule type="cellIs" dxfId="5" priority="1" operator="lessThan">
      <formula>0</formula>
    </cfRule>
  </conditionalFormatting>
  <conditionalFormatting sqref="S2:AS37">
    <cfRule type="containsText" dxfId="12" priority="2" operator="containsText" text="bad, blue">
      <formula>NOT(ISERROR(SEARCH(("bad, blue"),(S2))))</formula>
    </cfRule>
  </conditionalFormatting>
  <conditionalFormatting sqref="S2:AS37">
    <cfRule type="containsText" dxfId="1" priority="3" operator="containsText" text="good">
      <formula>NOT(ISERROR(SEARCH(("good"),(S2))))</formula>
    </cfRule>
  </conditionalFormatting>
  <conditionalFormatting sqref="S2:AS37">
    <cfRule type="containsText" dxfId="5" priority="4" operator="containsText" text="bad, red">
      <formula>NOT(ISERROR(SEARCH(("bad, red"),(S2))))</formula>
    </cfRule>
  </conditionalFormatting>
  <conditionalFormatting sqref="S2:AS37">
    <cfRule type="containsText" dxfId="0" priority="5" operator="containsText" text="bad, yellow">
      <formula>NOT(ISERROR(SEARCH(("bad, yellow"),(S2))))</formula>
    </cfRule>
  </conditionalFormatting>
  <drawing r:id="rId2"/>
  <legacyDrawing r:id="rId3"/>
</worksheet>
</file>